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Rebalans plana 2023\Sastavnice ver 2\Objava na web\"/>
    </mc:Choice>
  </mc:AlternateContent>
  <xr:revisionPtr revIDLastSave="0" documentId="13_ncr:1_{6E1CEC51-1B9D-4C4D-A7DE-4C1F678BD8E0}" xr6:coauthVersionLast="36" xr6:coauthVersionMax="36" xr10:uidLastSave="{00000000-0000-0000-0000-000000000000}"/>
  <bookViews>
    <workbookView xWindow="0" yWindow="0" windowWidth="20490" windowHeight="7065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RASHODI'!$A$77:$V$149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primitaka'!$A$2:$J$504</definedName>
    <definedName name="_xlnm._FilterDatabase" localSheetId="2" hidden="1">'Unos rashoda i izdataka'!$A$2:$L$511</definedName>
    <definedName name="_xlnm._FilterDatabase" localSheetId="3" hidden="1">'Unos rashoda P4'!$A$2:$J$512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E30" i="12" l="1"/>
  <c r="E29" i="12"/>
  <c r="D31" i="12"/>
  <c r="D30" i="12"/>
  <c r="I3" i="4"/>
  <c r="J34" i="25"/>
  <c r="L99" i="17"/>
  <c r="L89" i="17"/>
  <c r="L83" i="17"/>
  <c r="L81" i="17"/>
  <c r="L34" i="17"/>
  <c r="L31" i="17"/>
  <c r="L16" i="17"/>
  <c r="N188" i="14" l="1"/>
  <c r="E17" i="12" l="1"/>
  <c r="C17" i="12"/>
  <c r="I22" i="4" l="1"/>
  <c r="I4" i="4"/>
  <c r="J7" i="25"/>
  <c r="J8" i="25"/>
  <c r="I8" i="25"/>
  <c r="N116" i="14" s="1"/>
  <c r="G8" i="25"/>
  <c r="F8" i="25"/>
  <c r="D8" i="25"/>
  <c r="R8" i="25"/>
  <c r="S8" i="25"/>
  <c r="B8" i="25"/>
  <c r="J6" i="25"/>
  <c r="J5" i="25"/>
  <c r="J9" i="25"/>
  <c r="E16" i="32" l="1"/>
  <c r="D16" i="32"/>
  <c r="C16" i="32"/>
  <c r="E13" i="32"/>
  <c r="C13" i="32"/>
  <c r="E10" i="32"/>
  <c r="C10" i="32"/>
  <c r="E8" i="32"/>
  <c r="C8" i="32"/>
  <c r="E7" i="32"/>
  <c r="C7" i="32"/>
  <c r="N220" i="14" l="1"/>
  <c r="N72" i="14"/>
  <c r="N211" i="14"/>
  <c r="N210" i="14" s="1"/>
  <c r="N209" i="14" s="1"/>
  <c r="N63" i="14"/>
  <c r="N208" i="14"/>
  <c r="N60" i="14"/>
  <c r="C60" i="14" s="1"/>
  <c r="E57" i="14"/>
  <c r="F57" i="14"/>
  <c r="F54" i="14" s="1"/>
  <c r="G57" i="14"/>
  <c r="H57" i="14"/>
  <c r="I57" i="14"/>
  <c r="K57" i="14"/>
  <c r="L57" i="14"/>
  <c r="M57" i="14"/>
  <c r="M54" i="14" s="1"/>
  <c r="O57" i="14"/>
  <c r="P57" i="14"/>
  <c r="Q57" i="14"/>
  <c r="R57" i="14"/>
  <c r="R54" i="14" s="1"/>
  <c r="S57" i="14"/>
  <c r="T57" i="14"/>
  <c r="U57" i="14"/>
  <c r="V57" i="14"/>
  <c r="D57" i="14"/>
  <c r="E131" i="14"/>
  <c r="E128" i="14" s="1"/>
  <c r="F131" i="14"/>
  <c r="G131" i="14"/>
  <c r="H131" i="14"/>
  <c r="I131" i="14"/>
  <c r="I128" i="14" s="1"/>
  <c r="K131" i="14"/>
  <c r="K128" i="14" s="1"/>
  <c r="L131" i="14"/>
  <c r="M131" i="14"/>
  <c r="M128" i="14" s="1"/>
  <c r="O131" i="14"/>
  <c r="O128" i="14" s="1"/>
  <c r="P131" i="14"/>
  <c r="Q131" i="14"/>
  <c r="Q128" i="14" s="1"/>
  <c r="R131" i="14"/>
  <c r="R128" i="14" s="1"/>
  <c r="S131" i="14"/>
  <c r="T131" i="14"/>
  <c r="U131" i="14"/>
  <c r="V131" i="14"/>
  <c r="V128" i="14" s="1"/>
  <c r="D131" i="14"/>
  <c r="D128" i="14" s="1"/>
  <c r="E205" i="14"/>
  <c r="F205" i="14"/>
  <c r="F202" i="14" s="1"/>
  <c r="G205" i="14"/>
  <c r="H205" i="14"/>
  <c r="I205" i="14"/>
  <c r="K205" i="14"/>
  <c r="K202" i="14" s="1"/>
  <c r="L205" i="14"/>
  <c r="M205" i="14"/>
  <c r="M202" i="14" s="1"/>
  <c r="O205" i="14"/>
  <c r="P205" i="14"/>
  <c r="P202" i="14" s="1"/>
  <c r="Q205" i="14"/>
  <c r="Q202" i="14" s="1"/>
  <c r="R205" i="14"/>
  <c r="R202" i="14" s="1"/>
  <c r="S205" i="14"/>
  <c r="T205" i="14"/>
  <c r="U205" i="14"/>
  <c r="V205" i="14"/>
  <c r="V202" i="14" s="1"/>
  <c r="D205" i="14"/>
  <c r="N207" i="14"/>
  <c r="N59" i="14"/>
  <c r="N204" i="14"/>
  <c r="N203" i="14" s="1"/>
  <c r="N56" i="14"/>
  <c r="N55" i="14" s="1"/>
  <c r="C55" i="14" s="1"/>
  <c r="E202" i="14"/>
  <c r="G202" i="14"/>
  <c r="H202" i="14"/>
  <c r="I202" i="14"/>
  <c r="L202" i="14"/>
  <c r="O202" i="14"/>
  <c r="S202" i="14"/>
  <c r="T202" i="14"/>
  <c r="U202" i="14"/>
  <c r="D202" i="14"/>
  <c r="V203" i="14"/>
  <c r="U203" i="14"/>
  <c r="T203" i="14"/>
  <c r="S203" i="14"/>
  <c r="R203" i="14"/>
  <c r="Q203" i="14"/>
  <c r="P203" i="14"/>
  <c r="O203" i="14"/>
  <c r="M203" i="14"/>
  <c r="L203" i="14"/>
  <c r="K203" i="14"/>
  <c r="J203" i="14"/>
  <c r="I203" i="14"/>
  <c r="H203" i="14"/>
  <c r="G203" i="14"/>
  <c r="F203" i="14"/>
  <c r="E203" i="14"/>
  <c r="D203" i="14"/>
  <c r="F128" i="14"/>
  <c r="G128" i="14"/>
  <c r="H128" i="14"/>
  <c r="L128" i="14"/>
  <c r="P128" i="14"/>
  <c r="S128" i="14"/>
  <c r="T128" i="14"/>
  <c r="U128" i="14"/>
  <c r="V129" i="14"/>
  <c r="U129" i="14"/>
  <c r="T129" i="14"/>
  <c r="S129" i="14"/>
  <c r="R129" i="14"/>
  <c r="Q129" i="14"/>
  <c r="P129" i="14"/>
  <c r="O129" i="14"/>
  <c r="M129" i="14"/>
  <c r="L129" i="14"/>
  <c r="K129" i="14"/>
  <c r="J129" i="14"/>
  <c r="I129" i="14"/>
  <c r="H129" i="14"/>
  <c r="G129" i="14"/>
  <c r="F129" i="14"/>
  <c r="E129" i="14"/>
  <c r="D129" i="14"/>
  <c r="E54" i="14"/>
  <c r="O54" i="14"/>
  <c r="P54" i="14"/>
  <c r="Q54" i="14"/>
  <c r="E55" i="14"/>
  <c r="F55" i="14"/>
  <c r="G55" i="14"/>
  <c r="G54" i="14" s="1"/>
  <c r="H55" i="14"/>
  <c r="I55" i="14"/>
  <c r="I54" i="14" s="1"/>
  <c r="J55" i="14"/>
  <c r="K55" i="14"/>
  <c r="L55" i="14"/>
  <c r="M55" i="14"/>
  <c r="O55" i="14"/>
  <c r="P55" i="14"/>
  <c r="Q55" i="14"/>
  <c r="R55" i="14"/>
  <c r="S55" i="14"/>
  <c r="S54" i="14" s="1"/>
  <c r="T55" i="14"/>
  <c r="U55" i="14"/>
  <c r="U54" i="14" s="1"/>
  <c r="V55" i="14"/>
  <c r="V54" i="14" s="1"/>
  <c r="D54" i="14"/>
  <c r="D55" i="14"/>
  <c r="N201" i="14"/>
  <c r="C201" i="14" s="1"/>
  <c r="N53" i="14"/>
  <c r="N52" i="14" s="1"/>
  <c r="N51" i="14" s="1"/>
  <c r="E125" i="14"/>
  <c r="I125" i="14"/>
  <c r="J125" i="14"/>
  <c r="M125" i="14"/>
  <c r="O125" i="14"/>
  <c r="P125" i="14"/>
  <c r="R125" i="14"/>
  <c r="V125" i="14"/>
  <c r="D125" i="14"/>
  <c r="E199" i="14"/>
  <c r="F199" i="14"/>
  <c r="G199" i="14"/>
  <c r="H199" i="14"/>
  <c r="I199" i="14"/>
  <c r="J199" i="14"/>
  <c r="K199" i="14"/>
  <c r="L199" i="14"/>
  <c r="M199" i="14"/>
  <c r="O199" i="14"/>
  <c r="P199" i="14"/>
  <c r="Q199" i="14"/>
  <c r="R199" i="14"/>
  <c r="S199" i="14"/>
  <c r="T199" i="14"/>
  <c r="U199" i="14"/>
  <c r="V199" i="14"/>
  <c r="D199" i="14"/>
  <c r="V200" i="14"/>
  <c r="U200" i="14"/>
  <c r="T200" i="14"/>
  <c r="S200" i="14"/>
  <c r="R200" i="14"/>
  <c r="Q200" i="14"/>
  <c r="P200" i="14"/>
  <c r="O200" i="14"/>
  <c r="M200" i="14"/>
  <c r="L200" i="14"/>
  <c r="K200" i="14"/>
  <c r="J200" i="14"/>
  <c r="I200" i="14"/>
  <c r="H200" i="14"/>
  <c r="G200" i="14"/>
  <c r="F200" i="14"/>
  <c r="E200" i="14"/>
  <c r="D200" i="14"/>
  <c r="V126" i="14"/>
  <c r="U126" i="14"/>
  <c r="U125" i="14" s="1"/>
  <c r="T126" i="14"/>
  <c r="T125" i="14" s="1"/>
  <c r="S126" i="14"/>
  <c r="S125" i="14" s="1"/>
  <c r="R126" i="14"/>
  <c r="Q126" i="14"/>
  <c r="Q125" i="14" s="1"/>
  <c r="P126" i="14"/>
  <c r="O126" i="14"/>
  <c r="M126" i="14"/>
  <c r="L126" i="14"/>
  <c r="L125" i="14" s="1"/>
  <c r="K126" i="14"/>
  <c r="K125" i="14" s="1"/>
  <c r="J126" i="14"/>
  <c r="I126" i="14"/>
  <c r="H126" i="14"/>
  <c r="H125" i="14" s="1"/>
  <c r="G126" i="14"/>
  <c r="G125" i="14" s="1"/>
  <c r="F126" i="14"/>
  <c r="F125" i="14" s="1"/>
  <c r="E126" i="14"/>
  <c r="D126" i="14"/>
  <c r="E52" i="14"/>
  <c r="E51" i="14" s="1"/>
  <c r="F52" i="14"/>
  <c r="F51" i="14" s="1"/>
  <c r="G52" i="14"/>
  <c r="G51" i="14" s="1"/>
  <c r="H52" i="14"/>
  <c r="H51" i="14" s="1"/>
  <c r="I52" i="14"/>
  <c r="I51" i="14" s="1"/>
  <c r="J52" i="14"/>
  <c r="J51" i="14" s="1"/>
  <c r="K52" i="14"/>
  <c r="K51" i="14" s="1"/>
  <c r="L52" i="14"/>
  <c r="L51" i="14" s="1"/>
  <c r="M52" i="14"/>
  <c r="M51" i="14" s="1"/>
  <c r="O52" i="14"/>
  <c r="O51" i="14" s="1"/>
  <c r="P52" i="14"/>
  <c r="P51" i="14" s="1"/>
  <c r="Q52" i="14"/>
  <c r="Q51" i="14" s="1"/>
  <c r="R52" i="14"/>
  <c r="R51" i="14" s="1"/>
  <c r="S52" i="14"/>
  <c r="S51" i="14" s="1"/>
  <c r="T52" i="14"/>
  <c r="T51" i="14" s="1"/>
  <c r="U52" i="14"/>
  <c r="U51" i="14" s="1"/>
  <c r="V52" i="14"/>
  <c r="V51" i="14" s="1"/>
  <c r="D52" i="14"/>
  <c r="D51" i="14" s="1"/>
  <c r="N195" i="14"/>
  <c r="N194" i="14" s="1"/>
  <c r="N193" i="14" s="1"/>
  <c r="N47" i="14"/>
  <c r="N46" i="14" s="1"/>
  <c r="N45" i="14" s="1"/>
  <c r="N184" i="14"/>
  <c r="N42" i="14"/>
  <c r="N38" i="14" s="1"/>
  <c r="N183" i="14"/>
  <c r="N35" i="14"/>
  <c r="N182" i="14"/>
  <c r="N34" i="14"/>
  <c r="N181" i="14"/>
  <c r="N177" i="14"/>
  <c r="N29" i="14"/>
  <c r="N176" i="14"/>
  <c r="N28" i="14"/>
  <c r="N169" i="14"/>
  <c r="N168" i="14" s="1"/>
  <c r="N21" i="14"/>
  <c r="N20" i="14" s="1"/>
  <c r="N167" i="14"/>
  <c r="N19" i="14"/>
  <c r="N165" i="14"/>
  <c r="N17" i="14"/>
  <c r="N162" i="14"/>
  <c r="N161" i="14" s="1"/>
  <c r="N14" i="14"/>
  <c r="N13" i="14" s="1"/>
  <c r="N156" i="14"/>
  <c r="N155" i="14" s="1"/>
  <c r="N8" i="14"/>
  <c r="N7" i="14" s="1"/>
  <c r="J220" i="14"/>
  <c r="J213" i="14"/>
  <c r="C213" i="14" s="1"/>
  <c r="J212" i="14"/>
  <c r="C212" i="14" s="1"/>
  <c r="J211" i="14"/>
  <c r="J207" i="14"/>
  <c r="J206" i="14"/>
  <c r="C206" i="14" s="1"/>
  <c r="J190" i="14"/>
  <c r="J186" i="14"/>
  <c r="J192" i="14"/>
  <c r="J191" i="14" s="1"/>
  <c r="J183" i="14"/>
  <c r="J181" i="14"/>
  <c r="J177" i="14"/>
  <c r="J172" i="14"/>
  <c r="J169" i="14"/>
  <c r="J166" i="14"/>
  <c r="J165" i="14"/>
  <c r="J162" i="14"/>
  <c r="J161" i="14" s="1"/>
  <c r="J160" i="14"/>
  <c r="J159" i="14" s="1"/>
  <c r="J156" i="14"/>
  <c r="J155" i="14" s="1"/>
  <c r="J72" i="14"/>
  <c r="J65" i="14"/>
  <c r="C65" i="14" s="1"/>
  <c r="J64" i="14"/>
  <c r="C64" i="14" s="1"/>
  <c r="J63" i="14"/>
  <c r="E136" i="14"/>
  <c r="F136" i="14"/>
  <c r="F135" i="14" s="1"/>
  <c r="G136" i="14"/>
  <c r="I136" i="14"/>
  <c r="K136" i="14"/>
  <c r="K135" i="14" s="1"/>
  <c r="L136" i="14"/>
  <c r="M136" i="14"/>
  <c r="O136" i="14"/>
  <c r="P136" i="14"/>
  <c r="P135" i="14" s="1"/>
  <c r="Q136" i="14"/>
  <c r="R136" i="14"/>
  <c r="R135" i="14" s="1"/>
  <c r="S136" i="14"/>
  <c r="T136" i="14"/>
  <c r="U136" i="14"/>
  <c r="V136" i="14"/>
  <c r="E210" i="14"/>
  <c r="E209" i="14" s="1"/>
  <c r="F210" i="14"/>
  <c r="G210" i="14"/>
  <c r="G209" i="14" s="1"/>
  <c r="I210" i="14"/>
  <c r="K210" i="14"/>
  <c r="K209" i="14" s="1"/>
  <c r="L210" i="14"/>
  <c r="L209" i="14" s="1"/>
  <c r="M210" i="14"/>
  <c r="O210" i="14"/>
  <c r="P210" i="14"/>
  <c r="P209" i="14" s="1"/>
  <c r="Q210" i="14"/>
  <c r="R210" i="14"/>
  <c r="R209" i="14" s="1"/>
  <c r="S210" i="14"/>
  <c r="S209" i="14" s="1"/>
  <c r="T210" i="14"/>
  <c r="U210" i="14"/>
  <c r="V210" i="14"/>
  <c r="E62" i="14"/>
  <c r="F62" i="14"/>
  <c r="G62" i="14"/>
  <c r="G61" i="14" s="1"/>
  <c r="I62" i="14"/>
  <c r="K62" i="14"/>
  <c r="K61" i="14" s="1"/>
  <c r="L62" i="14"/>
  <c r="L61" i="14" s="1"/>
  <c r="M62" i="14"/>
  <c r="M61" i="14" s="1"/>
  <c r="O62" i="14"/>
  <c r="P62" i="14"/>
  <c r="Q62" i="14"/>
  <c r="Q61" i="14" s="1"/>
  <c r="R62" i="14"/>
  <c r="S62" i="14"/>
  <c r="T62" i="14"/>
  <c r="T61" i="14" s="1"/>
  <c r="U62" i="14"/>
  <c r="V62" i="14"/>
  <c r="J59" i="14"/>
  <c r="J58" i="14"/>
  <c r="C58" i="14" s="1"/>
  <c r="J37" i="14"/>
  <c r="J36" i="14" s="1"/>
  <c r="J29" i="14"/>
  <c r="J24" i="14"/>
  <c r="J18" i="14"/>
  <c r="J12" i="14"/>
  <c r="J11" i="14" s="1"/>
  <c r="H75" i="14"/>
  <c r="H223" i="14"/>
  <c r="H220" i="14"/>
  <c r="H72" i="14"/>
  <c r="H217" i="14"/>
  <c r="E215" i="14"/>
  <c r="E214" i="14" s="1"/>
  <c r="G215" i="14"/>
  <c r="G214" i="14" s="1"/>
  <c r="I215" i="14"/>
  <c r="J215" i="14"/>
  <c r="K215" i="14"/>
  <c r="K214" i="14" s="1"/>
  <c r="L215" i="14"/>
  <c r="L214" i="14" s="1"/>
  <c r="M215" i="14"/>
  <c r="N215" i="14"/>
  <c r="O215" i="14"/>
  <c r="P215" i="14"/>
  <c r="Q215" i="14"/>
  <c r="R215" i="14"/>
  <c r="S215" i="14"/>
  <c r="T215" i="14"/>
  <c r="T214" i="14" s="1"/>
  <c r="U215" i="14"/>
  <c r="V215" i="14"/>
  <c r="I67" i="14"/>
  <c r="I66" i="14" s="1"/>
  <c r="J67" i="14"/>
  <c r="J66" i="14" s="1"/>
  <c r="K67" i="14"/>
  <c r="K66" i="14" s="1"/>
  <c r="L67" i="14"/>
  <c r="M67" i="14"/>
  <c r="N67" i="14"/>
  <c r="O67" i="14"/>
  <c r="O66" i="14" s="1"/>
  <c r="P67" i="14"/>
  <c r="P66" i="14" s="1"/>
  <c r="Q67" i="14"/>
  <c r="R67" i="14"/>
  <c r="S67" i="14"/>
  <c r="T67" i="14"/>
  <c r="T66" i="14" s="1"/>
  <c r="U67" i="14"/>
  <c r="U66" i="14" s="1"/>
  <c r="V67" i="14"/>
  <c r="V66" i="14" s="1"/>
  <c r="I141" i="14"/>
  <c r="I140" i="14" s="1"/>
  <c r="J141" i="14"/>
  <c r="K141" i="14"/>
  <c r="L141" i="14"/>
  <c r="L140" i="14" s="1"/>
  <c r="M141" i="14"/>
  <c r="N141" i="14"/>
  <c r="N140" i="14" s="1"/>
  <c r="O141" i="14"/>
  <c r="P141" i="14"/>
  <c r="P140" i="14" s="1"/>
  <c r="Q141" i="14"/>
  <c r="R141" i="14"/>
  <c r="R140" i="14" s="1"/>
  <c r="S141" i="14"/>
  <c r="S140" i="14" s="1"/>
  <c r="T141" i="14"/>
  <c r="T140" i="14" s="1"/>
  <c r="U141" i="14"/>
  <c r="V141" i="14"/>
  <c r="E141" i="14"/>
  <c r="E140" i="14" s="1"/>
  <c r="G141" i="14"/>
  <c r="G140" i="14" s="1"/>
  <c r="E67" i="14"/>
  <c r="G67" i="14"/>
  <c r="G66" i="14" s="1"/>
  <c r="H69" i="14"/>
  <c r="C69" i="14" s="1"/>
  <c r="H216" i="14"/>
  <c r="H68" i="14"/>
  <c r="H211" i="14"/>
  <c r="H210" i="14" s="1"/>
  <c r="H63" i="14"/>
  <c r="H62" i="14" s="1"/>
  <c r="H196" i="14"/>
  <c r="H195" i="14"/>
  <c r="H48" i="14"/>
  <c r="H47" i="14"/>
  <c r="H190" i="14"/>
  <c r="H188" i="14"/>
  <c r="H187" i="14"/>
  <c r="H186" i="14"/>
  <c r="H185" i="14"/>
  <c r="H44" i="14"/>
  <c r="H42" i="14"/>
  <c r="H41" i="14"/>
  <c r="H40" i="14"/>
  <c r="H39" i="14"/>
  <c r="H192" i="14"/>
  <c r="H191" i="14" s="1"/>
  <c r="H37" i="14"/>
  <c r="H36" i="14" s="1"/>
  <c r="H183" i="14"/>
  <c r="H182" i="14"/>
  <c r="H181" i="14"/>
  <c r="H180" i="14"/>
  <c r="H179" i="14"/>
  <c r="H178" i="14"/>
  <c r="H177" i="14"/>
  <c r="H176" i="14"/>
  <c r="H35" i="14"/>
  <c r="H34" i="14"/>
  <c r="H33" i="14"/>
  <c r="H32" i="14"/>
  <c r="H31" i="14"/>
  <c r="H30" i="14"/>
  <c r="H29" i="14"/>
  <c r="H28" i="14"/>
  <c r="H175" i="14"/>
  <c r="H27" i="14"/>
  <c r="H173" i="14"/>
  <c r="H172" i="14"/>
  <c r="H171" i="14"/>
  <c r="H25" i="14"/>
  <c r="H24" i="14"/>
  <c r="H23" i="14"/>
  <c r="H170" i="14"/>
  <c r="H22" i="14"/>
  <c r="H169" i="14"/>
  <c r="H21" i="14"/>
  <c r="H167" i="14"/>
  <c r="H19" i="14"/>
  <c r="H165" i="14"/>
  <c r="H17" i="14"/>
  <c r="H160" i="14"/>
  <c r="H159" i="14" s="1"/>
  <c r="H12" i="14"/>
  <c r="H11" i="14" s="1"/>
  <c r="F220" i="14"/>
  <c r="F216" i="14"/>
  <c r="F215" i="14" s="1"/>
  <c r="F186" i="14"/>
  <c r="F184" i="14" s="1"/>
  <c r="F165" i="14"/>
  <c r="F164" i="14" s="1"/>
  <c r="F162" i="14"/>
  <c r="F161" i="14" s="1"/>
  <c r="F160" i="14"/>
  <c r="F159" i="14" s="1"/>
  <c r="F156" i="14"/>
  <c r="F155" i="14" s="1"/>
  <c r="F72" i="14"/>
  <c r="F68" i="14"/>
  <c r="F67" i="14" s="1"/>
  <c r="F40" i="14"/>
  <c r="F38" i="14" s="1"/>
  <c r="F17" i="14"/>
  <c r="F16" i="14" s="1"/>
  <c r="F14" i="14"/>
  <c r="F13" i="14" s="1"/>
  <c r="F12" i="14"/>
  <c r="F11" i="14" s="1"/>
  <c r="F8" i="14"/>
  <c r="F7" i="14" s="1"/>
  <c r="E220" i="14"/>
  <c r="E72" i="14"/>
  <c r="E188" i="14"/>
  <c r="E184" i="14" s="1"/>
  <c r="E42" i="14"/>
  <c r="E38" i="14" s="1"/>
  <c r="E181" i="14"/>
  <c r="E174" i="14" s="1"/>
  <c r="E33" i="14"/>
  <c r="C74" i="14"/>
  <c r="C124" i="14"/>
  <c r="C148" i="14"/>
  <c r="C222" i="14"/>
  <c r="D223" i="14"/>
  <c r="D75" i="14"/>
  <c r="D221" i="14"/>
  <c r="C221" i="14" s="1"/>
  <c r="D73" i="14"/>
  <c r="C73" i="14" s="1"/>
  <c r="D220" i="14"/>
  <c r="D72" i="14"/>
  <c r="D219" i="14"/>
  <c r="C219" i="14" s="1"/>
  <c r="D71" i="14"/>
  <c r="C71" i="14" s="1"/>
  <c r="M163" i="14"/>
  <c r="K89" i="14"/>
  <c r="V89" i="14"/>
  <c r="D216" i="14"/>
  <c r="V214" i="14"/>
  <c r="R214" i="14"/>
  <c r="Q214" i="14"/>
  <c r="P214" i="14"/>
  <c r="N214" i="14"/>
  <c r="M214" i="14"/>
  <c r="J214" i="14"/>
  <c r="U214" i="14"/>
  <c r="S214" i="14"/>
  <c r="O214" i="14"/>
  <c r="I214" i="14"/>
  <c r="V140" i="14"/>
  <c r="Q140" i="14"/>
  <c r="O140" i="14"/>
  <c r="M140" i="14"/>
  <c r="K140" i="14"/>
  <c r="J140" i="14"/>
  <c r="U140" i="14"/>
  <c r="D68" i="14"/>
  <c r="E66" i="14"/>
  <c r="M66" i="14"/>
  <c r="N66" i="14"/>
  <c r="S66" i="14"/>
  <c r="L66" i="14"/>
  <c r="Q66" i="14"/>
  <c r="R66" i="14"/>
  <c r="D211" i="14"/>
  <c r="T209" i="14"/>
  <c r="T135" i="14"/>
  <c r="V135" i="14"/>
  <c r="V209" i="14"/>
  <c r="U209" i="14"/>
  <c r="Q209" i="14"/>
  <c r="O209" i="14"/>
  <c r="M209" i="14"/>
  <c r="I209" i="14"/>
  <c r="F209" i="14"/>
  <c r="U135" i="14"/>
  <c r="S135" i="14"/>
  <c r="Q135" i="14"/>
  <c r="O135" i="14"/>
  <c r="M135" i="14"/>
  <c r="L135" i="14"/>
  <c r="I135" i="14"/>
  <c r="G135" i="14"/>
  <c r="E135" i="14"/>
  <c r="D63" i="14"/>
  <c r="O61" i="14"/>
  <c r="E61" i="14"/>
  <c r="F61" i="14"/>
  <c r="I61" i="14"/>
  <c r="P61" i="14"/>
  <c r="R61" i="14"/>
  <c r="S61" i="14"/>
  <c r="U61" i="14"/>
  <c r="V61" i="14"/>
  <c r="E120" i="14"/>
  <c r="E119" i="14" s="1"/>
  <c r="F120" i="14"/>
  <c r="F119" i="14" s="1"/>
  <c r="G120" i="14"/>
  <c r="G119" i="14" s="1"/>
  <c r="I120" i="14"/>
  <c r="I119" i="14" s="1"/>
  <c r="J120" i="14"/>
  <c r="J119" i="14" s="1"/>
  <c r="K120" i="14"/>
  <c r="K119" i="14" s="1"/>
  <c r="L120" i="14"/>
  <c r="L119" i="14" s="1"/>
  <c r="M120" i="14"/>
  <c r="M119" i="14" s="1"/>
  <c r="O120" i="14"/>
  <c r="O119" i="14" s="1"/>
  <c r="P120" i="14"/>
  <c r="P119" i="14" s="1"/>
  <c r="Q120" i="14"/>
  <c r="Q119" i="14" s="1"/>
  <c r="R120" i="14"/>
  <c r="R119" i="14" s="1"/>
  <c r="S120" i="14"/>
  <c r="S119" i="14" s="1"/>
  <c r="T120" i="14"/>
  <c r="T119" i="14" s="1"/>
  <c r="U120" i="14"/>
  <c r="U119" i="14" s="1"/>
  <c r="V120" i="14"/>
  <c r="V119" i="14" s="1"/>
  <c r="D198" i="14"/>
  <c r="C198" i="14" s="1"/>
  <c r="D50" i="14"/>
  <c r="C50" i="14" s="1"/>
  <c r="D197" i="14"/>
  <c r="C197" i="14" s="1"/>
  <c r="D49" i="14"/>
  <c r="C49" i="14" s="1"/>
  <c r="D196" i="14"/>
  <c r="D48" i="14"/>
  <c r="D195" i="14"/>
  <c r="D47" i="14"/>
  <c r="V194" i="14"/>
  <c r="V193" i="14" s="1"/>
  <c r="U194" i="14"/>
  <c r="U193" i="14" s="1"/>
  <c r="T194" i="14"/>
  <c r="T193" i="14" s="1"/>
  <c r="S194" i="14"/>
  <c r="S193" i="14" s="1"/>
  <c r="R194" i="14"/>
  <c r="R193" i="14" s="1"/>
  <c r="Q194" i="14"/>
  <c r="Q193" i="14" s="1"/>
  <c r="P194" i="14"/>
  <c r="P193" i="14" s="1"/>
  <c r="O194" i="14"/>
  <c r="O193" i="14" s="1"/>
  <c r="M194" i="14"/>
  <c r="M193" i="14" s="1"/>
  <c r="L194" i="14"/>
  <c r="L193" i="14" s="1"/>
  <c r="K194" i="14"/>
  <c r="K193" i="14" s="1"/>
  <c r="J194" i="14"/>
  <c r="J193" i="14" s="1"/>
  <c r="I194" i="14"/>
  <c r="I193" i="14" s="1"/>
  <c r="G194" i="14"/>
  <c r="G193" i="14" s="1"/>
  <c r="F194" i="14"/>
  <c r="F193" i="14" s="1"/>
  <c r="E194" i="14"/>
  <c r="E193" i="14" s="1"/>
  <c r="E46" i="14"/>
  <c r="E45" i="14" s="1"/>
  <c r="F46" i="14"/>
  <c r="F45" i="14" s="1"/>
  <c r="G46" i="14"/>
  <c r="G45" i="14" s="1"/>
  <c r="I46" i="14"/>
  <c r="I45" i="14" s="1"/>
  <c r="J46" i="14"/>
  <c r="J45" i="14" s="1"/>
  <c r="K46" i="14"/>
  <c r="K45" i="14" s="1"/>
  <c r="L46" i="14"/>
  <c r="L45" i="14" s="1"/>
  <c r="M46" i="14"/>
  <c r="M45" i="14" s="1"/>
  <c r="O46" i="14"/>
  <c r="O45" i="14" s="1"/>
  <c r="P46" i="14"/>
  <c r="P45" i="14" s="1"/>
  <c r="Q46" i="14"/>
  <c r="Q45" i="14" s="1"/>
  <c r="R46" i="14"/>
  <c r="R45" i="14" s="1"/>
  <c r="S46" i="14"/>
  <c r="S45" i="14" s="1"/>
  <c r="T46" i="14"/>
  <c r="T45" i="14" s="1"/>
  <c r="U46" i="14"/>
  <c r="U45" i="14" s="1"/>
  <c r="V46" i="14"/>
  <c r="V45" i="14" s="1"/>
  <c r="D190" i="14"/>
  <c r="D44" i="14"/>
  <c r="D189" i="14"/>
  <c r="C189" i="14" s="1"/>
  <c r="D43" i="14"/>
  <c r="C43" i="14" s="1"/>
  <c r="D188" i="14"/>
  <c r="D42" i="14"/>
  <c r="D187" i="14"/>
  <c r="D41" i="14"/>
  <c r="D186" i="14"/>
  <c r="D40" i="14"/>
  <c r="D185" i="14"/>
  <c r="V184" i="14"/>
  <c r="U184" i="14"/>
  <c r="T184" i="14"/>
  <c r="S184" i="14"/>
  <c r="R184" i="14"/>
  <c r="Q184" i="14"/>
  <c r="P184" i="14"/>
  <c r="O184" i="14"/>
  <c r="M184" i="14"/>
  <c r="L184" i="14"/>
  <c r="K184" i="14"/>
  <c r="I184" i="14"/>
  <c r="G184" i="14"/>
  <c r="V112" i="14"/>
  <c r="U112" i="14"/>
  <c r="T112" i="14"/>
  <c r="S112" i="14"/>
  <c r="R112" i="14"/>
  <c r="Q112" i="14"/>
  <c r="P112" i="14"/>
  <c r="O112" i="14"/>
  <c r="M112" i="14"/>
  <c r="L112" i="14"/>
  <c r="K112" i="14"/>
  <c r="I112" i="14"/>
  <c r="G112" i="14"/>
  <c r="D39" i="14"/>
  <c r="G38" i="14"/>
  <c r="I38" i="14"/>
  <c r="K38" i="14"/>
  <c r="L38" i="14"/>
  <c r="M38" i="14"/>
  <c r="O38" i="14"/>
  <c r="P38" i="14"/>
  <c r="Q38" i="14"/>
  <c r="R38" i="14"/>
  <c r="S38" i="14"/>
  <c r="T38" i="14"/>
  <c r="U38" i="14"/>
  <c r="V38" i="14"/>
  <c r="D183" i="14"/>
  <c r="D35" i="14"/>
  <c r="D182" i="14"/>
  <c r="D34" i="14"/>
  <c r="D181" i="14"/>
  <c r="D33" i="14"/>
  <c r="D180" i="14"/>
  <c r="D32" i="14"/>
  <c r="D179" i="14"/>
  <c r="D31" i="14"/>
  <c r="D178" i="14"/>
  <c r="D30" i="14"/>
  <c r="D177" i="14"/>
  <c r="D29" i="14"/>
  <c r="D176" i="14"/>
  <c r="D28" i="14"/>
  <c r="D175" i="14"/>
  <c r="D27" i="14"/>
  <c r="V26" i="14"/>
  <c r="U26" i="14"/>
  <c r="T26" i="14"/>
  <c r="S26" i="14"/>
  <c r="R26" i="14"/>
  <c r="Q26" i="14"/>
  <c r="P26" i="14"/>
  <c r="O26" i="14"/>
  <c r="M26" i="14"/>
  <c r="L26" i="14"/>
  <c r="K26" i="14"/>
  <c r="I26" i="14"/>
  <c r="G26" i="14"/>
  <c r="F26" i="14"/>
  <c r="V174" i="14"/>
  <c r="U174" i="14"/>
  <c r="T174" i="14"/>
  <c r="S174" i="14"/>
  <c r="R174" i="14"/>
  <c r="Q174" i="14"/>
  <c r="P174" i="14"/>
  <c r="O174" i="14"/>
  <c r="M174" i="14"/>
  <c r="L174" i="14"/>
  <c r="K174" i="14"/>
  <c r="I174" i="14"/>
  <c r="G174" i="14"/>
  <c r="F174" i="14"/>
  <c r="F100" i="14"/>
  <c r="G100" i="14"/>
  <c r="I100" i="14"/>
  <c r="K100" i="14"/>
  <c r="L100" i="14"/>
  <c r="M100" i="14"/>
  <c r="O100" i="14"/>
  <c r="P100" i="14"/>
  <c r="Q100" i="14"/>
  <c r="R100" i="14"/>
  <c r="S100" i="14"/>
  <c r="T100" i="14"/>
  <c r="U100" i="14"/>
  <c r="V100" i="14"/>
  <c r="E110" i="14"/>
  <c r="F110" i="14"/>
  <c r="G110" i="14"/>
  <c r="I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E191" i="14"/>
  <c r="F191" i="14"/>
  <c r="G191" i="14"/>
  <c r="I191" i="14"/>
  <c r="K191" i="14"/>
  <c r="L191" i="14"/>
  <c r="M191" i="14"/>
  <c r="N191" i="14"/>
  <c r="O191" i="14"/>
  <c r="P191" i="14"/>
  <c r="Q191" i="14"/>
  <c r="R191" i="14"/>
  <c r="S191" i="14"/>
  <c r="T191" i="14"/>
  <c r="U191" i="14"/>
  <c r="V191" i="14"/>
  <c r="D192" i="14"/>
  <c r="D191" i="14" s="1"/>
  <c r="D37" i="14"/>
  <c r="D36" i="14" s="1"/>
  <c r="E36" i="14"/>
  <c r="F36" i="14"/>
  <c r="G36" i="14"/>
  <c r="I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D173" i="14"/>
  <c r="D25" i="14"/>
  <c r="D172" i="14"/>
  <c r="D24" i="14"/>
  <c r="D171" i="14"/>
  <c r="D23" i="14"/>
  <c r="D169" i="14"/>
  <c r="D170" i="14"/>
  <c r="D22" i="14"/>
  <c r="V168" i="14"/>
  <c r="U168" i="14"/>
  <c r="T168" i="14"/>
  <c r="S168" i="14"/>
  <c r="R168" i="14"/>
  <c r="Q168" i="14"/>
  <c r="P168" i="14"/>
  <c r="O168" i="14"/>
  <c r="M168" i="14"/>
  <c r="L168" i="14"/>
  <c r="K168" i="14"/>
  <c r="I168" i="14"/>
  <c r="G168" i="14"/>
  <c r="F168" i="14"/>
  <c r="E168" i="14"/>
  <c r="V94" i="14"/>
  <c r="U94" i="14"/>
  <c r="T94" i="14"/>
  <c r="S94" i="14"/>
  <c r="R94" i="14"/>
  <c r="Q94" i="14"/>
  <c r="P94" i="14"/>
  <c r="O94" i="14"/>
  <c r="M94" i="14"/>
  <c r="L94" i="14"/>
  <c r="K94" i="14"/>
  <c r="I94" i="14"/>
  <c r="G94" i="14"/>
  <c r="F94" i="14"/>
  <c r="E94" i="14"/>
  <c r="D21" i="14"/>
  <c r="E20" i="14"/>
  <c r="F20" i="14"/>
  <c r="G20" i="14"/>
  <c r="I20" i="14"/>
  <c r="K20" i="14"/>
  <c r="L20" i="14"/>
  <c r="M20" i="14"/>
  <c r="O20" i="14"/>
  <c r="P20" i="14"/>
  <c r="Q20" i="14"/>
  <c r="R20" i="14"/>
  <c r="S20" i="14"/>
  <c r="T20" i="14"/>
  <c r="U20" i="14"/>
  <c r="V20" i="14"/>
  <c r="D167" i="14"/>
  <c r="D166" i="14"/>
  <c r="D165" i="14"/>
  <c r="V164" i="14"/>
  <c r="V163" i="14" s="1"/>
  <c r="U164" i="14"/>
  <c r="U163" i="14" s="1"/>
  <c r="T164" i="14"/>
  <c r="T163" i="14" s="1"/>
  <c r="S164" i="14"/>
  <c r="S163" i="14" s="1"/>
  <c r="R164" i="14"/>
  <c r="R163" i="14" s="1"/>
  <c r="Q164" i="14"/>
  <c r="Q163" i="14" s="1"/>
  <c r="P164" i="14"/>
  <c r="P163" i="14" s="1"/>
  <c r="O164" i="14"/>
  <c r="O163" i="14" s="1"/>
  <c r="M164" i="14"/>
  <c r="L164" i="14"/>
  <c r="L163" i="14" s="1"/>
  <c r="K164" i="14"/>
  <c r="K163" i="14" s="1"/>
  <c r="I164" i="14"/>
  <c r="I163" i="14" s="1"/>
  <c r="G164" i="14"/>
  <c r="G163" i="14" s="1"/>
  <c r="E164" i="14"/>
  <c r="V90" i="14"/>
  <c r="U90" i="14"/>
  <c r="U89" i="14" s="1"/>
  <c r="T90" i="14"/>
  <c r="T89" i="14" s="1"/>
  <c r="S90" i="14"/>
  <c r="S89" i="14" s="1"/>
  <c r="R90" i="14"/>
  <c r="R89" i="14" s="1"/>
  <c r="Q90" i="14"/>
  <c r="Q89" i="14" s="1"/>
  <c r="P90" i="14"/>
  <c r="P89" i="14" s="1"/>
  <c r="O90" i="14"/>
  <c r="O89" i="14" s="1"/>
  <c r="M90" i="14"/>
  <c r="M89" i="14" s="1"/>
  <c r="L90" i="14"/>
  <c r="L89" i="14" s="1"/>
  <c r="K90" i="14"/>
  <c r="I90" i="14"/>
  <c r="I89" i="14" s="1"/>
  <c r="G90" i="14"/>
  <c r="G89" i="14" s="1"/>
  <c r="E90" i="14"/>
  <c r="E16" i="14"/>
  <c r="G16" i="14"/>
  <c r="I16" i="14"/>
  <c r="K16" i="14"/>
  <c r="L16" i="14"/>
  <c r="M16" i="14"/>
  <c r="O16" i="14"/>
  <c r="P16" i="14"/>
  <c r="Q16" i="14"/>
  <c r="R16" i="14"/>
  <c r="S16" i="14"/>
  <c r="T16" i="14"/>
  <c r="U16" i="14"/>
  <c r="V16" i="14"/>
  <c r="D19" i="14"/>
  <c r="D18" i="14"/>
  <c r="D17" i="14"/>
  <c r="E159" i="14"/>
  <c r="G159" i="14"/>
  <c r="I159" i="14"/>
  <c r="K159" i="14"/>
  <c r="L159" i="14"/>
  <c r="M159" i="14"/>
  <c r="N159" i="14"/>
  <c r="O159" i="14"/>
  <c r="P159" i="14"/>
  <c r="Q159" i="14"/>
  <c r="R159" i="14"/>
  <c r="S159" i="14"/>
  <c r="T159" i="14"/>
  <c r="U159" i="14"/>
  <c r="V159" i="14"/>
  <c r="D160" i="14"/>
  <c r="E85" i="14"/>
  <c r="G85" i="14"/>
  <c r="I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E11" i="14"/>
  <c r="G11" i="14"/>
  <c r="I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D12" i="14"/>
  <c r="E13" i="14"/>
  <c r="G13" i="14"/>
  <c r="H13" i="14"/>
  <c r="I13" i="14"/>
  <c r="K13" i="14"/>
  <c r="L13" i="14"/>
  <c r="M13" i="14"/>
  <c r="O13" i="14"/>
  <c r="P13" i="14"/>
  <c r="Q13" i="14"/>
  <c r="R13" i="14"/>
  <c r="S13" i="14"/>
  <c r="T13" i="14"/>
  <c r="U13" i="14"/>
  <c r="V13" i="14"/>
  <c r="E7" i="14"/>
  <c r="G7" i="14"/>
  <c r="H7" i="14"/>
  <c r="I7" i="14"/>
  <c r="K7" i="14"/>
  <c r="L7" i="14"/>
  <c r="M7" i="14"/>
  <c r="O7" i="14"/>
  <c r="P7" i="14"/>
  <c r="Q7" i="14"/>
  <c r="R7" i="14"/>
  <c r="S7" i="14"/>
  <c r="T7" i="14"/>
  <c r="U7" i="14"/>
  <c r="V7" i="14"/>
  <c r="E87" i="14"/>
  <c r="G87" i="14"/>
  <c r="H87" i="14"/>
  <c r="I87" i="14"/>
  <c r="K87" i="14"/>
  <c r="L87" i="14"/>
  <c r="M87" i="14"/>
  <c r="O87" i="14"/>
  <c r="P87" i="14"/>
  <c r="Q87" i="14"/>
  <c r="R87" i="14"/>
  <c r="S87" i="14"/>
  <c r="T87" i="14"/>
  <c r="U87" i="14"/>
  <c r="V87" i="14"/>
  <c r="E81" i="14"/>
  <c r="G81" i="14"/>
  <c r="H81" i="14"/>
  <c r="I81" i="14"/>
  <c r="K81" i="14"/>
  <c r="L81" i="14"/>
  <c r="M81" i="14"/>
  <c r="O81" i="14"/>
  <c r="P81" i="14"/>
  <c r="Q81" i="14"/>
  <c r="R81" i="14"/>
  <c r="S81" i="14"/>
  <c r="T81" i="14"/>
  <c r="U81" i="14"/>
  <c r="V81" i="14"/>
  <c r="E155" i="14"/>
  <c r="G155" i="14"/>
  <c r="H155" i="14"/>
  <c r="I155" i="14"/>
  <c r="K155" i="14"/>
  <c r="L155" i="14"/>
  <c r="M155" i="14"/>
  <c r="O155" i="14"/>
  <c r="P155" i="14"/>
  <c r="Q155" i="14"/>
  <c r="R155" i="14"/>
  <c r="S155" i="14"/>
  <c r="T155" i="14"/>
  <c r="U155" i="14"/>
  <c r="V155" i="14"/>
  <c r="E161" i="14"/>
  <c r="G161" i="14"/>
  <c r="H161" i="14"/>
  <c r="I161" i="14"/>
  <c r="K161" i="14"/>
  <c r="L161" i="14"/>
  <c r="M161" i="14"/>
  <c r="O161" i="14"/>
  <c r="P161" i="14"/>
  <c r="Q161" i="14"/>
  <c r="R161" i="14"/>
  <c r="S161" i="14"/>
  <c r="T161" i="14"/>
  <c r="U161" i="14"/>
  <c r="V161" i="14"/>
  <c r="D162" i="14"/>
  <c r="D161" i="14" s="1"/>
  <c r="D14" i="14"/>
  <c r="D13" i="14" s="1"/>
  <c r="D158" i="14"/>
  <c r="C158" i="14" s="1"/>
  <c r="D10" i="14"/>
  <c r="C10" i="14" s="1"/>
  <c r="D157" i="14"/>
  <c r="C157" i="14" s="1"/>
  <c r="D9" i="14"/>
  <c r="C9" i="14" s="1"/>
  <c r="D156" i="14"/>
  <c r="D8" i="14"/>
  <c r="D7" i="25"/>
  <c r="R7" i="25"/>
  <c r="S7" i="25"/>
  <c r="N154" i="14" l="1"/>
  <c r="J57" i="14"/>
  <c r="C63" i="14"/>
  <c r="J205" i="14"/>
  <c r="N62" i="14"/>
  <c r="N61" i="14" s="1"/>
  <c r="C59" i="14"/>
  <c r="N57" i="14"/>
  <c r="N205" i="14"/>
  <c r="N202" i="14" s="1"/>
  <c r="C56" i="14"/>
  <c r="L54" i="14"/>
  <c r="K54" i="14"/>
  <c r="T54" i="14"/>
  <c r="H54" i="14"/>
  <c r="C207" i="14"/>
  <c r="N200" i="14"/>
  <c r="N199" i="14" s="1"/>
  <c r="C199" i="14" s="1"/>
  <c r="C53" i="14"/>
  <c r="C51" i="14"/>
  <c r="C52" i="14"/>
  <c r="C166" i="14"/>
  <c r="N174" i="14"/>
  <c r="N16" i="14"/>
  <c r="N164" i="14"/>
  <c r="J168" i="14"/>
  <c r="J184" i="14"/>
  <c r="J164" i="14"/>
  <c r="J174" i="14"/>
  <c r="J62" i="14"/>
  <c r="C31" i="14"/>
  <c r="D210" i="14"/>
  <c r="D209" i="14" s="1"/>
  <c r="H209" i="14"/>
  <c r="J210" i="14"/>
  <c r="J209" i="14" s="1"/>
  <c r="C190" i="14"/>
  <c r="H61" i="14"/>
  <c r="D62" i="14"/>
  <c r="D61" i="14" s="1"/>
  <c r="C18" i="14"/>
  <c r="C34" i="14"/>
  <c r="C47" i="14"/>
  <c r="S153" i="14"/>
  <c r="O153" i="14"/>
  <c r="Q79" i="14"/>
  <c r="Q153" i="14"/>
  <c r="H164" i="14"/>
  <c r="H67" i="14"/>
  <c r="H66" i="14" s="1"/>
  <c r="H215" i="14"/>
  <c r="C75" i="14"/>
  <c r="C223" i="14"/>
  <c r="D67" i="14"/>
  <c r="D66" i="14" s="1"/>
  <c r="C68" i="14"/>
  <c r="D215" i="14"/>
  <c r="D214" i="14" s="1"/>
  <c r="F214" i="14"/>
  <c r="F66" i="14"/>
  <c r="C182" i="14"/>
  <c r="C41" i="14"/>
  <c r="C48" i="14"/>
  <c r="C180" i="14"/>
  <c r="C188" i="14"/>
  <c r="H46" i="14"/>
  <c r="H45" i="14" s="1"/>
  <c r="C187" i="14"/>
  <c r="H38" i="14"/>
  <c r="C181" i="14"/>
  <c r="C195" i="14"/>
  <c r="C185" i="14"/>
  <c r="C179" i="14"/>
  <c r="C196" i="14"/>
  <c r="C39" i="14"/>
  <c r="C175" i="14"/>
  <c r="C167" i="14"/>
  <c r="H16" i="14"/>
  <c r="C178" i="14"/>
  <c r="H194" i="14"/>
  <c r="H193" i="14" s="1"/>
  <c r="C23" i="14"/>
  <c r="C36" i="14"/>
  <c r="C32" i="14"/>
  <c r="C24" i="14"/>
  <c r="C173" i="14"/>
  <c r="C177" i="14"/>
  <c r="H184" i="14"/>
  <c r="C172" i="14"/>
  <c r="H168" i="14"/>
  <c r="C176" i="14"/>
  <c r="C191" i="14"/>
  <c r="C29" i="14"/>
  <c r="C22" i="14"/>
  <c r="C28" i="14"/>
  <c r="C30" i="14"/>
  <c r="C183" i="14"/>
  <c r="H174" i="14"/>
  <c r="H26" i="14"/>
  <c r="C27" i="14"/>
  <c r="C169" i="14"/>
  <c r="H20" i="14"/>
  <c r="C171" i="14"/>
  <c r="C25" i="14"/>
  <c r="C12" i="14"/>
  <c r="C19" i="14"/>
  <c r="C170" i="14"/>
  <c r="C220" i="14"/>
  <c r="C156" i="14"/>
  <c r="C72" i="14"/>
  <c r="C186" i="14"/>
  <c r="F163" i="14"/>
  <c r="C165" i="14"/>
  <c r="C161" i="14"/>
  <c r="C160" i="14"/>
  <c r="C192" i="14"/>
  <c r="C211" i="14"/>
  <c r="C162" i="14"/>
  <c r="C42" i="14"/>
  <c r="C216" i="14"/>
  <c r="C37" i="14"/>
  <c r="E163" i="14"/>
  <c r="E26" i="14"/>
  <c r="M15" i="14"/>
  <c r="R15" i="14"/>
  <c r="F15" i="14"/>
  <c r="Q15" i="14"/>
  <c r="K15" i="14"/>
  <c r="U15" i="14"/>
  <c r="I15" i="14"/>
  <c r="U80" i="14"/>
  <c r="U79" i="14" s="1"/>
  <c r="I80" i="14"/>
  <c r="I79" i="14" s="1"/>
  <c r="U6" i="14"/>
  <c r="U5" i="14" s="1"/>
  <c r="I6" i="14"/>
  <c r="I5" i="14" s="1"/>
  <c r="T15" i="14"/>
  <c r="T6" i="14"/>
  <c r="H6" i="14"/>
  <c r="G15" i="14"/>
  <c r="Q80" i="14"/>
  <c r="E80" i="14"/>
  <c r="Q6" i="14"/>
  <c r="Q5" i="14" s="1"/>
  <c r="E6" i="14"/>
  <c r="P15" i="14"/>
  <c r="P80" i="14"/>
  <c r="P79" i="14" s="1"/>
  <c r="P6" i="14"/>
  <c r="P5" i="14" s="1"/>
  <c r="O80" i="14"/>
  <c r="O79" i="14" s="1"/>
  <c r="O6" i="14"/>
  <c r="O5" i="14" s="1"/>
  <c r="N6" i="14"/>
  <c r="D46" i="14"/>
  <c r="O15" i="14"/>
  <c r="S154" i="14"/>
  <c r="G154" i="14"/>
  <c r="G153" i="14" s="1"/>
  <c r="M6" i="14"/>
  <c r="M5" i="14" s="1"/>
  <c r="K80" i="14"/>
  <c r="K79" i="14" s="1"/>
  <c r="K6" i="14"/>
  <c r="L15" i="14"/>
  <c r="P154" i="14"/>
  <c r="P153" i="14" s="1"/>
  <c r="V80" i="14"/>
  <c r="V79" i="14" s="1"/>
  <c r="V6" i="14"/>
  <c r="V5" i="14" s="1"/>
  <c r="S15" i="14"/>
  <c r="V15" i="14"/>
  <c r="L154" i="14"/>
  <c r="L153" i="14" s="1"/>
  <c r="R80" i="14"/>
  <c r="R79" i="14" s="1"/>
  <c r="R6" i="14"/>
  <c r="R5" i="14" s="1"/>
  <c r="F6" i="14"/>
  <c r="K154" i="14"/>
  <c r="K153" i="14" s="1"/>
  <c r="V154" i="14"/>
  <c r="V153" i="14" s="1"/>
  <c r="J154" i="14"/>
  <c r="U154" i="14"/>
  <c r="U153" i="14" s="1"/>
  <c r="I154" i="14"/>
  <c r="I153" i="14" s="1"/>
  <c r="T154" i="14"/>
  <c r="T153" i="14" s="1"/>
  <c r="H154" i="14"/>
  <c r="R154" i="14"/>
  <c r="R153" i="14" s="1"/>
  <c r="F154" i="14"/>
  <c r="L80" i="14"/>
  <c r="L79" i="14" s="1"/>
  <c r="L6" i="14"/>
  <c r="Q154" i="14"/>
  <c r="E154" i="14"/>
  <c r="M80" i="14"/>
  <c r="M79" i="14" s="1"/>
  <c r="O154" i="14"/>
  <c r="T80" i="14"/>
  <c r="T79" i="14" s="1"/>
  <c r="M154" i="14"/>
  <c r="M153" i="14" s="1"/>
  <c r="S80" i="14"/>
  <c r="S79" i="14" s="1"/>
  <c r="G80" i="14"/>
  <c r="G79" i="14" s="1"/>
  <c r="S6" i="14"/>
  <c r="S5" i="14" s="1"/>
  <c r="G6" i="14"/>
  <c r="G5" i="14" s="1"/>
  <c r="D194" i="14"/>
  <c r="D38" i="14"/>
  <c r="D184" i="14"/>
  <c r="D174" i="14"/>
  <c r="D26" i="14"/>
  <c r="D168" i="14"/>
  <c r="D20" i="14"/>
  <c r="D16" i="14"/>
  <c r="D164" i="14"/>
  <c r="D159" i="14"/>
  <c r="C159" i="14" s="1"/>
  <c r="D11" i="14"/>
  <c r="C11" i="14" s="1"/>
  <c r="D155" i="14"/>
  <c r="C155" i="14" s="1"/>
  <c r="D7" i="14"/>
  <c r="H43" i="13"/>
  <c r="H40" i="13"/>
  <c r="F39" i="13"/>
  <c r="F11" i="13"/>
  <c r="N38" i="13"/>
  <c r="J38" i="13"/>
  <c r="N10" i="13"/>
  <c r="J10" i="13"/>
  <c r="I10" i="25"/>
  <c r="N134" i="14" s="1"/>
  <c r="F10" i="25"/>
  <c r="D10" i="25"/>
  <c r="R10" i="25"/>
  <c r="S10" i="25"/>
  <c r="B10" i="25"/>
  <c r="I23" i="25"/>
  <c r="F23" i="25"/>
  <c r="D23" i="25"/>
  <c r="R23" i="25"/>
  <c r="S23" i="25"/>
  <c r="B23" i="25"/>
  <c r="I21" i="25"/>
  <c r="N121" i="14" s="1"/>
  <c r="N120" i="14" s="1"/>
  <c r="N119" i="14" s="1"/>
  <c r="F21" i="25"/>
  <c r="D21" i="25"/>
  <c r="R21" i="25"/>
  <c r="S21" i="25"/>
  <c r="B21" i="25"/>
  <c r="I19" i="25"/>
  <c r="N112" i="14" s="1"/>
  <c r="F19" i="25"/>
  <c r="D19" i="25"/>
  <c r="R19" i="25"/>
  <c r="S19" i="25"/>
  <c r="B19" i="25"/>
  <c r="I18" i="25"/>
  <c r="N109" i="14" s="1"/>
  <c r="F18" i="25"/>
  <c r="D18" i="25"/>
  <c r="R18" i="25"/>
  <c r="S18" i="25"/>
  <c r="B18" i="25"/>
  <c r="I17" i="25"/>
  <c r="N108" i="14" s="1"/>
  <c r="F17" i="25"/>
  <c r="D17" i="25"/>
  <c r="R17" i="25"/>
  <c r="S17" i="25"/>
  <c r="B17" i="25"/>
  <c r="I16" i="25"/>
  <c r="F16" i="25"/>
  <c r="D16" i="25"/>
  <c r="R16" i="25"/>
  <c r="S16" i="25"/>
  <c r="B16" i="25"/>
  <c r="I25" i="25"/>
  <c r="N93" i="14" s="1"/>
  <c r="F25" i="25"/>
  <c r="D25" i="25"/>
  <c r="R25" i="25"/>
  <c r="S25" i="25"/>
  <c r="B25" i="25"/>
  <c r="I7" i="25"/>
  <c r="E116" i="14" s="1"/>
  <c r="E112" i="14" s="1"/>
  <c r="F7" i="25"/>
  <c r="B7" i="25"/>
  <c r="H19" i="4"/>
  <c r="H20" i="4"/>
  <c r="F20" i="4"/>
  <c r="D20" i="4"/>
  <c r="C20" i="4"/>
  <c r="F19" i="4"/>
  <c r="D19" i="4"/>
  <c r="C19" i="4"/>
  <c r="K51" i="17"/>
  <c r="I51" i="17"/>
  <c r="H51" i="17"/>
  <c r="F51" i="17"/>
  <c r="D51" i="17"/>
  <c r="K37" i="17"/>
  <c r="D117" i="14" s="1"/>
  <c r="C117" i="14" s="1"/>
  <c r="I37" i="17"/>
  <c r="H37" i="17"/>
  <c r="D37" i="17"/>
  <c r="L5" i="17"/>
  <c r="C57" i="14" l="1"/>
  <c r="C66" i="14"/>
  <c r="N54" i="14"/>
  <c r="J61" i="14"/>
  <c r="C61" i="14" s="1"/>
  <c r="C62" i="14"/>
  <c r="T5" i="14"/>
  <c r="K5" i="14"/>
  <c r="L5" i="14"/>
  <c r="J202" i="14"/>
  <c r="C202" i="14" s="1"/>
  <c r="C200" i="14"/>
  <c r="J54" i="14"/>
  <c r="N163" i="14"/>
  <c r="N153" i="14" s="1"/>
  <c r="J163" i="14"/>
  <c r="C205" i="14"/>
  <c r="C209" i="14"/>
  <c r="C210" i="14"/>
  <c r="C164" i="14"/>
  <c r="C215" i="14"/>
  <c r="H214" i="14"/>
  <c r="C214" i="14" s="1"/>
  <c r="C46" i="14"/>
  <c r="C67" i="14"/>
  <c r="C194" i="14"/>
  <c r="H163" i="14"/>
  <c r="C184" i="14"/>
  <c r="C168" i="14"/>
  <c r="H15" i="14"/>
  <c r="H5" i="14" s="1"/>
  <c r="C174" i="14"/>
  <c r="F153" i="14"/>
  <c r="F5" i="14"/>
  <c r="E153" i="14"/>
  <c r="E15" i="14"/>
  <c r="E5" i="14" s="1"/>
  <c r="D163" i="14"/>
  <c r="D45" i="14"/>
  <c r="C45" i="14" s="1"/>
  <c r="D193" i="14"/>
  <c r="C193" i="14" s="1"/>
  <c r="D15" i="14"/>
  <c r="D154" i="14"/>
  <c r="D6" i="14"/>
  <c r="H13" i="4"/>
  <c r="H29" i="13" s="1"/>
  <c r="D13" i="4"/>
  <c r="C13" i="4"/>
  <c r="H11" i="4"/>
  <c r="D11" i="4"/>
  <c r="C11" i="4"/>
  <c r="H4" i="4"/>
  <c r="H5" i="4"/>
  <c r="H6" i="4"/>
  <c r="H7" i="4"/>
  <c r="H8" i="4"/>
  <c r="H9" i="4"/>
  <c r="H10" i="4"/>
  <c r="H12" i="4"/>
  <c r="H14" i="4"/>
  <c r="H15" i="4"/>
  <c r="H16" i="4"/>
  <c r="H17" i="4"/>
  <c r="H18" i="4"/>
  <c r="H21" i="4"/>
  <c r="H22" i="4"/>
  <c r="H3" i="4"/>
  <c r="D17" i="12" s="1"/>
  <c r="I47" i="25"/>
  <c r="B47" i="25"/>
  <c r="G45" i="25"/>
  <c r="G46" i="25"/>
  <c r="I45" i="25"/>
  <c r="I46" i="25"/>
  <c r="B46" i="25"/>
  <c r="K115" i="17"/>
  <c r="K116" i="17"/>
  <c r="K117" i="17"/>
  <c r="K118" i="17"/>
  <c r="I118" i="17"/>
  <c r="H118" i="17"/>
  <c r="F118" i="17"/>
  <c r="I117" i="17"/>
  <c r="H117" i="17"/>
  <c r="F117" i="17"/>
  <c r="I116" i="17"/>
  <c r="H116" i="17"/>
  <c r="F116" i="17"/>
  <c r="I115" i="17"/>
  <c r="H115" i="17"/>
  <c r="F115" i="17"/>
  <c r="D118" i="17"/>
  <c r="D117" i="17"/>
  <c r="D116" i="17"/>
  <c r="D115" i="17"/>
  <c r="K114" i="17"/>
  <c r="I114" i="17"/>
  <c r="H114" i="17"/>
  <c r="F114" i="17"/>
  <c r="O114" i="17"/>
  <c r="P114" i="17"/>
  <c r="D114" i="17"/>
  <c r="K111" i="17"/>
  <c r="I111" i="17"/>
  <c r="H111" i="17"/>
  <c r="F111" i="17"/>
  <c r="O111" i="17"/>
  <c r="P111" i="17"/>
  <c r="D111" i="17"/>
  <c r="I44" i="25"/>
  <c r="F44" i="25"/>
  <c r="B44" i="25"/>
  <c r="I43" i="25"/>
  <c r="J133" i="14" s="1"/>
  <c r="B43" i="25"/>
  <c r="I35" i="25"/>
  <c r="J98" i="14" s="1"/>
  <c r="F35" i="25"/>
  <c r="D35" i="25"/>
  <c r="R35" i="25"/>
  <c r="S35" i="25"/>
  <c r="B35" i="25"/>
  <c r="I33" i="25"/>
  <c r="F33" i="25"/>
  <c r="D33" i="25"/>
  <c r="R33" i="25"/>
  <c r="S33" i="25"/>
  <c r="B33" i="25"/>
  <c r="I30" i="25"/>
  <c r="F30" i="25"/>
  <c r="D30" i="25"/>
  <c r="R30" i="25"/>
  <c r="S30" i="25"/>
  <c r="B30" i="25"/>
  <c r="I4" i="25"/>
  <c r="I5" i="25"/>
  <c r="I6" i="25"/>
  <c r="E107" i="14" s="1"/>
  <c r="E100" i="14" s="1"/>
  <c r="E89" i="14" s="1"/>
  <c r="E79" i="14" s="1"/>
  <c r="I9" i="25"/>
  <c r="N133" i="14" s="1"/>
  <c r="N131" i="14" s="1"/>
  <c r="I11" i="25"/>
  <c r="N127" i="14" s="1"/>
  <c r="I12" i="25"/>
  <c r="N130" i="14" s="1"/>
  <c r="N129" i="14" s="1"/>
  <c r="I13" i="25"/>
  <c r="I14" i="25"/>
  <c r="N95" i="14" s="1"/>
  <c r="N94" i="14" s="1"/>
  <c r="I15" i="25"/>
  <c r="N102" i="14" s="1"/>
  <c r="I20" i="25"/>
  <c r="N137" i="14" s="1"/>
  <c r="N136" i="14" s="1"/>
  <c r="N135" i="14" s="1"/>
  <c r="I24" i="25"/>
  <c r="N91" i="14" s="1"/>
  <c r="N90" i="14" s="1"/>
  <c r="I26" i="25"/>
  <c r="N103" i="14" s="1"/>
  <c r="I27" i="25"/>
  <c r="N82" i="14" s="1"/>
  <c r="N81" i="14" s="1"/>
  <c r="I28" i="25"/>
  <c r="N88" i="14" s="1"/>
  <c r="N87" i="14" s="1"/>
  <c r="I36" i="25"/>
  <c r="J103" i="14" s="1"/>
  <c r="I39" i="25"/>
  <c r="I42" i="25"/>
  <c r="J139" i="14" s="1"/>
  <c r="C139" i="14" s="1"/>
  <c r="I3" i="25"/>
  <c r="K97" i="17"/>
  <c r="I97" i="17"/>
  <c r="H97" i="17"/>
  <c r="F97" i="17"/>
  <c r="O97" i="17"/>
  <c r="P97" i="17"/>
  <c r="D97" i="17"/>
  <c r="K61" i="17"/>
  <c r="F114" i="14" s="1"/>
  <c r="F112" i="14" s="1"/>
  <c r="I61" i="17"/>
  <c r="H61" i="17"/>
  <c r="F61" i="17"/>
  <c r="O61" i="17"/>
  <c r="P61" i="17"/>
  <c r="D61" i="17"/>
  <c r="K4" i="17"/>
  <c r="D84" i="14" s="1"/>
  <c r="C84" i="14" s="1"/>
  <c r="K6" i="17"/>
  <c r="K7" i="17"/>
  <c r="D92" i="14" s="1"/>
  <c r="K8" i="17"/>
  <c r="K9" i="17"/>
  <c r="K10" i="17"/>
  <c r="D142" i="14" s="1"/>
  <c r="D141" i="14" s="1"/>
  <c r="K11" i="17"/>
  <c r="K12" i="17"/>
  <c r="K13" i="17"/>
  <c r="D83" i="14" s="1"/>
  <c r="C83" i="14" s="1"/>
  <c r="K14" i="17"/>
  <c r="K15" i="17"/>
  <c r="K16" i="17"/>
  <c r="K17" i="17"/>
  <c r="D93" i="14" s="1"/>
  <c r="K18" i="17"/>
  <c r="D95" i="14" s="1"/>
  <c r="K19" i="17"/>
  <c r="D96" i="14" s="1"/>
  <c r="K20" i="17"/>
  <c r="D97" i="14" s="1"/>
  <c r="K21" i="17"/>
  <c r="D98" i="14" s="1"/>
  <c r="K22" i="17"/>
  <c r="D99" i="14" s="1"/>
  <c r="K23" i="17"/>
  <c r="K24" i="17"/>
  <c r="D102" i="14" s="1"/>
  <c r="K25" i="17"/>
  <c r="K26" i="17"/>
  <c r="D104" i="14" s="1"/>
  <c r="K27" i="17"/>
  <c r="D105" i="14" s="1"/>
  <c r="K28" i="17"/>
  <c r="K29" i="17"/>
  <c r="K30" i="17"/>
  <c r="D108" i="14" s="1"/>
  <c r="K31" i="17"/>
  <c r="D109" i="14" s="1"/>
  <c r="K32" i="17"/>
  <c r="K33" i="17"/>
  <c r="D113" i="14" s="1"/>
  <c r="K34" i="17"/>
  <c r="K35" i="17"/>
  <c r="D115" i="14" s="1"/>
  <c r="K36" i="17"/>
  <c r="K38" i="17"/>
  <c r="D118" i="14" s="1"/>
  <c r="K39" i="17"/>
  <c r="D121" i="14" s="1"/>
  <c r="K40" i="17"/>
  <c r="D122" i="14" s="1"/>
  <c r="K41" i="17"/>
  <c r="D123" i="14" s="1"/>
  <c r="C123" i="14" s="1"/>
  <c r="K42" i="17"/>
  <c r="K43" i="17"/>
  <c r="D137" i="14" s="1"/>
  <c r="D136" i="14" s="1"/>
  <c r="K44" i="17"/>
  <c r="D145" i="14" s="1"/>
  <c r="C145" i="14" s="1"/>
  <c r="K45" i="17"/>
  <c r="K46" i="17"/>
  <c r="K47" i="17"/>
  <c r="K48" i="17"/>
  <c r="K49" i="17"/>
  <c r="K50" i="17"/>
  <c r="K52" i="17"/>
  <c r="K53" i="17"/>
  <c r="K54" i="17"/>
  <c r="K55" i="17"/>
  <c r="D147" i="14" s="1"/>
  <c r="C147" i="14" s="1"/>
  <c r="K56" i="17"/>
  <c r="D149" i="14" s="1"/>
  <c r="K57" i="17"/>
  <c r="K58" i="17"/>
  <c r="F86" i="14" s="1"/>
  <c r="F85" i="14" s="1"/>
  <c r="K59" i="17"/>
  <c r="F88" i="14" s="1"/>
  <c r="F87" i="14" s="1"/>
  <c r="K60" i="17"/>
  <c r="F91" i="14" s="1"/>
  <c r="F90" i="14" s="1"/>
  <c r="F89" i="14" s="1"/>
  <c r="K62" i="17"/>
  <c r="F142" i="14" s="1"/>
  <c r="K63" i="17"/>
  <c r="K64" i="17"/>
  <c r="K65" i="17"/>
  <c r="K66" i="17"/>
  <c r="K72" i="17"/>
  <c r="H97" i="14" s="1"/>
  <c r="K76" i="17"/>
  <c r="H102" i="14" s="1"/>
  <c r="K80" i="17"/>
  <c r="H106" i="14" s="1"/>
  <c r="K85" i="17"/>
  <c r="H113" i="14" s="1"/>
  <c r="K87" i="17"/>
  <c r="H115" i="14" s="1"/>
  <c r="K88" i="17"/>
  <c r="H116" i="14" s="1"/>
  <c r="K91" i="17"/>
  <c r="H122" i="14" s="1"/>
  <c r="K93" i="17"/>
  <c r="H142" i="14" s="1"/>
  <c r="K94" i="17"/>
  <c r="H143" i="14" s="1"/>
  <c r="K95" i="17"/>
  <c r="K98" i="17"/>
  <c r="K99" i="17"/>
  <c r="K100" i="17"/>
  <c r="K101" i="17"/>
  <c r="K102" i="17"/>
  <c r="K103" i="17"/>
  <c r="K104" i="17"/>
  <c r="H149" i="14" s="1"/>
  <c r="K105" i="17"/>
  <c r="K106" i="17"/>
  <c r="K107" i="17"/>
  <c r="K109" i="17"/>
  <c r="K110" i="17"/>
  <c r="K112" i="17"/>
  <c r="K113" i="17"/>
  <c r="K119" i="17"/>
  <c r="J137" i="14" s="1"/>
  <c r="K120" i="17"/>
  <c r="J138" i="14" s="1"/>
  <c r="C138" i="14" s="1"/>
  <c r="K121" i="17"/>
  <c r="K122" i="17"/>
  <c r="K123" i="17"/>
  <c r="K124" i="17"/>
  <c r="K125" i="17"/>
  <c r="K126" i="17"/>
  <c r="K127" i="17"/>
  <c r="K3" i="17"/>
  <c r="K5" i="17"/>
  <c r="D86" i="14" s="1"/>
  <c r="D101" i="14" l="1"/>
  <c r="N80" i="14"/>
  <c r="D7" i="32"/>
  <c r="F82" i="14"/>
  <c r="F81" i="14" s="1"/>
  <c r="F80" i="14" s="1"/>
  <c r="D10" i="32"/>
  <c r="E146" i="14"/>
  <c r="D8" i="32"/>
  <c r="C54" i="14"/>
  <c r="N146" i="14"/>
  <c r="N128" i="14"/>
  <c r="C133" i="14"/>
  <c r="J153" i="14"/>
  <c r="N126" i="14"/>
  <c r="C127" i="14"/>
  <c r="H153" i="14"/>
  <c r="J86" i="14"/>
  <c r="J85" i="14" s="1"/>
  <c r="J111" i="14"/>
  <c r="J110" i="14" s="1"/>
  <c r="J146" i="14"/>
  <c r="J92" i="14"/>
  <c r="C92" i="14" s="1"/>
  <c r="J132" i="14"/>
  <c r="J131" i="14" s="1"/>
  <c r="J136" i="14"/>
  <c r="J135" i="14" s="1"/>
  <c r="C115" i="14"/>
  <c r="C149" i="14"/>
  <c r="H141" i="14"/>
  <c r="H140" i="14" s="1"/>
  <c r="F141" i="14"/>
  <c r="F140" i="14" s="1"/>
  <c r="C113" i="14"/>
  <c r="C163" i="14"/>
  <c r="C122" i="14"/>
  <c r="C102" i="14"/>
  <c r="C97" i="14"/>
  <c r="F146" i="14"/>
  <c r="C142" i="14"/>
  <c r="D153" i="14"/>
  <c r="C154" i="14"/>
  <c r="D91" i="14"/>
  <c r="D146" i="14"/>
  <c r="D5" i="14"/>
  <c r="D107" i="14"/>
  <c r="D120" i="14"/>
  <c r="D116" i="14"/>
  <c r="C116" i="14" s="1"/>
  <c r="D114" i="14"/>
  <c r="D106" i="14"/>
  <c r="C106" i="14" s="1"/>
  <c r="D103" i="14"/>
  <c r="D111" i="14"/>
  <c r="D94" i="14"/>
  <c r="D88" i="14"/>
  <c r="D85" i="14"/>
  <c r="D82" i="14"/>
  <c r="H26" i="13"/>
  <c r="F25" i="13"/>
  <c r="N24" i="13"/>
  <c r="J24" i="13"/>
  <c r="F3" i="25"/>
  <c r="D3" i="25"/>
  <c r="H41" i="25"/>
  <c r="H40" i="25"/>
  <c r="H38" i="25"/>
  <c r="H37" i="25"/>
  <c r="H34" i="25"/>
  <c r="H32" i="25"/>
  <c r="H31" i="25"/>
  <c r="H29" i="25"/>
  <c r="H22" i="25"/>
  <c r="J108" i="17"/>
  <c r="K108" i="17" s="1"/>
  <c r="J96" i="17"/>
  <c r="K96" i="17" s="1"/>
  <c r="H146" i="14" s="1"/>
  <c r="J92" i="17"/>
  <c r="K92" i="17" s="1"/>
  <c r="H137" i="14" s="1"/>
  <c r="J90" i="17"/>
  <c r="K90" i="17" s="1"/>
  <c r="H121" i="14" s="1"/>
  <c r="H120" i="14" s="1"/>
  <c r="H119" i="14" s="1"/>
  <c r="J89" i="17"/>
  <c r="K89" i="17" s="1"/>
  <c r="H118" i="14" s="1"/>
  <c r="J86" i="17"/>
  <c r="K86" i="17" s="1"/>
  <c r="H114" i="14" s="1"/>
  <c r="J84" i="17"/>
  <c r="K84" i="17" s="1"/>
  <c r="H111" i="14" s="1"/>
  <c r="H110" i="14" s="1"/>
  <c r="J83" i="17"/>
  <c r="K83" i="17" s="1"/>
  <c r="H109" i="14" s="1"/>
  <c r="J82" i="17"/>
  <c r="K82" i="17" s="1"/>
  <c r="H108" i="14" s="1"/>
  <c r="C108" i="14" s="1"/>
  <c r="J81" i="17"/>
  <c r="K81" i="17" s="1"/>
  <c r="H107" i="14" s="1"/>
  <c r="J79" i="17"/>
  <c r="K79" i="17" s="1"/>
  <c r="H105" i="14" s="1"/>
  <c r="C105" i="14" s="1"/>
  <c r="J78" i="17"/>
  <c r="K78" i="17" s="1"/>
  <c r="H104" i="14" s="1"/>
  <c r="C104" i="14" s="1"/>
  <c r="J77" i="17"/>
  <c r="K77" i="17" s="1"/>
  <c r="H103" i="14" s="1"/>
  <c r="J75" i="17"/>
  <c r="K75" i="17" s="1"/>
  <c r="H101" i="14" s="1"/>
  <c r="J74" i="17"/>
  <c r="K74" i="17" s="1"/>
  <c r="H99" i="14" s="1"/>
  <c r="C99" i="14" s="1"/>
  <c r="J73" i="17"/>
  <c r="K73" i="17" s="1"/>
  <c r="H98" i="14" s="1"/>
  <c r="C98" i="14" s="1"/>
  <c r="J71" i="17"/>
  <c r="K71" i="17" s="1"/>
  <c r="H96" i="14" s="1"/>
  <c r="C96" i="14" s="1"/>
  <c r="J70" i="17"/>
  <c r="K70" i="17" s="1"/>
  <c r="H95" i="14" s="1"/>
  <c r="J69" i="17"/>
  <c r="K69" i="17" s="1"/>
  <c r="H93" i="14" s="1"/>
  <c r="C93" i="14" s="1"/>
  <c r="J68" i="17"/>
  <c r="K68" i="17" s="1"/>
  <c r="H91" i="14" s="1"/>
  <c r="J67" i="17"/>
  <c r="K67" i="17" s="1"/>
  <c r="F3" i="4"/>
  <c r="H86" i="14" l="1"/>
  <c r="H85" i="14" s="1"/>
  <c r="H80" i="14" s="1"/>
  <c r="D13" i="32"/>
  <c r="I37" i="25"/>
  <c r="J107" i="14" s="1"/>
  <c r="J33" i="14"/>
  <c r="I22" i="25"/>
  <c r="N107" i="14" s="1"/>
  <c r="N100" i="14" s="1"/>
  <c r="N89" i="14" s="1"/>
  <c r="N33" i="14"/>
  <c r="N26" i="14" s="1"/>
  <c r="N15" i="14" s="1"/>
  <c r="N5" i="14" s="1"/>
  <c r="I29" i="25"/>
  <c r="J82" i="14" s="1"/>
  <c r="J81" i="14" s="1"/>
  <c r="J8" i="14"/>
  <c r="I38" i="25"/>
  <c r="J109" i="14" s="1"/>
  <c r="C109" i="14" s="1"/>
  <c r="J35" i="14"/>
  <c r="C35" i="14" s="1"/>
  <c r="I34" i="25"/>
  <c r="J95" i="14" s="1"/>
  <c r="J94" i="14" s="1"/>
  <c r="J21" i="14"/>
  <c r="I40" i="25"/>
  <c r="J114" i="14" s="1"/>
  <c r="C114" i="14" s="1"/>
  <c r="J40" i="14"/>
  <c r="I41" i="25"/>
  <c r="J118" i="14" s="1"/>
  <c r="C118" i="14" s="1"/>
  <c r="J44" i="14"/>
  <c r="C44" i="14" s="1"/>
  <c r="I31" i="25"/>
  <c r="J88" i="14" s="1"/>
  <c r="J87" i="14" s="1"/>
  <c r="J14" i="14"/>
  <c r="I32" i="25"/>
  <c r="J91" i="14" s="1"/>
  <c r="J90" i="14" s="1"/>
  <c r="J17" i="14"/>
  <c r="N125" i="14"/>
  <c r="C125" i="14" s="1"/>
  <c r="C126" i="14"/>
  <c r="C153" i="14"/>
  <c r="C88" i="14"/>
  <c r="H136" i="14"/>
  <c r="H135" i="14" s="1"/>
  <c r="C132" i="14"/>
  <c r="J128" i="14"/>
  <c r="C141" i="14"/>
  <c r="F79" i="14"/>
  <c r="C137" i="14"/>
  <c r="C120" i="14"/>
  <c r="C121" i="14"/>
  <c r="H112" i="14"/>
  <c r="C111" i="14"/>
  <c r="C103" i="14"/>
  <c r="H100" i="14"/>
  <c r="H94" i="14"/>
  <c r="C101" i="14"/>
  <c r="C146" i="14"/>
  <c r="H90" i="14"/>
  <c r="D90" i="14"/>
  <c r="D135" i="14"/>
  <c r="D140" i="14"/>
  <c r="C140" i="14" s="1"/>
  <c r="D119" i="14"/>
  <c r="C119" i="14" s="1"/>
  <c r="D112" i="14"/>
  <c r="D100" i="14"/>
  <c r="D110" i="14"/>
  <c r="C110" i="14" s="1"/>
  <c r="D87" i="14"/>
  <c r="D81" i="14"/>
  <c r="J80" i="14" l="1"/>
  <c r="C85" i="14"/>
  <c r="C86" i="14"/>
  <c r="C87" i="14"/>
  <c r="C81" i="14"/>
  <c r="J100" i="14"/>
  <c r="C100" i="14" s="1"/>
  <c r="C95" i="14"/>
  <c r="C107" i="14"/>
  <c r="J20" i="14"/>
  <c r="C20" i="14" s="1"/>
  <c r="C21" i="14"/>
  <c r="J16" i="14"/>
  <c r="C17" i="14"/>
  <c r="J7" i="14"/>
  <c r="C8" i="14"/>
  <c r="J38" i="14"/>
  <c r="C38" i="14" s="1"/>
  <c r="C40" i="14"/>
  <c r="J112" i="14"/>
  <c r="C94" i="14"/>
  <c r="J13" i="14"/>
  <c r="C13" i="14" s="1"/>
  <c r="C14" i="14"/>
  <c r="C82" i="14"/>
  <c r="J26" i="14"/>
  <c r="C26" i="14" s="1"/>
  <c r="C33" i="14"/>
  <c r="N79" i="14"/>
  <c r="C136" i="14"/>
  <c r="C91" i="14"/>
  <c r="C135" i="14"/>
  <c r="C131" i="14"/>
  <c r="H89" i="14"/>
  <c r="H79" i="14" s="1"/>
  <c r="C90" i="14"/>
  <c r="D89" i="14"/>
  <c r="D80" i="14"/>
  <c r="M42" i="4"/>
  <c r="N163" i="17"/>
  <c r="N161" i="17"/>
  <c r="N160" i="17"/>
  <c r="J89" i="14" l="1"/>
  <c r="J79" i="14" s="1"/>
  <c r="C112" i="14"/>
  <c r="C16" i="14"/>
  <c r="J15" i="14"/>
  <c r="C15" i="14" s="1"/>
  <c r="J6" i="14"/>
  <c r="C7" i="14"/>
  <c r="C128" i="14"/>
  <c r="D79" i="14"/>
  <c r="C80" i="14"/>
  <c r="N162" i="17"/>
  <c r="N164" i="17" s="1"/>
  <c r="AF952" i="25"/>
  <c r="AG952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C89" i="14" l="1"/>
  <c r="C6" i="14"/>
  <c r="J5" i="14"/>
  <c r="C5" i="14" s="1"/>
  <c r="C20" i="12" s="1"/>
  <c r="D20" i="12" s="1"/>
  <c r="C79" i="14"/>
  <c r="G47" i="25"/>
  <c r="T47" i="25" s="1"/>
  <c r="G48" i="25"/>
  <c r="T48" i="25" s="1"/>
  <c r="G53" i="25"/>
  <c r="T53" i="25" s="1"/>
  <c r="G58" i="25"/>
  <c r="T58" i="25" s="1"/>
  <c r="G63" i="25"/>
  <c r="T63" i="25" s="1"/>
  <c r="G64" i="25"/>
  <c r="T64" i="25" s="1"/>
  <c r="G70" i="25"/>
  <c r="T70" i="25" s="1"/>
  <c r="G76" i="25"/>
  <c r="T76" i="25" s="1"/>
  <c r="G79" i="25"/>
  <c r="T79" i="25" s="1"/>
  <c r="G82" i="25"/>
  <c r="T82" i="25" s="1"/>
  <c r="G83" i="25"/>
  <c r="T83" i="25" s="1"/>
  <c r="G88" i="25"/>
  <c r="T88" i="25" s="1"/>
  <c r="G94" i="25"/>
  <c r="T94" i="25" s="1"/>
  <c r="G95" i="25"/>
  <c r="T95" i="25" s="1"/>
  <c r="G100" i="25"/>
  <c r="T100" i="25" s="1"/>
  <c r="G104" i="25"/>
  <c r="T104" i="25" s="1"/>
  <c r="G106" i="25"/>
  <c r="T106" i="25" s="1"/>
  <c r="G111" i="25"/>
  <c r="T111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G502" i="25"/>
  <c r="T502" i="25" s="1"/>
  <c r="G503" i="25"/>
  <c r="T503" i="25" s="1"/>
  <c r="G504" i="25"/>
  <c r="T504" i="25" s="1"/>
  <c r="G505" i="25"/>
  <c r="T505" i="25" s="1"/>
  <c r="G506" i="25"/>
  <c r="T506" i="25" s="1"/>
  <c r="G507" i="25"/>
  <c r="T507" i="25" s="1"/>
  <c r="G508" i="25"/>
  <c r="T508" i="25" s="1"/>
  <c r="G509" i="25"/>
  <c r="T509" i="25" s="1"/>
  <c r="G510" i="25"/>
  <c r="T510" i="25" s="1"/>
  <c r="G511" i="25"/>
  <c r="T511" i="25" s="1"/>
  <c r="G512" i="25"/>
  <c r="T512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20" i="25"/>
  <c r="AG20" i="25" s="1"/>
  <c r="AF22" i="25"/>
  <c r="AG22" i="25" s="1"/>
  <c r="AF24" i="25"/>
  <c r="AG24" i="25" s="1"/>
  <c r="AF26" i="25"/>
  <c r="AG26" i="25" s="1"/>
  <c r="AF27" i="25"/>
  <c r="AG27" i="25" s="1"/>
  <c r="AF28" i="25"/>
  <c r="AG28" i="25" s="1"/>
  <c r="AF29" i="25"/>
  <c r="AG29" i="25" s="1"/>
  <c r="AF31" i="25"/>
  <c r="AG31" i="25" s="1"/>
  <c r="AF32" i="25"/>
  <c r="AG32" i="25" s="1"/>
  <c r="AF34" i="25"/>
  <c r="AG34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AF241" i="25"/>
  <c r="AG241" i="25" s="1"/>
  <c r="AF242" i="25"/>
  <c r="AG242" i="25" s="1"/>
  <c r="AF243" i="25"/>
  <c r="AG243" i="25" s="1"/>
  <c r="AF244" i="25"/>
  <c r="AG244" i="25" s="1"/>
  <c r="AF245" i="25"/>
  <c r="AG245" i="25" s="1"/>
  <c r="AF246" i="25"/>
  <c r="AG246" i="25" s="1"/>
  <c r="AF247" i="25"/>
  <c r="AG247" i="25" s="1"/>
  <c r="AF248" i="25"/>
  <c r="AG248" i="25" s="1"/>
  <c r="AF249" i="25"/>
  <c r="AG249" i="25" s="1"/>
  <c r="AF250" i="25"/>
  <c r="AG250" i="25" s="1"/>
  <c r="AF251" i="25"/>
  <c r="AG251" i="25" s="1"/>
  <c r="AF252" i="25"/>
  <c r="AG252" i="25" s="1"/>
  <c r="AF253" i="25"/>
  <c r="AG253" i="25" s="1"/>
  <c r="AF254" i="25"/>
  <c r="AG254" i="25" s="1"/>
  <c r="AF255" i="25"/>
  <c r="AG255" i="25" s="1"/>
  <c r="AF256" i="25"/>
  <c r="AG256" i="25" s="1"/>
  <c r="G62" i="25" s="1"/>
  <c r="T62" i="25" s="1"/>
  <c r="AF257" i="25"/>
  <c r="AG257" i="25" s="1"/>
  <c r="G39" i="25" s="1"/>
  <c r="T39" i="25" s="1"/>
  <c r="AF258" i="25"/>
  <c r="AG258" i="25" s="1"/>
  <c r="AF259" i="25"/>
  <c r="AG259" i="25" s="1"/>
  <c r="G86" i="25" s="1"/>
  <c r="T86" i="25" s="1"/>
  <c r="AF260" i="25"/>
  <c r="AG260" i="25" s="1"/>
  <c r="AF261" i="25"/>
  <c r="AG261" i="25" s="1"/>
  <c r="G68" i="25" s="1"/>
  <c r="T68" i="25" s="1"/>
  <c r="AF262" i="25"/>
  <c r="AG262" i="25" s="1"/>
  <c r="G56" i="25" s="1"/>
  <c r="T56" i="25" s="1"/>
  <c r="AF263" i="25"/>
  <c r="AG263" i="25" s="1"/>
  <c r="G50" i="25" s="1"/>
  <c r="T50" i="25" s="1"/>
  <c r="AF264" i="25"/>
  <c r="AG264" i="25" s="1"/>
  <c r="G80" i="25" s="1"/>
  <c r="T80" i="25" s="1"/>
  <c r="AF265" i="25"/>
  <c r="AG265" i="25" s="1"/>
  <c r="G77" i="25" s="1"/>
  <c r="T77" i="25" s="1"/>
  <c r="AF266" i="25"/>
  <c r="AG266" i="25" s="1"/>
  <c r="G98" i="25" s="1"/>
  <c r="T98" i="25" s="1"/>
  <c r="AF267" i="25"/>
  <c r="AG267" i="25" s="1"/>
  <c r="G74" i="25" s="1"/>
  <c r="T74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AF938" i="25"/>
  <c r="AG938" i="25" s="1"/>
  <c r="AF939" i="25"/>
  <c r="AG939" i="25" s="1"/>
  <c r="AF940" i="25"/>
  <c r="AG940" i="25" s="1"/>
  <c r="G10" i="25" s="1"/>
  <c r="AF941" i="25"/>
  <c r="AG941" i="25" s="1"/>
  <c r="G7" i="25" s="1"/>
  <c r="AF942" i="25"/>
  <c r="AG942" i="25" s="1"/>
  <c r="AF943" i="25"/>
  <c r="AG943" i="25" s="1"/>
  <c r="G112" i="25" s="1"/>
  <c r="T112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G110" i="25" s="1"/>
  <c r="T110" i="25" s="1"/>
  <c r="AF949" i="25"/>
  <c r="AG949" i="25" s="1"/>
  <c r="AF950" i="25"/>
  <c r="AG950" i="25" s="1"/>
  <c r="AF951" i="25"/>
  <c r="AG951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1091" i="25"/>
  <c r="AG1091" i="25" s="1"/>
  <c r="AF1092" i="25"/>
  <c r="AG1092" i="25" s="1"/>
  <c r="AF1093" i="25"/>
  <c r="AG1093" i="25" s="1"/>
  <c r="AF1094" i="25"/>
  <c r="AG1094" i="25" s="1"/>
  <c r="AF1095" i="25"/>
  <c r="AG1095" i="25" s="1"/>
  <c r="AF1096" i="25"/>
  <c r="AG1096" i="25" s="1"/>
  <c r="AF1097" i="25"/>
  <c r="AG1097" i="25" s="1"/>
  <c r="AF1098" i="25"/>
  <c r="AG1098" i="25" s="1"/>
  <c r="AF1099" i="25"/>
  <c r="AG1099" i="25" s="1"/>
  <c r="AF1100" i="25"/>
  <c r="AG1100" i="25" s="1"/>
  <c r="AF1101" i="25"/>
  <c r="AG1101" i="25" s="1"/>
  <c r="AF9" i="25"/>
  <c r="AG9" i="25" s="1"/>
  <c r="G21" i="25" l="1"/>
  <c r="G23" i="25"/>
  <c r="G18" i="25"/>
  <c r="G19" i="25"/>
  <c r="G16" i="25"/>
  <c r="G17" i="25"/>
  <c r="G13" i="25"/>
  <c r="T13" i="25" s="1"/>
  <c r="G25" i="25"/>
  <c r="G33" i="25"/>
  <c r="G44" i="25"/>
  <c r="T44" i="25" s="1"/>
  <c r="G35" i="25"/>
  <c r="G38" i="25"/>
  <c r="T38" i="25" s="1"/>
  <c r="G30" i="25"/>
  <c r="G14" i="25"/>
  <c r="T14" i="25" s="1"/>
  <c r="G24" i="25"/>
  <c r="T24" i="25" s="1"/>
  <c r="G28" i="25"/>
  <c r="T28" i="25" s="1"/>
  <c r="G12" i="25"/>
  <c r="T12" i="25" s="1"/>
  <c r="G22" i="25"/>
  <c r="T22" i="25" s="1"/>
  <c r="G109" i="25"/>
  <c r="T109" i="25" s="1"/>
  <c r="G103" i="25"/>
  <c r="T103" i="25" s="1"/>
  <c r="G97" i="25"/>
  <c r="T97" i="25" s="1"/>
  <c r="G91" i="25"/>
  <c r="T91" i="25" s="1"/>
  <c r="G85" i="25"/>
  <c r="T85" i="25" s="1"/>
  <c r="G73" i="25"/>
  <c r="T73" i="25" s="1"/>
  <c r="G67" i="25"/>
  <c r="T67" i="25" s="1"/>
  <c r="G61" i="25"/>
  <c r="T61" i="25" s="1"/>
  <c r="G55" i="25"/>
  <c r="T55" i="25" s="1"/>
  <c r="G49" i="25"/>
  <c r="T49" i="25" s="1"/>
  <c r="G31" i="25"/>
  <c r="T31" i="25" s="1"/>
  <c r="G11" i="25"/>
  <c r="T11" i="25" s="1"/>
  <c r="G108" i="25"/>
  <c r="T108" i="25" s="1"/>
  <c r="G102" i="25"/>
  <c r="T102" i="25" s="1"/>
  <c r="G96" i="25"/>
  <c r="T96" i="25" s="1"/>
  <c r="G90" i="25"/>
  <c r="T90" i="25" s="1"/>
  <c r="G84" i="25"/>
  <c r="T84" i="25" s="1"/>
  <c r="G78" i="25"/>
  <c r="T78" i="25" s="1"/>
  <c r="G72" i="25"/>
  <c r="T72" i="25" s="1"/>
  <c r="G66" i="25"/>
  <c r="T66" i="25" s="1"/>
  <c r="G60" i="25"/>
  <c r="T60" i="25" s="1"/>
  <c r="G54" i="25"/>
  <c r="T54" i="25" s="1"/>
  <c r="G43" i="25"/>
  <c r="T43" i="25" s="1"/>
  <c r="G37" i="25"/>
  <c r="T37" i="25" s="1"/>
  <c r="G29" i="25"/>
  <c r="T29" i="25" s="1"/>
  <c r="G20" i="25"/>
  <c r="T20" i="25" s="1"/>
  <c r="G9" i="25"/>
  <c r="T9" i="25" s="1"/>
  <c r="G113" i="25"/>
  <c r="T113" i="25" s="1"/>
  <c r="G107" i="25"/>
  <c r="T107" i="25" s="1"/>
  <c r="G101" i="25"/>
  <c r="T101" i="25" s="1"/>
  <c r="G89" i="25"/>
  <c r="T89" i="25" s="1"/>
  <c r="G71" i="25"/>
  <c r="T71" i="25" s="1"/>
  <c r="G65" i="25"/>
  <c r="T65" i="25" s="1"/>
  <c r="G59" i="25"/>
  <c r="T59" i="25" s="1"/>
  <c r="G42" i="25"/>
  <c r="T42" i="25" s="1"/>
  <c r="G36" i="25"/>
  <c r="T36" i="25" s="1"/>
  <c r="G15" i="25"/>
  <c r="T15" i="25" s="1"/>
  <c r="G6" i="25"/>
  <c r="T6" i="25" s="1"/>
  <c r="G41" i="25"/>
  <c r="T41" i="25" s="1"/>
  <c r="G34" i="25"/>
  <c r="T34" i="25" s="1"/>
  <c r="G27" i="25"/>
  <c r="T27" i="25" s="1"/>
  <c r="G5" i="25"/>
  <c r="T5" i="25" s="1"/>
  <c r="G52" i="25"/>
  <c r="T52" i="25" s="1"/>
  <c r="T3" i="25"/>
  <c r="G105" i="25"/>
  <c r="T105" i="25" s="1"/>
  <c r="G99" i="25"/>
  <c r="T99" i="25" s="1"/>
  <c r="G93" i="25"/>
  <c r="T93" i="25" s="1"/>
  <c r="G87" i="25"/>
  <c r="T87" i="25" s="1"/>
  <c r="G81" i="25"/>
  <c r="T81" i="25" s="1"/>
  <c r="G75" i="25"/>
  <c r="T75" i="25" s="1"/>
  <c r="G69" i="25"/>
  <c r="T69" i="25" s="1"/>
  <c r="G57" i="25"/>
  <c r="T57" i="25" s="1"/>
  <c r="G51" i="25"/>
  <c r="T51" i="25" s="1"/>
  <c r="T46" i="25"/>
  <c r="G40" i="25"/>
  <c r="T40" i="25" s="1"/>
  <c r="G32" i="25"/>
  <c r="T32" i="25" s="1"/>
  <c r="G26" i="25"/>
  <c r="T26" i="25" s="1"/>
  <c r="G4" i="25"/>
  <c r="T4" i="25" s="1"/>
  <c r="G92" i="25"/>
  <c r="T92" i="25" s="1"/>
  <c r="T45" i="25"/>
  <c r="V218" i="14"/>
  <c r="T218" i="14"/>
  <c r="P218" i="14"/>
  <c r="L218" i="14"/>
  <c r="T144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2" i="4"/>
  <c r="M12" i="4"/>
  <c r="L14" i="4"/>
  <c r="M14" i="4"/>
  <c r="L15" i="4"/>
  <c r="M15" i="4"/>
  <c r="L16" i="4"/>
  <c r="M16" i="4"/>
  <c r="L17" i="4"/>
  <c r="M17" i="4"/>
  <c r="L18" i="4"/>
  <c r="M18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L502" i="4"/>
  <c r="M502" i="4"/>
  <c r="L503" i="4"/>
  <c r="M503" i="4"/>
  <c r="L504" i="4"/>
  <c r="M504" i="4"/>
  <c r="M3" i="4"/>
  <c r="L3" i="4"/>
  <c r="K144" i="14" l="1"/>
  <c r="G218" i="14"/>
  <c r="R218" i="14"/>
  <c r="G144" i="14"/>
  <c r="L144" i="14"/>
  <c r="K218" i="14"/>
  <c r="V144" i="14"/>
  <c r="O218" i="14"/>
  <c r="O144" i="14"/>
  <c r="P144" i="14"/>
  <c r="R144" i="14"/>
  <c r="K70" i="14"/>
  <c r="O70" i="14"/>
  <c r="V70" i="14"/>
  <c r="R70" i="14"/>
  <c r="G70" i="14"/>
  <c r="T70" i="14"/>
  <c r="L70" i="14"/>
  <c r="P70" i="14"/>
  <c r="C34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2" i="17"/>
  <c r="R112" i="17" s="1"/>
  <c r="I113" i="17"/>
  <c r="R113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502" i="17"/>
  <c r="R502" i="17" s="1"/>
  <c r="I503" i="17"/>
  <c r="R503" i="17" s="1"/>
  <c r="I504" i="17"/>
  <c r="R504" i="17" s="1"/>
  <c r="I505" i="17"/>
  <c r="R505" i="17" s="1"/>
  <c r="I506" i="17"/>
  <c r="R506" i="17" s="1"/>
  <c r="I507" i="17"/>
  <c r="R507" i="17" s="1"/>
  <c r="I508" i="17"/>
  <c r="R508" i="17" s="1"/>
  <c r="I509" i="17"/>
  <c r="R509" i="17" s="1"/>
  <c r="I510" i="17"/>
  <c r="R510" i="17" s="1"/>
  <c r="I511" i="17"/>
  <c r="R51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2" i="17"/>
  <c r="H53" i="17"/>
  <c r="H54" i="17"/>
  <c r="H55" i="17"/>
  <c r="H56" i="17"/>
  <c r="H57" i="17"/>
  <c r="H58" i="17"/>
  <c r="H59" i="17"/>
  <c r="H60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2" i="17"/>
  <c r="H113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H506" i="17"/>
  <c r="H507" i="17"/>
  <c r="H508" i="17"/>
  <c r="H509" i="17"/>
  <c r="H510" i="17"/>
  <c r="H511" i="17"/>
  <c r="H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21" i="33" l="1"/>
  <c r="D45" i="33"/>
  <c r="C52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9" i="25"/>
  <c r="F11" i="25"/>
  <c r="F12" i="25"/>
  <c r="F13" i="25"/>
  <c r="F14" i="25"/>
  <c r="F15" i="25"/>
  <c r="F20" i="25"/>
  <c r="F22" i="25"/>
  <c r="F24" i="25"/>
  <c r="F26" i="25"/>
  <c r="F27" i="25"/>
  <c r="F28" i="25"/>
  <c r="F29" i="25"/>
  <c r="F31" i="25"/>
  <c r="F32" i="25"/>
  <c r="F34" i="25"/>
  <c r="F36" i="25"/>
  <c r="F37" i="25"/>
  <c r="F38" i="25"/>
  <c r="F39" i="25"/>
  <c r="F40" i="25"/>
  <c r="F41" i="25"/>
  <c r="F42" i="25"/>
  <c r="F43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502" i="25"/>
  <c r="F503" i="25"/>
  <c r="F504" i="25"/>
  <c r="F505" i="25"/>
  <c r="F506" i="25"/>
  <c r="F507" i="25"/>
  <c r="F508" i="25"/>
  <c r="F509" i="25"/>
  <c r="F510" i="25"/>
  <c r="F511" i="25"/>
  <c r="F512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2" i="17"/>
  <c r="Q53" i="17"/>
  <c r="Q54" i="17"/>
  <c r="Q55" i="17"/>
  <c r="Q56" i="17"/>
  <c r="Q57" i="17"/>
  <c r="Q58" i="17"/>
  <c r="Q59" i="17"/>
  <c r="Q60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2" i="17"/>
  <c r="Q113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502" i="17"/>
  <c r="Q503" i="17"/>
  <c r="Q504" i="17"/>
  <c r="Q505" i="17"/>
  <c r="Q506" i="17"/>
  <c r="Q507" i="17"/>
  <c r="Q508" i="17"/>
  <c r="Q509" i="17"/>
  <c r="Q510" i="17"/>
  <c r="Q511" i="17"/>
  <c r="Q3" i="17"/>
  <c r="Q34" i="31" l="1"/>
  <c r="Q24" i="31"/>
  <c r="Q12" i="31"/>
  <c r="Q23" i="31"/>
  <c r="Q13" i="31"/>
  <c r="Q35" i="31"/>
  <c r="F504" i="4"/>
  <c r="D504" i="4"/>
  <c r="C504" i="4"/>
  <c r="B504" i="4"/>
  <c r="A504" i="4"/>
  <c r="F503" i="4"/>
  <c r="D503" i="4"/>
  <c r="C503" i="4"/>
  <c r="B503" i="4"/>
  <c r="A503" i="4"/>
  <c r="F502" i="4"/>
  <c r="D502" i="4"/>
  <c r="C502" i="4"/>
  <c r="B502" i="4"/>
  <c r="A502" i="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F21" i="4"/>
  <c r="D21" i="4"/>
  <c r="C21" i="4"/>
  <c r="F18" i="4"/>
  <c r="D18" i="4"/>
  <c r="C18" i="4"/>
  <c r="F17" i="4"/>
  <c r="D17" i="4"/>
  <c r="C17" i="4"/>
  <c r="F16" i="4"/>
  <c r="D16" i="4"/>
  <c r="C16" i="4"/>
  <c r="F15" i="4"/>
  <c r="D15" i="4"/>
  <c r="C15" i="4"/>
  <c r="F14" i="4"/>
  <c r="D14" i="4"/>
  <c r="C14" i="4"/>
  <c r="F12" i="4"/>
  <c r="D12" i="4"/>
  <c r="C12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F4" i="4"/>
  <c r="D4" i="4"/>
  <c r="D512" i="25"/>
  <c r="B512" i="25"/>
  <c r="D511" i="25"/>
  <c r="B511" i="25"/>
  <c r="D510" i="25"/>
  <c r="B510" i="25"/>
  <c r="D509" i="25"/>
  <c r="B509" i="25"/>
  <c r="D508" i="25"/>
  <c r="B508" i="25"/>
  <c r="D507" i="25"/>
  <c r="B507" i="25"/>
  <c r="D506" i="25"/>
  <c r="B506" i="25"/>
  <c r="D505" i="25"/>
  <c r="B505" i="25"/>
  <c r="D504" i="25"/>
  <c r="B504" i="25"/>
  <c r="D503" i="25"/>
  <c r="B503" i="25"/>
  <c r="D502" i="25"/>
  <c r="B502" i="25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D46" i="25"/>
  <c r="D45" i="25"/>
  <c r="B45" i="25"/>
  <c r="D44" i="25"/>
  <c r="D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4" i="25"/>
  <c r="B34" i="25"/>
  <c r="D32" i="25"/>
  <c r="B32" i="25"/>
  <c r="D31" i="25"/>
  <c r="B31" i="25"/>
  <c r="D29" i="25"/>
  <c r="B29" i="25"/>
  <c r="D28" i="25"/>
  <c r="B28" i="25"/>
  <c r="D27" i="25"/>
  <c r="B27" i="25"/>
  <c r="D26" i="25"/>
  <c r="B26" i="25"/>
  <c r="D24" i="25"/>
  <c r="B24" i="25"/>
  <c r="D22" i="25"/>
  <c r="B22" i="25"/>
  <c r="D20" i="25"/>
  <c r="B20" i="25"/>
  <c r="D15" i="25"/>
  <c r="B15" i="25"/>
  <c r="D14" i="25"/>
  <c r="B14" i="25"/>
  <c r="D13" i="25"/>
  <c r="B13" i="25"/>
  <c r="D12" i="25"/>
  <c r="B12" i="25"/>
  <c r="D11" i="25"/>
  <c r="B11" i="25"/>
  <c r="D9" i="25"/>
  <c r="B9" i="25"/>
  <c r="D6" i="25"/>
  <c r="B6" i="25"/>
  <c r="D5" i="25"/>
  <c r="B5" i="25"/>
  <c r="D4" i="25"/>
  <c r="B4" i="25"/>
  <c r="F511" i="17"/>
  <c r="D511" i="17"/>
  <c r="B511" i="17"/>
  <c r="A511" i="17"/>
  <c r="F510" i="17"/>
  <c r="D510" i="17"/>
  <c r="B510" i="17"/>
  <c r="A510" i="17"/>
  <c r="F509" i="17"/>
  <c r="D509" i="17"/>
  <c r="B509" i="17"/>
  <c r="A509" i="17"/>
  <c r="F508" i="17"/>
  <c r="D508" i="17"/>
  <c r="B508" i="17"/>
  <c r="A508" i="17"/>
  <c r="F507" i="17"/>
  <c r="D507" i="17"/>
  <c r="B507" i="17"/>
  <c r="A507" i="17"/>
  <c r="F506" i="17"/>
  <c r="D506" i="17"/>
  <c r="B506" i="17"/>
  <c r="A506" i="17"/>
  <c r="F505" i="17"/>
  <c r="D505" i="17"/>
  <c r="B505" i="17"/>
  <c r="A505" i="17"/>
  <c r="F504" i="17"/>
  <c r="D504" i="17"/>
  <c r="B504" i="17"/>
  <c r="A504" i="17"/>
  <c r="F503" i="17"/>
  <c r="D503" i="17"/>
  <c r="B503" i="17"/>
  <c r="A503" i="17"/>
  <c r="F502" i="17"/>
  <c r="D502" i="17"/>
  <c r="B502" i="17"/>
  <c r="A502" i="17"/>
  <c r="F501" i="17"/>
  <c r="D501" i="17"/>
  <c r="B501" i="17"/>
  <c r="A501" i="17"/>
  <c r="F500" i="17"/>
  <c r="D500" i="17"/>
  <c r="B500" i="17"/>
  <c r="A500" i="17"/>
  <c r="F499" i="17"/>
  <c r="D127" i="17"/>
  <c r="F498" i="17"/>
  <c r="D126" i="17"/>
  <c r="F497" i="17"/>
  <c r="D125" i="17"/>
  <c r="F496" i="17"/>
  <c r="D124" i="17"/>
  <c r="F495" i="17"/>
  <c r="D123" i="17"/>
  <c r="F494" i="17"/>
  <c r="D122" i="17"/>
  <c r="F493" i="17"/>
  <c r="D121" i="17"/>
  <c r="F492" i="17"/>
  <c r="D120" i="17"/>
  <c r="F491" i="17"/>
  <c r="D119" i="17"/>
  <c r="F490" i="17"/>
  <c r="D113" i="17"/>
  <c r="F489" i="17"/>
  <c r="D112" i="17"/>
  <c r="F488" i="17"/>
  <c r="D110" i="17"/>
  <c r="F487" i="17"/>
  <c r="D109" i="17"/>
  <c r="F486" i="17"/>
  <c r="D108" i="17"/>
  <c r="F485" i="17"/>
  <c r="D107" i="17"/>
  <c r="F484" i="17"/>
  <c r="D106" i="17"/>
  <c r="F483" i="17"/>
  <c r="D105" i="17"/>
  <c r="F482" i="17"/>
  <c r="D104" i="17"/>
  <c r="F481" i="17"/>
  <c r="D103" i="17"/>
  <c r="F480" i="17"/>
  <c r="D102" i="17"/>
  <c r="F479" i="17"/>
  <c r="D101" i="17"/>
  <c r="F478" i="17"/>
  <c r="D100" i="17"/>
  <c r="F477" i="17"/>
  <c r="D99" i="17"/>
  <c r="F476" i="17"/>
  <c r="D98" i="17"/>
  <c r="F475" i="17"/>
  <c r="D96" i="17"/>
  <c r="F474" i="17"/>
  <c r="D95" i="17"/>
  <c r="F473" i="17"/>
  <c r="D94" i="17"/>
  <c r="F472" i="17"/>
  <c r="D93" i="17"/>
  <c r="F471" i="17"/>
  <c r="D92" i="17"/>
  <c r="F470" i="17"/>
  <c r="D91" i="17"/>
  <c r="F469" i="17"/>
  <c r="D90" i="17"/>
  <c r="F468" i="17"/>
  <c r="D89" i="17"/>
  <c r="F467" i="17"/>
  <c r="D88" i="17"/>
  <c r="F466" i="17"/>
  <c r="D87" i="17"/>
  <c r="F465" i="17"/>
  <c r="D86" i="17"/>
  <c r="F464" i="17"/>
  <c r="D85" i="17"/>
  <c r="F463" i="17"/>
  <c r="D84" i="17"/>
  <c r="F462" i="17"/>
  <c r="D83" i="17"/>
  <c r="F461" i="17"/>
  <c r="D82" i="17"/>
  <c r="F460" i="17"/>
  <c r="D81" i="17"/>
  <c r="F459" i="17"/>
  <c r="D80" i="17"/>
  <c r="F458" i="17"/>
  <c r="D79" i="17"/>
  <c r="F457" i="17"/>
  <c r="D78" i="17"/>
  <c r="F456" i="17"/>
  <c r="D77" i="17"/>
  <c r="F455" i="17"/>
  <c r="D76" i="17"/>
  <c r="F454" i="17"/>
  <c r="D75" i="17"/>
  <c r="F453" i="17"/>
  <c r="D74" i="17"/>
  <c r="F452" i="17"/>
  <c r="D73" i="17"/>
  <c r="F451" i="17"/>
  <c r="D72" i="17"/>
  <c r="F450" i="17"/>
  <c r="D71" i="17"/>
  <c r="F449" i="17"/>
  <c r="D70" i="17"/>
  <c r="F448" i="17"/>
  <c r="D69" i="17"/>
  <c r="F447" i="17"/>
  <c r="D68" i="17"/>
  <c r="F446" i="17"/>
  <c r="D67" i="17"/>
  <c r="F445" i="17"/>
  <c r="D66" i="17"/>
  <c r="F444" i="17"/>
  <c r="D65" i="17"/>
  <c r="F443" i="17"/>
  <c r="D64" i="17"/>
  <c r="F442" i="17"/>
  <c r="D63" i="17"/>
  <c r="F441" i="17"/>
  <c r="D62" i="17"/>
  <c r="F440" i="17"/>
  <c r="D60" i="17"/>
  <c r="F439" i="17"/>
  <c r="D59" i="17"/>
  <c r="F438" i="17"/>
  <c r="D58" i="17"/>
  <c r="F437" i="17"/>
  <c r="D57" i="17"/>
  <c r="F436" i="17"/>
  <c r="D56" i="17"/>
  <c r="F435" i="17"/>
  <c r="D55" i="17"/>
  <c r="F434" i="17"/>
  <c r="D54" i="17"/>
  <c r="F433" i="17"/>
  <c r="D53" i="17"/>
  <c r="F432" i="17"/>
  <c r="D52" i="17"/>
  <c r="F431" i="17"/>
  <c r="D50" i="17"/>
  <c r="F430" i="17"/>
  <c r="D49" i="17"/>
  <c r="F429" i="17"/>
  <c r="D48" i="17"/>
  <c r="F428" i="17"/>
  <c r="D47" i="17"/>
  <c r="F427" i="17"/>
  <c r="D46" i="17"/>
  <c r="F426" i="17"/>
  <c r="D45" i="17"/>
  <c r="F425" i="17"/>
  <c r="D44" i="17"/>
  <c r="F424" i="17"/>
  <c r="D43" i="17"/>
  <c r="F423" i="17"/>
  <c r="D42" i="17"/>
  <c r="F422" i="17"/>
  <c r="D41" i="17"/>
  <c r="F421" i="17"/>
  <c r="D40" i="17"/>
  <c r="F420" i="17"/>
  <c r="D39" i="17"/>
  <c r="F419" i="17"/>
  <c r="D38" i="17"/>
  <c r="F418" i="17"/>
  <c r="D36" i="17"/>
  <c r="F417" i="17"/>
  <c r="D35" i="17"/>
  <c r="F416" i="17"/>
  <c r="D34" i="17"/>
  <c r="F415" i="17"/>
  <c r="D33" i="17"/>
  <c r="F414" i="17"/>
  <c r="D32" i="17"/>
  <c r="F413" i="17"/>
  <c r="D31" i="17"/>
  <c r="F412" i="17"/>
  <c r="D30" i="17"/>
  <c r="F411" i="17"/>
  <c r="D29" i="17"/>
  <c r="F410" i="17"/>
  <c r="D28" i="17"/>
  <c r="F409" i="17"/>
  <c r="D27" i="17"/>
  <c r="F408" i="17"/>
  <c r="D26" i="17"/>
  <c r="F407" i="17"/>
  <c r="D25" i="17"/>
  <c r="F406" i="17"/>
  <c r="D24" i="17"/>
  <c r="F405" i="17"/>
  <c r="D23" i="17"/>
  <c r="F404" i="17"/>
  <c r="D22" i="17"/>
  <c r="F403" i="17"/>
  <c r="D21" i="17"/>
  <c r="F402" i="17"/>
  <c r="D20" i="17"/>
  <c r="F401" i="17"/>
  <c r="D19" i="17"/>
  <c r="F400" i="17"/>
  <c r="D18" i="17"/>
  <c r="F399" i="17"/>
  <c r="D17" i="17"/>
  <c r="F398" i="17"/>
  <c r="D16" i="17"/>
  <c r="F397" i="17"/>
  <c r="D15" i="17"/>
  <c r="F396" i="17"/>
  <c r="D14" i="17"/>
  <c r="F395" i="17"/>
  <c r="D13" i="17"/>
  <c r="F394" i="17"/>
  <c r="D12" i="17"/>
  <c r="F393" i="17"/>
  <c r="D11" i="17"/>
  <c r="F392" i="17"/>
  <c r="D10" i="17"/>
  <c r="F391" i="17"/>
  <c r="D9" i="17"/>
  <c r="F390" i="17"/>
  <c r="D8" i="17"/>
  <c r="F389" i="17"/>
  <c r="D7" i="17"/>
  <c r="F388" i="17"/>
  <c r="D6" i="17"/>
  <c r="F387" i="17"/>
  <c r="D5" i="17"/>
  <c r="F386" i="17"/>
  <c r="D4" i="17"/>
  <c r="F385" i="17"/>
  <c r="D3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F127" i="17"/>
  <c r="F126" i="17"/>
  <c r="F125" i="17"/>
  <c r="F124" i="17"/>
  <c r="F123" i="17"/>
  <c r="F122" i="17"/>
  <c r="F121" i="17"/>
  <c r="F120" i="17"/>
  <c r="F119" i="17"/>
  <c r="F113" i="17"/>
  <c r="F112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0" i="17"/>
  <c r="F59" i="17"/>
  <c r="F58" i="17"/>
  <c r="F57" i="17"/>
  <c r="F56" i="17"/>
  <c r="F55" i="17"/>
  <c r="F54" i="17"/>
  <c r="F53" i="17"/>
  <c r="F52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Q218" i="14" l="1"/>
  <c r="Q144" i="14"/>
  <c r="Q70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32" i="13"/>
  <c r="E32" i="13"/>
  <c r="G31" i="13"/>
  <c r="I29" i="13"/>
  <c r="K28" i="13"/>
  <c r="M27" i="13"/>
  <c r="O26" i="13"/>
  <c r="Q25" i="13"/>
  <c r="S24" i="13"/>
  <c r="U23" i="13"/>
  <c r="E23" i="13"/>
  <c r="G18" i="13"/>
  <c r="I17" i="13"/>
  <c r="K15" i="13"/>
  <c r="M14" i="13"/>
  <c r="O13" i="13"/>
  <c r="Q12" i="13"/>
  <c r="S11" i="13"/>
  <c r="U10" i="13"/>
  <c r="G9" i="13"/>
  <c r="H17" i="13"/>
  <c r="H32" i="13"/>
  <c r="J31" i="13"/>
  <c r="L29" i="13"/>
  <c r="N28" i="13"/>
  <c r="P27" i="13"/>
  <c r="R26" i="13"/>
  <c r="T25" i="13"/>
  <c r="D25" i="13"/>
  <c r="F24" i="13"/>
  <c r="H23" i="13"/>
  <c r="T17" i="13"/>
  <c r="O32" i="13"/>
  <c r="Q31" i="13"/>
  <c r="S29" i="13"/>
  <c r="U28" i="13"/>
  <c r="E28" i="13"/>
  <c r="G27" i="13"/>
  <c r="I26" i="13"/>
  <c r="K25" i="13"/>
  <c r="M24" i="13"/>
  <c r="O23" i="13"/>
  <c r="Q18" i="13"/>
  <c r="S17" i="13"/>
  <c r="U15" i="13"/>
  <c r="T31" i="13"/>
  <c r="J27" i="13"/>
  <c r="R23" i="13"/>
  <c r="N15" i="13"/>
  <c r="J14" i="13"/>
  <c r="F13" i="13"/>
  <c r="U11" i="13"/>
  <c r="Q32" i="13"/>
  <c r="S31" i="13"/>
  <c r="U29" i="13"/>
  <c r="E29" i="13"/>
  <c r="G28" i="13"/>
  <c r="I27" i="13"/>
  <c r="K26" i="13"/>
  <c r="M25" i="13"/>
  <c r="O24" i="13"/>
  <c r="Q23" i="13"/>
  <c r="S18" i="13"/>
  <c r="U17" i="13"/>
  <c r="E17" i="13"/>
  <c r="G15" i="13"/>
  <c r="I14" i="13"/>
  <c r="K13" i="13"/>
  <c r="M12" i="13"/>
  <c r="O11" i="13"/>
  <c r="Q10" i="13"/>
  <c r="S9" i="13"/>
  <c r="D23" i="13"/>
  <c r="T32" i="13"/>
  <c r="D32" i="13"/>
  <c r="F31" i="13"/>
  <c r="J28" i="13"/>
  <c r="L27" i="13"/>
  <c r="M32" i="13"/>
  <c r="O31" i="13"/>
  <c r="Q29" i="13"/>
  <c r="S28" i="13"/>
  <c r="U27" i="13"/>
  <c r="E27" i="13"/>
  <c r="G26" i="13"/>
  <c r="I25" i="13"/>
  <c r="K24" i="13"/>
  <c r="M23" i="13"/>
  <c r="O18" i="13"/>
  <c r="Q17" i="13"/>
  <c r="S15" i="13"/>
  <c r="U14" i="13"/>
  <c r="E14" i="13"/>
  <c r="G13" i="13"/>
  <c r="I12" i="13"/>
  <c r="K11" i="13"/>
  <c r="M10" i="13"/>
  <c r="O9" i="13"/>
  <c r="F18" i="13"/>
  <c r="P32" i="13"/>
  <c r="R31" i="13"/>
  <c r="T29" i="13"/>
  <c r="D29" i="13"/>
  <c r="F28" i="13"/>
  <c r="H27" i="13"/>
  <c r="J26" i="13"/>
  <c r="L25" i="13"/>
  <c r="P23" i="13"/>
  <c r="N18" i="13"/>
  <c r="D17" i="13"/>
  <c r="G32" i="13"/>
  <c r="I31" i="13"/>
  <c r="K29" i="13"/>
  <c r="M28" i="13"/>
  <c r="O27" i="13"/>
  <c r="Q26" i="13"/>
  <c r="S25" i="13"/>
  <c r="U24" i="13"/>
  <c r="G23" i="13"/>
  <c r="I18" i="13"/>
  <c r="K17" i="13"/>
  <c r="M15" i="13"/>
  <c r="F29" i="13"/>
  <c r="N25" i="13"/>
  <c r="D18" i="13"/>
  <c r="T14" i="13"/>
  <c r="Q13" i="13"/>
  <c r="N12" i="13"/>
  <c r="J11" i="13"/>
  <c r="G10" i="13"/>
  <c r="D9" i="13"/>
  <c r="P26" i="13"/>
  <c r="F14" i="13"/>
  <c r="P31" i="13"/>
  <c r="F27" i="13"/>
  <c r="N23" i="13"/>
  <c r="L15" i="13"/>
  <c r="H14" i="13"/>
  <c r="E13" i="13"/>
  <c r="T11" i="13"/>
  <c r="P10" i="13"/>
  <c r="M9" i="13"/>
  <c r="N29" i="13"/>
  <c r="D26" i="13"/>
  <c r="L18" i="13"/>
  <c r="E15" i="13"/>
  <c r="T13" i="13"/>
  <c r="P12" i="13"/>
  <c r="H11" i="13"/>
  <c r="L9" i="13"/>
  <c r="J29" i="13"/>
  <c r="T24" i="13"/>
  <c r="I15" i="13"/>
  <c r="M13" i="13"/>
  <c r="Q11" i="13"/>
  <c r="L11" i="13"/>
  <c r="U9" i="13"/>
  <c r="M46" i="13"/>
  <c r="O45" i="13"/>
  <c r="Q43" i="13"/>
  <c r="S42" i="13"/>
  <c r="I32" i="13"/>
  <c r="Q27" i="13"/>
  <c r="G24" i="13"/>
  <c r="O15" i="13"/>
  <c r="E12" i="13"/>
  <c r="P17" i="13"/>
  <c r="R28" i="13"/>
  <c r="F26" i="13"/>
  <c r="J18" i="13"/>
  <c r="U31" i="13"/>
  <c r="G29" i="13"/>
  <c r="K27" i="13"/>
  <c r="O25" i="13"/>
  <c r="S23" i="13"/>
  <c r="E18" i="13"/>
  <c r="R32" i="13"/>
  <c r="P24" i="13"/>
  <c r="O14" i="13"/>
  <c r="H12" i="13"/>
  <c r="L10" i="13"/>
  <c r="R11" i="13"/>
  <c r="J17" i="13"/>
  <c r="N32" i="13"/>
  <c r="R17" i="13"/>
  <c r="N14" i="13"/>
  <c r="R12" i="13"/>
  <c r="I11" i="13"/>
  <c r="R9" i="13"/>
  <c r="P28" i="13"/>
  <c r="H24" i="13"/>
  <c r="J15" i="13"/>
  <c r="N13" i="13"/>
  <c r="F12" i="13"/>
  <c r="Q9" i="13"/>
  <c r="L28" i="13"/>
  <c r="H18" i="13"/>
  <c r="R13" i="13"/>
  <c r="E9" i="13"/>
  <c r="Q46" i="13"/>
  <c r="K45" i="13"/>
  <c r="I43" i="13"/>
  <c r="G42" i="13"/>
  <c r="I41" i="13"/>
  <c r="K40" i="13"/>
  <c r="M39" i="13"/>
  <c r="O38" i="13"/>
  <c r="Q37" i="13"/>
  <c r="O46" i="13"/>
  <c r="I45" i="13"/>
  <c r="E42" i="13"/>
  <c r="E40" i="13"/>
  <c r="Q38" i="13"/>
  <c r="G37" i="13"/>
  <c r="L45" i="13"/>
  <c r="P42" i="13"/>
  <c r="J41" i="13"/>
  <c r="N39" i="13"/>
  <c r="R37" i="13"/>
  <c r="L46" i="13"/>
  <c r="N45" i="13"/>
  <c r="P43" i="13"/>
  <c r="R42" i="13"/>
  <c r="T41" i="13"/>
  <c r="D41" i="13"/>
  <c r="F40" i="13"/>
  <c r="H39" i="13"/>
  <c r="L37" i="13"/>
  <c r="U45" i="13"/>
  <c r="K43" i="13"/>
  <c r="O41" i="13"/>
  <c r="I40" i="13"/>
  <c r="T45" i="13"/>
  <c r="T42" i="13"/>
  <c r="T40" i="13"/>
  <c r="P38" i="13"/>
  <c r="J37" i="13"/>
  <c r="D14" i="13"/>
  <c r="T9" i="13"/>
  <c r="D15" i="13"/>
  <c r="J25" i="13"/>
  <c r="K31" i="13"/>
  <c r="S26" i="13"/>
  <c r="I23" i="13"/>
  <c r="Q14" i="13"/>
  <c r="G11" i="13"/>
  <c r="L32" i="13"/>
  <c r="T27" i="13"/>
  <c r="P25" i="13"/>
  <c r="T23" i="13"/>
  <c r="L17" i="13"/>
  <c r="M31" i="13"/>
  <c r="Q28" i="13"/>
  <c r="U26" i="13"/>
  <c r="G25" i="13"/>
  <c r="K23" i="13"/>
  <c r="O17" i="13"/>
  <c r="D31" i="13"/>
  <c r="T18" i="13"/>
  <c r="P11" i="13"/>
  <c r="T10" i="13"/>
  <c r="R29" i="13"/>
  <c r="T15" i="13"/>
  <c r="M29" i="13"/>
  <c r="U25" i="13"/>
  <c r="K18" i="13"/>
  <c r="S13" i="13"/>
  <c r="I10" i="13"/>
  <c r="N31" i="13"/>
  <c r="D27" i="13"/>
  <c r="H25" i="13"/>
  <c r="L23" i="13"/>
  <c r="S32" i="13"/>
  <c r="E31" i="13"/>
  <c r="I28" i="13"/>
  <c r="M26" i="13"/>
  <c r="Q24" i="13"/>
  <c r="U18" i="13"/>
  <c r="G17" i="13"/>
  <c r="H28" i="13"/>
  <c r="F17" i="13"/>
  <c r="L13" i="13"/>
  <c r="E11" i="13"/>
  <c r="N9" i="13"/>
  <c r="H13" i="13"/>
  <c r="T28" i="13"/>
  <c r="L24" i="13"/>
  <c r="F15" i="13"/>
  <c r="P13" i="13"/>
  <c r="G12" i="13"/>
  <c r="K10" i="13"/>
  <c r="J32" i="13"/>
  <c r="T26" i="13"/>
  <c r="N17" i="13"/>
  <c r="L14" i="13"/>
  <c r="D13" i="13"/>
  <c r="O10" i="13"/>
  <c r="F32" i="13"/>
  <c r="R25" i="13"/>
  <c r="P14" i="13"/>
  <c r="O12" i="13"/>
  <c r="P9" i="13"/>
  <c r="S10" i="13"/>
  <c r="E46" i="13"/>
  <c r="U43" i="13"/>
  <c r="O42" i="13"/>
  <c r="Q41" i="13"/>
  <c r="S40" i="13"/>
  <c r="U39" i="13"/>
  <c r="E39" i="13"/>
  <c r="G38" i="13"/>
  <c r="I37" i="13"/>
  <c r="G46" i="13"/>
  <c r="U42" i="13"/>
  <c r="U40" i="13"/>
  <c r="K39" i="13"/>
  <c r="O37" i="13"/>
  <c r="J46" i="13"/>
  <c r="N43" i="13"/>
  <c r="D42" i="13"/>
  <c r="L40" i="13"/>
  <c r="T38" i="13"/>
  <c r="T46" i="13"/>
  <c r="D46" i="13"/>
  <c r="F45" i="13"/>
  <c r="J42" i="13"/>
  <c r="L41" i="13"/>
  <c r="N40" i="13"/>
  <c r="P39" i="13"/>
  <c r="R38" i="13"/>
  <c r="T37" i="13"/>
  <c r="D37" i="13"/>
  <c r="E45" i="13"/>
  <c r="Q42" i="13"/>
  <c r="G41" i="13"/>
  <c r="U38" i="13"/>
  <c r="R46" i="13"/>
  <c r="R43" i="13"/>
  <c r="N41" i="13"/>
  <c r="R39" i="13"/>
  <c r="D38" i="13"/>
  <c r="O28" i="13"/>
  <c r="E25" i="13"/>
  <c r="M17" i="13"/>
  <c r="U12" i="13"/>
  <c r="K9" i="13"/>
  <c r="P29" i="13"/>
  <c r="N26" i="13"/>
  <c r="R24" i="13"/>
  <c r="R18" i="13"/>
  <c r="K32" i="13"/>
  <c r="O29" i="13"/>
  <c r="R27" i="13"/>
  <c r="N27" i="13"/>
  <c r="U41" i="13"/>
  <c r="K46" i="13"/>
  <c r="I38" i="13"/>
  <c r="P40" i="13"/>
  <c r="J45" i="13"/>
  <c r="R40" i="13"/>
  <c r="H37" i="13"/>
  <c r="S39" i="13"/>
  <c r="M40" i="13"/>
  <c r="F43" i="13"/>
  <c r="T43" i="13"/>
  <c r="M38" i="13"/>
  <c r="S27" i="13"/>
  <c r="Q15" i="13"/>
  <c r="R10" i="13"/>
  <c r="D28" i="13"/>
  <c r="J13" i="13"/>
  <c r="F10" i="13"/>
  <c r="G14" i="13"/>
  <c r="D10" i="13"/>
  <c r="D24" i="13"/>
  <c r="D12" i="13"/>
  <c r="U46" i="13"/>
  <c r="M43" i="13"/>
  <c r="M41" i="13"/>
  <c r="Q39" i="13"/>
  <c r="Q45" i="13"/>
  <c r="D40" i="13"/>
  <c r="F42" i="13"/>
  <c r="S46" i="13"/>
  <c r="J43" i="13"/>
  <c r="E26" i="13"/>
  <c r="L26" i="13"/>
  <c r="I9" i="13"/>
  <c r="P18" i="13"/>
  <c r="L12" i="13"/>
  <c r="H9" i="13"/>
  <c r="J23" i="13"/>
  <c r="I13" i="13"/>
  <c r="F9" i="13"/>
  <c r="P15" i="13"/>
  <c r="J9" i="13"/>
  <c r="I46" i="13"/>
  <c r="E43" i="13"/>
  <c r="E41" i="13"/>
  <c r="I39" i="13"/>
  <c r="M37" i="13"/>
  <c r="S43" i="13"/>
  <c r="O39" i="13"/>
  <c r="N46" i="13"/>
  <c r="L42" i="13"/>
  <c r="H46" i="13"/>
  <c r="L43" i="13"/>
  <c r="P41" i="13"/>
  <c r="T39" i="13"/>
  <c r="F38" i="13"/>
  <c r="M45" i="13"/>
  <c r="K41" i="13"/>
  <c r="S37" i="13"/>
  <c r="H42" i="13"/>
  <c r="L38" i="13"/>
  <c r="I24" i="13"/>
  <c r="H15" i="13"/>
  <c r="F23" i="13"/>
  <c r="S14" i="13"/>
  <c r="N11" i="13"/>
  <c r="L31" i="13"/>
  <c r="R15" i="13"/>
  <c r="K12" i="13"/>
  <c r="H31" i="13"/>
  <c r="K14" i="13"/>
  <c r="H10" i="13"/>
  <c r="S45" i="13"/>
  <c r="K42" i="13"/>
  <c r="O40" i="13"/>
  <c r="S38" i="13"/>
  <c r="E37" i="13"/>
  <c r="M42" i="13"/>
  <c r="G39" i="13"/>
  <c r="P45" i="13"/>
  <c r="R41" i="13"/>
  <c r="H38" i="13"/>
  <c r="R45" i="13"/>
  <c r="D43" i="13"/>
  <c r="H41" i="13"/>
  <c r="L39" i="13"/>
  <c r="P37" i="13"/>
  <c r="O43" i="13"/>
  <c r="Q40" i="13"/>
  <c r="F46" i="13"/>
  <c r="F41" i="13"/>
  <c r="N37" i="13"/>
  <c r="M18" i="13"/>
  <c r="S12" i="13"/>
  <c r="J12" i="13"/>
  <c r="U13" i="13"/>
  <c r="D11" i="13"/>
  <c r="R14" i="13"/>
  <c r="M11" i="13"/>
  <c r="T12" i="13"/>
  <c r="G45" i="13"/>
  <c r="G40" i="13"/>
  <c r="K38" i="13"/>
  <c r="S41" i="13"/>
  <c r="D45" i="13"/>
  <c r="F37" i="13"/>
  <c r="N42" i="13"/>
  <c r="D39" i="13"/>
  <c r="G43" i="13"/>
  <c r="H45" i="13"/>
  <c r="U37" i="13"/>
  <c r="K37" i="13"/>
  <c r="P46" i="13"/>
  <c r="J40" i="13"/>
  <c r="I42" i="13"/>
  <c r="J39" i="13"/>
  <c r="U44" i="13" l="1"/>
  <c r="F30" i="13"/>
  <c r="K30" i="13"/>
  <c r="P44" i="13"/>
  <c r="S44" i="13"/>
  <c r="L44" i="13"/>
  <c r="S30" i="13"/>
  <c r="N30" i="13"/>
  <c r="H30" i="13"/>
  <c r="E44" i="13"/>
  <c r="J30" i="13"/>
  <c r="D44" i="13"/>
  <c r="O44" i="13"/>
  <c r="T30" i="13"/>
  <c r="Q44" i="13"/>
  <c r="G30" i="13"/>
  <c r="P30" i="13"/>
  <c r="Q30" i="13"/>
  <c r="O30" i="13"/>
  <c r="E30" i="13"/>
  <c r="F44" i="13"/>
  <c r="M44" i="13"/>
  <c r="K44" i="13"/>
  <c r="N44" i="13"/>
  <c r="T44" i="13"/>
  <c r="I44" i="13"/>
  <c r="J44" i="13"/>
  <c r="R44" i="13"/>
  <c r="M30" i="13"/>
  <c r="D30" i="13"/>
  <c r="U30" i="13"/>
  <c r="H44" i="13"/>
  <c r="L30" i="13"/>
  <c r="I30" i="13"/>
  <c r="G44" i="13"/>
  <c r="R30" i="13"/>
  <c r="V17" i="31"/>
  <c r="V28" i="31"/>
  <c r="V6" i="31"/>
  <c r="B3" i="25"/>
  <c r="F3" i="17"/>
  <c r="V152" i="14" l="1"/>
  <c r="O152" i="14" l="1"/>
  <c r="E21" i="32" s="1"/>
  <c r="E29" i="32"/>
  <c r="E28" i="32" s="1"/>
  <c r="E31" i="32"/>
  <c r="E30" i="32" s="1"/>
  <c r="P152" i="14"/>
  <c r="T152" i="14"/>
  <c r="G152" i="14"/>
  <c r="L152" i="14"/>
  <c r="E27" i="32" l="1"/>
  <c r="P78" i="14"/>
  <c r="E22" i="32"/>
  <c r="E12" i="32"/>
  <c r="E18" i="32"/>
  <c r="O78" i="14"/>
  <c r="D21" i="32" l="1"/>
  <c r="D22" i="32"/>
  <c r="P16" i="13" l="1"/>
  <c r="G16" i="13"/>
  <c r="G47" i="13"/>
  <c r="K16" i="13"/>
  <c r="R16" i="13"/>
  <c r="O16" i="13"/>
  <c r="G19" i="13"/>
  <c r="K19" i="13"/>
  <c r="K47" i="13"/>
  <c r="O33" i="13"/>
  <c r="P19" i="13"/>
  <c r="P47" i="13"/>
  <c r="G33" i="13"/>
  <c r="K33" i="13"/>
  <c r="K22" i="13" s="1"/>
  <c r="O47" i="13"/>
  <c r="P33" i="13"/>
  <c r="O19" i="13"/>
  <c r="R33" i="13"/>
  <c r="R47" i="13"/>
  <c r="R19" i="13"/>
  <c r="K8" i="13" l="1"/>
  <c r="R22" i="13"/>
  <c r="O22" i="13"/>
  <c r="O36" i="13"/>
  <c r="K36" i="13"/>
  <c r="G22" i="13"/>
  <c r="R36" i="13"/>
  <c r="P8" i="13"/>
  <c r="G8" i="13"/>
  <c r="G36" i="13"/>
  <c r="P22" i="13"/>
  <c r="P36" i="13"/>
  <c r="O8" i="13"/>
  <c r="R8" i="13"/>
  <c r="S512" i="25"/>
  <c r="R512" i="25"/>
  <c r="S511" i="25"/>
  <c r="R511" i="25"/>
  <c r="S510" i="25"/>
  <c r="R510" i="25"/>
  <c r="S509" i="25"/>
  <c r="R509" i="25"/>
  <c r="S508" i="25"/>
  <c r="R508" i="25"/>
  <c r="S507" i="25"/>
  <c r="R507" i="25"/>
  <c r="S506" i="25"/>
  <c r="R506" i="25"/>
  <c r="S505" i="25"/>
  <c r="R505" i="25"/>
  <c r="S504" i="25"/>
  <c r="R504" i="25"/>
  <c r="S503" i="25"/>
  <c r="R503" i="25"/>
  <c r="S502" i="25"/>
  <c r="R502" i="25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AB140" i="25"/>
  <c r="AA140" i="25"/>
  <c r="S140" i="25"/>
  <c r="R140" i="25"/>
  <c r="AB139" i="25"/>
  <c r="AA139" i="25"/>
  <c r="S139" i="25"/>
  <c r="R139" i="25"/>
  <c r="AB138" i="25"/>
  <c r="AA138" i="25"/>
  <c r="S138" i="25"/>
  <c r="R138" i="25"/>
  <c r="AB137" i="25"/>
  <c r="AA137" i="25"/>
  <c r="S137" i="25"/>
  <c r="R137" i="25"/>
  <c r="AB136" i="25"/>
  <c r="AA136" i="25"/>
  <c r="S136" i="25"/>
  <c r="R136" i="25"/>
  <c r="AB135" i="25"/>
  <c r="AA135" i="25"/>
  <c r="S135" i="25"/>
  <c r="R135" i="25"/>
  <c r="AB134" i="25"/>
  <c r="AA134" i="25"/>
  <c r="S134" i="25"/>
  <c r="R134" i="25"/>
  <c r="AB133" i="25"/>
  <c r="AA133" i="25"/>
  <c r="S133" i="25"/>
  <c r="R133" i="25"/>
  <c r="AB132" i="25"/>
  <c r="AA132" i="25"/>
  <c r="S132" i="25"/>
  <c r="R132" i="25"/>
  <c r="AB131" i="25"/>
  <c r="AA131" i="25"/>
  <c r="S131" i="25"/>
  <c r="R131" i="25"/>
  <c r="AB130" i="25"/>
  <c r="AA130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4" i="25"/>
  <c r="AA34" i="25"/>
  <c r="S34" i="25"/>
  <c r="R34" i="25"/>
  <c r="AB32" i="25"/>
  <c r="AA32" i="25"/>
  <c r="S32" i="25"/>
  <c r="R32" i="25"/>
  <c r="AB31" i="25"/>
  <c r="AA31" i="25"/>
  <c r="S31" i="25"/>
  <c r="R31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4" i="25"/>
  <c r="AA24" i="25"/>
  <c r="S24" i="25"/>
  <c r="R24" i="25"/>
  <c r="AB22" i="25"/>
  <c r="AA22" i="25"/>
  <c r="S22" i="25"/>
  <c r="R22" i="25"/>
  <c r="AB20" i="25"/>
  <c r="AA20" i="25"/>
  <c r="S20" i="25"/>
  <c r="R20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9" i="25"/>
  <c r="AA9" i="25"/>
  <c r="S9" i="25"/>
  <c r="R9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M13" i="31"/>
  <c r="M23" i="31"/>
  <c r="M12" i="31"/>
  <c r="M24" i="31"/>
  <c r="M34" i="31"/>
  <c r="M35" i="31"/>
  <c r="N34" i="31"/>
  <c r="N13" i="31"/>
  <c r="N35" i="31"/>
  <c r="N12" i="31"/>
  <c r="N24" i="31"/>
  <c r="N23" i="31"/>
  <c r="I12" i="31"/>
  <c r="I35" i="31"/>
  <c r="I13" i="31"/>
  <c r="I34" i="31"/>
  <c r="I23" i="31"/>
  <c r="I24" i="31"/>
  <c r="Y86" i="17"/>
  <c r="Z86" i="17"/>
  <c r="Y85" i="17"/>
  <c r="Z85" i="17"/>
  <c r="M218" i="14" l="1"/>
  <c r="E218" i="14"/>
  <c r="I218" i="14"/>
  <c r="N218" i="14"/>
  <c r="N144" i="14"/>
  <c r="I144" i="14"/>
  <c r="M144" i="14"/>
  <c r="E144" i="14"/>
  <c r="M11" i="31"/>
  <c r="M70" i="14"/>
  <c r="N70" i="14"/>
  <c r="E70" i="14"/>
  <c r="I70" i="14"/>
  <c r="N11" i="31"/>
  <c r="M22" i="31"/>
  <c r="E33" i="31"/>
  <c r="M33" i="31"/>
  <c r="E11" i="31"/>
  <c r="N22" i="31"/>
  <c r="E22" i="31"/>
  <c r="N33" i="31"/>
  <c r="I22" i="31"/>
  <c r="I33" i="31"/>
  <c r="I11" i="31"/>
  <c r="K152" i="14"/>
  <c r="Y10" i="17"/>
  <c r="Z10" i="17"/>
  <c r="N152" i="14" l="1"/>
  <c r="E152" i="14"/>
  <c r="M152" i="14"/>
  <c r="E19" i="32" s="1"/>
  <c r="N4" i="14"/>
  <c r="C20" i="32" s="1"/>
  <c r="M4" i="14"/>
  <c r="C19" i="32" s="1"/>
  <c r="E4" i="14"/>
  <c r="E17" i="32"/>
  <c r="Z84" i="17"/>
  <c r="Y84" i="17"/>
  <c r="C19" i="31" l="1"/>
  <c r="C32" i="31"/>
  <c r="C31" i="31"/>
  <c r="C30" i="31"/>
  <c r="C21" i="31"/>
  <c r="C20" i="31"/>
  <c r="C10" i="31"/>
  <c r="C9" i="31"/>
  <c r="C8" i="31"/>
  <c r="O3" i="17"/>
  <c r="Q19" i="13" l="1"/>
  <c r="H28" i="31"/>
  <c r="C28" i="31" s="1"/>
  <c r="C29" i="31"/>
  <c r="C18" i="31"/>
  <c r="H17" i="31"/>
  <c r="C17" i="31" s="1"/>
  <c r="H6" i="31"/>
  <c r="C6" i="31" s="1"/>
  <c r="C7" i="31"/>
  <c r="Q16" i="13"/>
  <c r="Q47" i="13"/>
  <c r="Q33" i="13"/>
  <c r="C37" i="13"/>
  <c r="C23" i="13"/>
  <c r="C9" i="13"/>
  <c r="Q8" i="13" l="1"/>
  <c r="C27" i="12"/>
  <c r="D27" i="12"/>
  <c r="E27" i="12"/>
  <c r="Q22" i="13"/>
  <c r="Q36" i="13"/>
  <c r="Y129" i="17"/>
  <c r="Z129" i="17"/>
  <c r="Y130" i="17"/>
  <c r="Z130" i="17"/>
  <c r="Y131" i="17"/>
  <c r="Z131" i="17"/>
  <c r="Y132" i="17"/>
  <c r="Z132" i="17"/>
  <c r="Y133" i="17"/>
  <c r="Z133" i="17"/>
  <c r="Y134" i="17"/>
  <c r="Z134" i="17"/>
  <c r="Y135" i="17"/>
  <c r="Z135" i="17"/>
  <c r="Y136" i="17"/>
  <c r="Z136" i="17"/>
  <c r="Y137" i="17"/>
  <c r="Z137" i="17"/>
  <c r="Y138" i="17"/>
  <c r="Z138" i="17"/>
  <c r="Y139" i="17"/>
  <c r="Z139" i="17"/>
  <c r="D19" i="13" l="1"/>
  <c r="G78" i="14"/>
  <c r="U16" i="13"/>
  <c r="M16" i="13"/>
  <c r="H16" i="13"/>
  <c r="T16" i="13"/>
  <c r="L16" i="13"/>
  <c r="F16" i="13"/>
  <c r="C12" i="13"/>
  <c r="C14" i="13"/>
  <c r="C18" i="13"/>
  <c r="D33" i="13"/>
  <c r="S16" i="13"/>
  <c r="J16" i="13"/>
  <c r="E16" i="13"/>
  <c r="N16" i="13"/>
  <c r="I16" i="13"/>
  <c r="D16" i="13"/>
  <c r="C10" i="13"/>
  <c r="C11" i="13"/>
  <c r="C13" i="13"/>
  <c r="C15" i="13"/>
  <c r="C17" i="13"/>
  <c r="C38" i="13"/>
  <c r="C25" i="13"/>
  <c r="C28" i="13"/>
  <c r="C24" i="13"/>
  <c r="C41" i="13"/>
  <c r="C39" i="13"/>
  <c r="C43" i="13"/>
  <c r="C27" i="13"/>
  <c r="C26" i="13"/>
  <c r="C29" i="13"/>
  <c r="C31" i="13"/>
  <c r="C32" i="13"/>
  <c r="C40" i="13"/>
  <c r="C42" i="13"/>
  <c r="C46" i="13"/>
  <c r="C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2" i="17"/>
  <c r="Z53" i="17"/>
  <c r="Z54" i="17"/>
  <c r="Z55" i="17"/>
  <c r="Z56" i="17"/>
  <c r="Z57" i="17"/>
  <c r="Z58" i="17"/>
  <c r="Z59" i="17"/>
  <c r="Z60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1" i="17"/>
  <c r="Z82" i="17"/>
  <c r="Z83" i="17"/>
  <c r="Z87" i="17"/>
  <c r="Z88" i="17"/>
  <c r="Z89" i="17"/>
  <c r="Z90" i="17"/>
  <c r="Z91" i="17"/>
  <c r="Z92" i="17"/>
  <c r="Z93" i="17"/>
  <c r="Z94" i="17"/>
  <c r="Z95" i="17"/>
  <c r="Z96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2" i="17"/>
  <c r="Z113" i="17"/>
  <c r="Z119" i="17"/>
  <c r="Z120" i="17"/>
  <c r="Z121" i="17"/>
  <c r="Z122" i="17"/>
  <c r="Z123" i="17"/>
  <c r="Z124" i="17"/>
  <c r="Z125" i="17"/>
  <c r="Z126" i="17"/>
  <c r="Z127" i="17"/>
  <c r="Z128" i="17"/>
  <c r="Z5" i="17"/>
  <c r="C16" i="13" l="1"/>
  <c r="D8" i="13"/>
  <c r="D12" i="32"/>
  <c r="D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2" i="17"/>
  <c r="P112" i="17"/>
  <c r="O113" i="17"/>
  <c r="P113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O502" i="17"/>
  <c r="P502" i="17"/>
  <c r="O503" i="17"/>
  <c r="P503" i="17"/>
  <c r="O504" i="17"/>
  <c r="P504" i="17"/>
  <c r="O505" i="17"/>
  <c r="P505" i="17"/>
  <c r="O506" i="17"/>
  <c r="P506" i="17"/>
  <c r="O507" i="17"/>
  <c r="P507" i="17"/>
  <c r="O508" i="17"/>
  <c r="P508" i="17"/>
  <c r="O509" i="17"/>
  <c r="P509" i="17"/>
  <c r="O510" i="17"/>
  <c r="P510" i="17"/>
  <c r="O511" i="17"/>
  <c r="P511" i="17"/>
  <c r="Y9" i="17"/>
  <c r="Y12" i="17"/>
  <c r="Y27" i="17"/>
  <c r="Y38" i="17"/>
  <c r="Y75" i="17"/>
  <c r="Y40" i="17"/>
  <c r="Y94" i="17"/>
  <c r="Y33" i="17"/>
  <c r="Y11" i="17"/>
  <c r="Y18" i="17"/>
  <c r="Y28" i="17"/>
  <c r="Y77" i="17"/>
  <c r="Y98" i="17"/>
  <c r="Y13" i="17"/>
  <c r="Y15" i="17"/>
  <c r="Y30" i="17"/>
  <c r="Y31" i="17"/>
  <c r="Y34" i="17"/>
  <c r="Y36" i="17"/>
  <c r="Y45" i="17"/>
  <c r="Y46" i="17"/>
  <c r="Y58" i="17"/>
  <c r="Y99" i="17"/>
  <c r="Y101" i="17"/>
  <c r="Y107" i="17"/>
  <c r="Y16" i="17"/>
  <c r="Y17" i="17"/>
  <c r="Y19" i="17"/>
  <c r="Y22" i="17"/>
  <c r="Y23" i="17"/>
  <c r="Y24" i="17"/>
  <c r="Y29" i="17"/>
  <c r="Y60" i="17"/>
  <c r="Y65" i="17"/>
  <c r="Y72" i="17"/>
  <c r="Y74" i="17"/>
  <c r="Y102" i="17"/>
  <c r="Y113" i="17"/>
  <c r="Y25" i="17"/>
  <c r="Y26" i="17"/>
  <c r="Y21" i="17"/>
  <c r="Y54" i="17"/>
  <c r="Y100" i="17"/>
  <c r="Y120" i="17"/>
  <c r="Y123" i="17"/>
  <c r="Y67" i="17"/>
  <c r="Y7" i="17"/>
  <c r="Y14" i="17"/>
  <c r="Y71" i="17"/>
  <c r="Y90" i="17"/>
  <c r="Y104" i="17"/>
  <c r="Y35" i="17"/>
  <c r="Y53" i="17"/>
  <c r="Y63" i="17"/>
  <c r="Y91" i="17"/>
  <c r="Y121" i="17"/>
  <c r="Y126" i="17"/>
  <c r="Y32" i="17"/>
  <c r="Y47" i="17"/>
  <c r="Y55" i="17"/>
  <c r="Y48" i="17"/>
  <c r="Y108" i="17"/>
  <c r="Y124" i="17"/>
  <c r="Y68" i="17"/>
  <c r="Y6" i="17"/>
  <c r="Y8" i="17"/>
  <c r="Y39" i="17"/>
  <c r="Y42" i="17"/>
  <c r="Y43" i="17"/>
  <c r="Y73" i="17"/>
  <c r="Y76" i="17"/>
  <c r="Y79" i="17"/>
  <c r="Y80" i="17"/>
  <c r="Y81" i="17"/>
  <c r="Y82" i="17"/>
  <c r="Y83" i="17"/>
  <c r="Y87" i="17"/>
  <c r="Y89" i="17"/>
  <c r="Y92" i="17"/>
  <c r="Y95" i="17"/>
  <c r="Y96" i="17"/>
  <c r="Y103" i="17"/>
  <c r="Y105" i="17"/>
  <c r="Y110" i="17"/>
  <c r="Y112" i="17"/>
  <c r="Y119" i="17"/>
  <c r="Y122" i="17"/>
  <c r="Y128" i="17"/>
  <c r="Y69" i="17"/>
  <c r="Y78" i="17"/>
  <c r="Y106" i="17"/>
  <c r="Y109" i="17"/>
  <c r="Y93" i="17"/>
  <c r="Y20" i="17"/>
  <c r="Y64" i="17"/>
  <c r="Y56" i="17"/>
  <c r="Y49" i="17"/>
  <c r="Y50" i="17"/>
  <c r="Y59" i="17"/>
  <c r="Y62" i="17"/>
  <c r="Y125" i="17"/>
  <c r="Y41" i="17"/>
  <c r="Y44" i="17"/>
  <c r="Y70" i="17"/>
  <c r="Y88" i="17"/>
  <c r="Y127" i="17"/>
  <c r="Y52" i="17"/>
  <c r="Y57" i="17"/>
  <c r="Y66" i="17"/>
  <c r="Y5" i="17"/>
  <c r="U34" i="31" l="1"/>
  <c r="U24" i="31"/>
  <c r="U23" i="31"/>
  <c r="U35" i="31"/>
  <c r="U13" i="31"/>
  <c r="U12" i="31"/>
  <c r="S12" i="31"/>
  <c r="S24" i="31"/>
  <c r="S13" i="31"/>
  <c r="S23" i="31"/>
  <c r="S34" i="31"/>
  <c r="S35" i="31"/>
  <c r="J12" i="31"/>
  <c r="J24" i="31"/>
  <c r="J13" i="31"/>
  <c r="J23" i="31"/>
  <c r="J35" i="31"/>
  <c r="J34" i="31"/>
  <c r="H35" i="31"/>
  <c r="H34" i="31"/>
  <c r="H12" i="31"/>
  <c r="H24" i="31"/>
  <c r="H23" i="31"/>
  <c r="H13" i="31"/>
  <c r="D24" i="31"/>
  <c r="D23" i="31"/>
  <c r="D13" i="31"/>
  <c r="D12" i="31"/>
  <c r="D35" i="31"/>
  <c r="D34" i="31"/>
  <c r="F13" i="31"/>
  <c r="F23" i="31"/>
  <c r="F24" i="31"/>
  <c r="F12" i="31"/>
  <c r="F35" i="31"/>
  <c r="F34" i="31"/>
  <c r="F218" i="14" l="1"/>
  <c r="H218" i="14"/>
  <c r="D218" i="14"/>
  <c r="J218" i="14"/>
  <c r="U218" i="14"/>
  <c r="S218" i="14"/>
  <c r="H144" i="14"/>
  <c r="U144" i="14"/>
  <c r="S144" i="14"/>
  <c r="D144" i="14"/>
  <c r="J144" i="14"/>
  <c r="F144" i="14"/>
  <c r="H70" i="14"/>
  <c r="F70" i="14"/>
  <c r="J70" i="14"/>
  <c r="U70" i="14"/>
  <c r="D70" i="14"/>
  <c r="S70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13" i="31"/>
  <c r="D33" i="31"/>
  <c r="D11" i="31"/>
  <c r="F11" i="31"/>
  <c r="C12" i="31"/>
  <c r="F33" i="31"/>
  <c r="C34" i="31"/>
  <c r="F22" i="31"/>
  <c r="C23" i="31"/>
  <c r="K78" i="14"/>
  <c r="D4" i="14" l="1"/>
  <c r="C70" i="14"/>
  <c r="C21" i="12" s="1"/>
  <c r="D78" i="14"/>
  <c r="C144" i="14"/>
  <c r="D152" i="14"/>
  <c r="C218" i="14"/>
  <c r="U152" i="14"/>
  <c r="C22" i="31"/>
  <c r="C11" i="31"/>
  <c r="C28" i="12" s="1"/>
  <c r="C31" i="12" s="1"/>
  <c r="C33" i="31"/>
  <c r="J4" i="14"/>
  <c r="S4" i="14"/>
  <c r="D17" i="32"/>
  <c r="Q78" i="14"/>
  <c r="I152" i="14"/>
  <c r="U4" i="14"/>
  <c r="S152" i="14"/>
  <c r="Q152" i="14"/>
  <c r="F4" i="14"/>
  <c r="J152" i="14"/>
  <c r="H152" i="14"/>
  <c r="I4" i="14"/>
  <c r="R78" i="14"/>
  <c r="R152" i="14"/>
  <c r="Q4" i="14"/>
  <c r="H4" i="14"/>
  <c r="F152" i="14"/>
  <c r="C152" i="14" l="1"/>
  <c r="C4" i="14"/>
  <c r="C26" i="32"/>
  <c r="C25" i="32" s="1"/>
  <c r="C6" i="32"/>
  <c r="D24" i="32"/>
  <c r="E26" i="32"/>
  <c r="E25" i="32" s="1"/>
  <c r="C11" i="32"/>
  <c r="C15" i="32"/>
  <c r="C29" i="32"/>
  <c r="C28" i="32" s="1"/>
  <c r="E9" i="32"/>
  <c r="C23" i="32"/>
  <c r="C9" i="32"/>
  <c r="E6" i="32"/>
  <c r="E24" i="32"/>
  <c r="E11" i="32"/>
  <c r="E23" i="32"/>
  <c r="D23" i="32"/>
  <c r="S78" i="14"/>
  <c r="M78" i="14"/>
  <c r="H78" i="14"/>
  <c r="E78" i="14"/>
  <c r="J78" i="14" l="1"/>
  <c r="U78" i="14"/>
  <c r="D29" i="32" s="1"/>
  <c r="D28" i="32" s="1"/>
  <c r="D11" i="32"/>
  <c r="D26" i="32"/>
  <c r="D19" i="32"/>
  <c r="C14" i="32"/>
  <c r="C5" i="32" s="1"/>
  <c r="F78" i="14"/>
  <c r="L78" i="14"/>
  <c r="T78" i="14"/>
  <c r="I78" i="14"/>
  <c r="N78" i="14"/>
  <c r="V78" i="14"/>
  <c r="E21" i="12"/>
  <c r="D21" i="12" s="1"/>
  <c r="D6" i="32" l="1"/>
  <c r="D27" i="32"/>
  <c r="D25" i="32" s="1"/>
  <c r="D18" i="32"/>
  <c r="D31" i="32"/>
  <c r="D30" i="32" s="1"/>
  <c r="D15" i="32"/>
  <c r="D9" i="32"/>
  <c r="C78" i="14"/>
  <c r="D14" i="32" l="1"/>
  <c r="D5" i="32" s="1"/>
  <c r="C19" i="12"/>
  <c r="E31" i="12" l="1"/>
  <c r="E47" i="13" l="1"/>
  <c r="E36" i="13" s="1"/>
  <c r="E33" i="13"/>
  <c r="E22" i="13" s="1"/>
  <c r="E19" i="13"/>
  <c r="U47" i="13"/>
  <c r="U36" i="13" s="1"/>
  <c r="T47" i="13"/>
  <c r="T36" i="13" s="1"/>
  <c r="S47" i="13"/>
  <c r="S36" i="13" s="1"/>
  <c r="N47" i="13"/>
  <c r="N36" i="13" s="1"/>
  <c r="M47" i="13"/>
  <c r="M36" i="13" s="1"/>
  <c r="L47" i="13"/>
  <c r="L36" i="13" s="1"/>
  <c r="J47" i="13"/>
  <c r="J36" i="13" s="1"/>
  <c r="I47" i="13"/>
  <c r="I36" i="13" s="1"/>
  <c r="H47" i="13"/>
  <c r="H36" i="13" s="1"/>
  <c r="F47" i="13"/>
  <c r="F36" i="13" s="1"/>
  <c r="D47" i="13"/>
  <c r="D36" i="13" s="1"/>
  <c r="U33" i="13"/>
  <c r="U22" i="13" s="1"/>
  <c r="T33" i="13"/>
  <c r="T22" i="13" s="1"/>
  <c r="S33" i="13"/>
  <c r="S22" i="13" s="1"/>
  <c r="N33" i="13"/>
  <c r="N22" i="13" s="1"/>
  <c r="M33" i="13"/>
  <c r="M22" i="13" s="1"/>
  <c r="L33" i="13"/>
  <c r="L22" i="13" s="1"/>
  <c r="J33" i="13"/>
  <c r="J22" i="13" s="1"/>
  <c r="I33" i="13"/>
  <c r="I22" i="13" s="1"/>
  <c r="H33" i="13"/>
  <c r="H22" i="13" s="1"/>
  <c r="F33" i="13"/>
  <c r="F22" i="13" s="1"/>
  <c r="U19" i="13"/>
  <c r="U8" i="13" s="1"/>
  <c r="T19" i="13"/>
  <c r="T8" i="13" s="1"/>
  <c r="S19" i="13"/>
  <c r="S8" i="13" s="1"/>
  <c r="N19" i="13"/>
  <c r="N8" i="13" s="1"/>
  <c r="M19" i="13"/>
  <c r="M8" i="13" s="1"/>
  <c r="L19" i="13"/>
  <c r="L8" i="13" s="1"/>
  <c r="J19" i="13"/>
  <c r="J8" i="13" s="1"/>
  <c r="I19" i="13"/>
  <c r="H19" i="13"/>
  <c r="F19" i="13"/>
  <c r="E19" i="12"/>
  <c r="D19" i="12"/>
  <c r="C22" i="13" l="1"/>
  <c r="C36" i="13"/>
  <c r="E15" i="32"/>
  <c r="E14" i="32" s="1"/>
  <c r="E5" i="32" s="1"/>
  <c r="F8" i="13"/>
  <c r="E8" i="13"/>
  <c r="C19" i="13"/>
  <c r="C18" i="12" s="1"/>
  <c r="I8" i="13"/>
  <c r="H8" i="13"/>
  <c r="C47" i="13"/>
  <c r="E18" i="12" s="1"/>
  <c r="E16" i="12" s="1"/>
  <c r="C33" i="13"/>
  <c r="D18" i="12" s="1"/>
  <c r="D16" i="12" s="1"/>
  <c r="C44" i="13"/>
  <c r="C30" i="13"/>
  <c r="C8" i="13" l="1"/>
  <c r="C16" i="12"/>
  <c r="C22" i="12" s="1"/>
  <c r="C33" i="12" s="1"/>
  <c r="D22" i="12"/>
  <c r="D33" i="12" s="1"/>
  <c r="E22" i="12"/>
  <c r="E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I3" authorId="0" shapeId="0" xr:uid="{5F7BD56E-D542-4399-BC92-E3F3078777E3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dodala 150.750,00e za dodatno financ umjetničke dj.</t>
        </r>
      </text>
    </comment>
  </commentList>
</comments>
</file>

<file path=xl/sharedStrings.xml><?xml version="1.0" encoding="utf-8"?>
<sst xmlns="http://schemas.openxmlformats.org/spreadsheetml/2006/main" count="14309" uniqueCount="5297">
  <si>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</si>
  <si>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</si>
  <si>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</si>
  <si>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</si>
  <si>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</si>
  <si>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</si>
  <si>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</si>
  <si>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</si>
  <si>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</si>
  <si>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</si>
  <si>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</si>
  <si>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</si>
  <si>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</si>
  <si>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</si>
  <si>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</si>
  <si>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</si>
  <si>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</si>
  <si>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</si>
  <si>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</si>
  <si>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</si>
  <si>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</si>
  <si>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</si>
  <si>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</si>
  <si>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</si>
  <si>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</si>
  <si>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</si>
  <si>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</si>
  <si>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</si>
  <si>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</si>
  <si>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</si>
  <si>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</si>
  <si>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</si>
  <si>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</si>
  <si>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</si>
  <si>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</si>
  <si>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</si>
  <si>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</si>
  <si>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</si>
  <si>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</si>
  <si>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</si>
  <si>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</si>
  <si>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</si>
  <si>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</si>
  <si>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</si>
  <si>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</si>
  <si>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</si>
  <si>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</si>
  <si>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</si>
  <si>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</si>
  <si>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</si>
  <si>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</si>
  <si>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</si>
  <si>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</si>
  <si>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</si>
  <si>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</si>
  <si>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</si>
  <si>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</si>
  <si>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</si>
  <si>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</si>
  <si>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</si>
  <si>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</si>
  <si>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</si>
  <si>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</si>
  <si>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</si>
  <si>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</si>
  <si>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</si>
  <si>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</si>
  <si>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</si>
  <si>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</si>
  <si>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</si>
  <si>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</si>
  <si>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</si>
  <si>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</si>
  <si>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</si>
  <si>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</si>
  <si>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</si>
  <si>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</si>
  <si>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</si>
  <si>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</si>
  <si>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</si>
  <si>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</si>
  <si>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</si>
  <si>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</si>
  <si>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</si>
  <si>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</si>
  <si>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</si>
  <si>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</si>
  <si>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</si>
  <si>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</si>
  <si>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</si>
  <si>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</si>
  <si>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</si>
  <si>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</si>
  <si>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</si>
  <si>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</si>
  <si>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</si>
  <si>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</si>
  <si>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</si>
  <si>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</si>
  <si>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</si>
  <si>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</si>
  <si>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</si>
  <si>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</si>
  <si>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</si>
  <si>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</si>
  <si>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</si>
  <si>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</si>
  <si>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</si>
  <si>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</si>
  <si>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</si>
  <si>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</si>
  <si>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</si>
  <si>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</si>
  <si>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</si>
  <si>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</si>
  <si>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</si>
  <si>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</si>
  <si>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</si>
  <si>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</si>
  <si>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</si>
  <si>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</si>
  <si>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</si>
  <si>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</si>
  <si>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</si>
  <si>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</si>
  <si>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</si>
  <si>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</si>
  <si>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</si>
  <si>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</si>
  <si>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</si>
  <si>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</si>
  <si>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</si>
  <si>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</si>
  <si>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</si>
  <si>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</si>
  <si>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</si>
  <si>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</si>
  <si>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</si>
  <si>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</si>
  <si>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</si>
  <si>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</si>
  <si>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</si>
  <si>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</si>
  <si>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</si>
  <si>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</si>
  <si>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</si>
  <si>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</si>
  <si>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</si>
  <si>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</si>
  <si>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</si>
  <si>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</si>
  <si>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</si>
  <si>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</si>
  <si>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</si>
  <si>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</si>
  <si>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</si>
  <si>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</si>
  <si>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</si>
  <si>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</si>
  <si>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</si>
  <si>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</si>
  <si>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</si>
  <si>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</si>
  <si>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</si>
  <si>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</si>
  <si>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</si>
  <si>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</si>
  <si>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</si>
  <si>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</si>
  <si>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</si>
  <si>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</si>
  <si>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</si>
  <si>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</si>
  <si>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</si>
  <si>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</si>
  <si>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</si>
  <si>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</si>
  <si>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</si>
  <si>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</si>
  <si>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</si>
  <si>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</si>
  <si>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</si>
  <si>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</si>
  <si>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</si>
  <si>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</si>
  <si>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</si>
  <si>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</si>
  <si>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</si>
  <si>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</si>
  <si>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</si>
  <si>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</si>
  <si>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</si>
  <si>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</si>
  <si>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</si>
  <si>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</si>
  <si>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</si>
  <si>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</si>
  <si>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</si>
  <si>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</si>
  <si>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</si>
  <si>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</si>
  <si>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</si>
  <si>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</si>
  <si>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</si>
  <si>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</si>
  <si>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</si>
  <si>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</si>
  <si>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</si>
  <si>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</si>
  <si>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</si>
  <si>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</si>
  <si>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</si>
  <si>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</si>
  <si>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</si>
  <si>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</si>
  <si>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</si>
  <si>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</si>
  <si>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</si>
  <si>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</si>
  <si>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</si>
  <si>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</si>
  <si>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</si>
  <si>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</si>
  <si>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</si>
  <si>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</si>
  <si>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</si>
  <si>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</si>
  <si>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</si>
  <si>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</si>
  <si>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</si>
  <si>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</si>
  <si>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</si>
  <si>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</si>
  <si>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</si>
  <si>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</si>
  <si>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</si>
  <si>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</si>
  <si>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</si>
  <si>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</si>
  <si>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</si>
  <si>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</si>
  <si>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</si>
  <si>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</si>
  <si>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</si>
  <si>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</si>
  <si>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</si>
  <si>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</si>
  <si>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</si>
  <si>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</si>
  <si>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</si>
  <si>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</si>
  <si>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</si>
  <si>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</si>
  <si>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</si>
  <si>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</si>
  <si>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</si>
  <si>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</si>
  <si>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</si>
  <si>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</si>
  <si>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</si>
  <si>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</si>
  <si>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</si>
  <si>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</si>
  <si>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</si>
  <si>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</si>
  <si>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</si>
  <si>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</si>
  <si>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</si>
  <si>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</si>
  <si>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</si>
  <si>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</si>
  <si>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</si>
  <si>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</si>
  <si>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</si>
  <si>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</si>
  <si>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</si>
  <si>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</si>
  <si>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</si>
  <si>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</si>
  <si>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</si>
  <si>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</si>
  <si>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</si>
  <si>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</si>
  <si>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</si>
  <si>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</si>
  <si>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</si>
  <si>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</si>
  <si>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</si>
  <si>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</si>
  <si>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</si>
  <si>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</si>
  <si>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</si>
  <si>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</si>
  <si>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</si>
  <si>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</si>
  <si>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</si>
  <si>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</si>
  <si>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</si>
  <si>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</si>
  <si>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</si>
  <si>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</si>
  <si>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</si>
  <si>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</si>
  <si>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</si>
  <si>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</si>
  <si>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</si>
  <si>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</si>
  <si>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</si>
  <si>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</si>
  <si>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</si>
  <si>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</si>
  <si>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</si>
  <si>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</si>
  <si>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</si>
  <si>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</si>
  <si>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</si>
  <si>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</si>
  <si>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</si>
  <si>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</si>
  <si>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</si>
  <si>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</si>
  <si>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</si>
  <si>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</si>
  <si>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</si>
  <si>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</si>
  <si>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</si>
  <si>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</si>
  <si>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</si>
  <si>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</si>
  <si>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</si>
  <si>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</si>
  <si>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</si>
  <si>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</si>
  <si>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</si>
  <si>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</si>
  <si>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</si>
  <si>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</si>
  <si>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</si>
  <si>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</si>
  <si>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</si>
  <si>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</si>
  <si>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</si>
  <si>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</si>
  <si>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</si>
  <si>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</si>
  <si>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</si>
  <si>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</si>
  <si>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</si>
  <si>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</si>
  <si>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</si>
  <si>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</si>
  <si>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</si>
  <si>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</si>
  <si>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</si>
  <si>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</si>
  <si>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</si>
  <si>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</si>
  <si>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</si>
  <si>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</si>
  <si>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</si>
  <si>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</si>
  <si>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</si>
  <si>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</si>
  <si>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</si>
  <si>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</si>
  <si>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</si>
  <si>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</si>
  <si>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</si>
  <si>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</si>
  <si>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</si>
  <si>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</si>
  <si>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</si>
  <si>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</si>
  <si>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</si>
  <si>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</si>
  <si>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</si>
  <si>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</si>
  <si>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</si>
  <si>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</si>
  <si>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</si>
  <si>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</si>
  <si>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</si>
  <si>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</si>
  <si>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</si>
  <si>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</si>
  <si>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</si>
  <si>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</si>
  <si>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</si>
  <si>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</si>
  <si>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</si>
  <si>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</si>
  <si>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</si>
  <si>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</si>
  <si>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</si>
  <si>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</si>
  <si>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</si>
  <si>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</si>
  <si>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</si>
  <si>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</si>
  <si>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</si>
  <si>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</si>
  <si>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</si>
  <si>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</si>
  <si>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</si>
  <si>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</si>
  <si>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</si>
  <si>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</si>
  <si>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</si>
  <si>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</si>
  <si>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</si>
  <si>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</si>
  <si>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</si>
  <si>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</si>
  <si>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</si>
  <si>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</si>
  <si>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</si>
  <si>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</si>
  <si>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</si>
  <si>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</si>
  <si>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</si>
  <si>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</si>
  <si>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</si>
  <si>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</si>
  <si>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</si>
  <si>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</si>
  <si>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</si>
  <si>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</si>
  <si>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</si>
  <si>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</si>
  <si>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</si>
  <si>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</si>
  <si>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</si>
  <si>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</si>
  <si>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</si>
  <si>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</si>
  <si>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</si>
  <si>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</si>
  <si>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</si>
  <si>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</si>
  <si>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</si>
  <si>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</si>
  <si>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</si>
  <si>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</si>
  <si>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</si>
  <si>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</si>
  <si>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</si>
  <si>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</si>
  <si>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</si>
  <si>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</si>
  <si>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</si>
  <si>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</si>
  <si>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</si>
  <si>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</si>
  <si>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</si>
  <si>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</si>
  <si>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</si>
  <si>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</si>
  <si>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</si>
  <si>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</si>
  <si>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</si>
  <si>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</si>
  <si>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</si>
  <si>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</si>
  <si>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</si>
  <si>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</si>
  <si>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</si>
  <si>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</si>
  <si>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</si>
  <si>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</si>
  <si>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</si>
  <si>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</si>
  <si>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</si>
  <si>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</si>
  <si>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</si>
  <si>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</si>
  <si>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</si>
  <si>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</si>
  <si>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</si>
  <si>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</si>
  <si>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</si>
  <si>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</si>
  <si>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</si>
  <si>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</si>
  <si>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</si>
  <si>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</si>
  <si>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</si>
  <si>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</si>
  <si>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</si>
  <si>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</si>
  <si>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</si>
  <si>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</si>
  <si>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</si>
  <si>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</si>
  <si>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</si>
  <si>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</si>
  <si>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</si>
  <si>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</si>
  <si>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</si>
  <si>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</si>
  <si>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</si>
  <si>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</si>
  <si>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</si>
  <si>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</si>
  <si>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</si>
  <si>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</si>
  <si>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</si>
  <si>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</si>
  <si>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</si>
  <si>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</si>
  <si>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</si>
  <si>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</si>
  <si>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</si>
  <si>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</si>
  <si>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</si>
  <si>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</si>
  <si>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</si>
  <si>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</si>
  <si>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</si>
  <si>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</si>
  <si>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</si>
  <si>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</si>
  <si>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</si>
  <si>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</si>
  <si>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</si>
  <si>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</si>
  <si>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</si>
  <si>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</si>
  <si>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</si>
  <si>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</si>
  <si>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</si>
  <si>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</si>
  <si>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</si>
  <si>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</si>
  <si>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</si>
  <si>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</si>
  <si>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</si>
  <si>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</si>
  <si>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</si>
  <si>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</si>
  <si>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</si>
  <si>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</si>
  <si>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</si>
  <si>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</si>
  <si>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</si>
  <si>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</si>
  <si>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</si>
  <si>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</si>
  <si>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</si>
  <si>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</si>
  <si>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</si>
  <si>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</si>
  <si>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</si>
  <si>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</si>
  <si>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</si>
  <si>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</si>
  <si>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</si>
  <si>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</si>
  <si>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</si>
  <si>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</si>
  <si>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</si>
  <si>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</si>
  <si>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</si>
  <si>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</si>
  <si>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</si>
  <si>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</si>
  <si>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</si>
  <si>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</si>
  <si>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</si>
  <si>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</si>
  <si>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</si>
  <si>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</si>
  <si>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</si>
  <si>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</si>
  <si>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</si>
  <si>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</si>
  <si>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</si>
  <si>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</si>
  <si>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</si>
  <si>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</si>
  <si>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</si>
  <si>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</si>
  <si>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</si>
  <si>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</si>
  <si>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</si>
  <si>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</si>
  <si>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</si>
  <si>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</si>
  <si>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</si>
  <si>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</si>
  <si>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</si>
  <si>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</si>
  <si>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</si>
  <si>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</si>
  <si>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</si>
  <si>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</si>
  <si>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</si>
  <si>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</si>
  <si>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</si>
  <si>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</si>
  <si>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</si>
  <si>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</si>
  <si>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</si>
  <si>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</si>
  <si>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</si>
  <si>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</si>
  <si>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</si>
  <si>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</si>
  <si>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</si>
  <si>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</si>
  <si>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</si>
  <si>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</si>
  <si>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</si>
  <si>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</si>
  <si>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</si>
  <si>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</si>
  <si>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</si>
  <si>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</si>
  <si>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</si>
  <si>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</si>
  <si>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</si>
  <si>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</si>
  <si>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</si>
  <si>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</si>
  <si>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</si>
  <si>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</si>
  <si>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</si>
  <si>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</si>
  <si>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</si>
  <si>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</si>
  <si>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</si>
  <si>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</si>
  <si>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</si>
  <si>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</si>
  <si>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</si>
  <si>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</si>
  <si>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</si>
  <si>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</si>
  <si>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</si>
  <si>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</si>
  <si>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</si>
  <si>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</si>
  <si>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</si>
  <si>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</si>
  <si>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</si>
  <si>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</si>
  <si>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</si>
  <si>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</si>
  <si>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</si>
  <si>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</si>
  <si>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</si>
  <si>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</si>
  <si>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</si>
  <si>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</si>
  <si>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</si>
  <si>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</si>
  <si>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</si>
  <si>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</si>
  <si>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</si>
  <si>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</si>
  <si>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</si>
  <si>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</si>
  <si>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</si>
  <si>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</si>
  <si>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</si>
  <si>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</si>
  <si>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</si>
  <si>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</si>
  <si>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</si>
  <si>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</si>
  <si>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</si>
  <si>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</si>
  <si>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</si>
  <si>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</si>
  <si>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</si>
  <si>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</si>
  <si>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</si>
  <si>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</si>
  <si>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</si>
  <si>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</si>
  <si>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</si>
  <si>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</si>
  <si>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</si>
  <si>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</si>
  <si>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</si>
  <si>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</si>
  <si>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</si>
  <si>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</si>
  <si>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</si>
  <si>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</si>
  <si>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</si>
  <si>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</si>
  <si>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</si>
  <si>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</si>
  <si>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</si>
  <si>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</si>
  <si>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</si>
  <si>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</si>
  <si>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</si>
  <si>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</si>
  <si>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</si>
  <si>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</si>
  <si>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</si>
  <si>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</si>
  <si>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</si>
  <si>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</si>
  <si>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</si>
  <si>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</si>
  <si>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</si>
  <si>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</si>
  <si>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</si>
  <si>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</si>
  <si>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</si>
  <si>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</si>
  <si>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</si>
  <si>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</si>
  <si>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</si>
  <si>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</si>
  <si>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</si>
  <si>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</si>
  <si>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</si>
  <si>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</si>
  <si>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</si>
  <si>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</si>
  <si>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</si>
  <si>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</si>
  <si>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</si>
  <si>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</si>
  <si>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</si>
  <si>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</si>
  <si>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</si>
  <si>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</si>
  <si>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</si>
  <si>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</si>
  <si>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</si>
  <si>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</si>
  <si>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</si>
  <si>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</si>
  <si>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</si>
  <si>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</si>
  <si>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</si>
  <si>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</si>
  <si>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</si>
  <si>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</si>
  <si>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</si>
  <si>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</si>
  <si>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</si>
  <si>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</si>
  <si>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</si>
  <si>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</si>
  <si>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</si>
  <si>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</si>
  <si>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</si>
  <si>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</si>
  <si>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</si>
  <si>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</si>
  <si>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</si>
  <si>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</si>
  <si>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</si>
  <si>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</si>
  <si>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</si>
  <si>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</si>
  <si>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</si>
  <si>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</si>
  <si>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</si>
  <si>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</si>
  <si>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</si>
  <si>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</si>
  <si>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</si>
  <si>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</si>
  <si>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</si>
  <si>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</si>
  <si>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</si>
  <si>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</si>
  <si>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</si>
  <si>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</si>
  <si>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</si>
  <si>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</si>
  <si>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</si>
  <si>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</si>
  <si>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</si>
  <si>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</si>
  <si>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</si>
  <si>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</si>
  <si>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</si>
  <si>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</si>
  <si>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</si>
  <si>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</si>
  <si>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</si>
  <si>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</si>
  <si>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</si>
  <si>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</si>
  <si>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</si>
  <si>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</si>
  <si>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</si>
  <si>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</si>
  <si>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</si>
  <si>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</si>
  <si>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</si>
  <si>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</si>
  <si>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</si>
  <si>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</si>
  <si>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</si>
  <si>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</si>
  <si>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</si>
  <si>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</si>
  <si>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</si>
  <si>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</si>
  <si>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</si>
  <si>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</si>
  <si>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</si>
  <si>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</si>
  <si>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</si>
  <si>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</si>
  <si>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</si>
  <si>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</si>
  <si>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</si>
  <si>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</si>
  <si>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</si>
  <si>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</si>
  <si>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</si>
  <si>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</si>
  <si>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</si>
  <si>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</si>
  <si>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</si>
  <si>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</si>
  <si>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</si>
  <si>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</si>
  <si>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</si>
  <si>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</si>
  <si>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</si>
  <si>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</si>
  <si>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</si>
  <si>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</si>
  <si>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</si>
  <si>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</si>
  <si>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</si>
  <si>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</si>
  <si>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</si>
  <si>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</si>
  <si>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</si>
  <si>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</si>
  <si>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</si>
  <si>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</si>
  <si>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</si>
  <si>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</si>
  <si>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</si>
  <si>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</si>
  <si>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</si>
  <si>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</si>
  <si>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</si>
  <si>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</si>
  <si>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</si>
  <si>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</si>
  <si>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</si>
  <si>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</si>
  <si>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</si>
  <si>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</si>
  <si>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</si>
  <si>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</si>
  <si>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</si>
  <si>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</si>
  <si>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</si>
  <si>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</si>
  <si>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</si>
  <si>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</si>
  <si>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</si>
  <si>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</si>
  <si>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</si>
  <si>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</si>
  <si>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</si>
  <si>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</si>
  <si>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</si>
  <si>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</si>
  <si>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</si>
  <si>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</si>
  <si>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</si>
  <si>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</si>
  <si>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</si>
  <si>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</si>
  <si>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</si>
  <si>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</si>
  <si>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</si>
  <si>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</si>
  <si>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</si>
  <si>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</si>
  <si>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</si>
  <si>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</si>
  <si>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</si>
  <si>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</si>
  <si>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</si>
  <si>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</si>
  <si>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</si>
  <si>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</si>
  <si>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</si>
  <si>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</si>
  <si>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</si>
  <si>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</si>
  <si>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</si>
  <si>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</si>
  <si>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</si>
  <si>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</si>
  <si>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</si>
  <si>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</si>
  <si>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</si>
  <si>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</si>
  <si>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</si>
  <si>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</si>
  <si>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</si>
  <si>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</si>
  <si>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</si>
  <si>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</si>
  <si>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</si>
  <si>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</si>
  <si>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</si>
  <si>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</si>
  <si>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</si>
  <si>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</si>
  <si>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</si>
  <si>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</si>
  <si>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</si>
  <si>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</si>
  <si>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</si>
  <si>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</si>
  <si>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</si>
  <si>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</si>
  <si>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</si>
  <si>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</si>
  <si>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</si>
  <si>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</si>
  <si>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</si>
  <si>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</si>
  <si>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</si>
  <si>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</si>
  <si>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</si>
  <si>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</si>
  <si>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</si>
  <si>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</si>
  <si>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</si>
  <si>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</si>
  <si>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</si>
  <si>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</si>
  <si>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</si>
  <si>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</si>
  <si>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</si>
  <si>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</si>
  <si>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</si>
  <si>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</si>
  <si>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</si>
  <si>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</si>
  <si>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</si>
  <si>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</si>
  <si>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</si>
  <si>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</si>
  <si>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</si>
  <si>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</si>
  <si>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</si>
  <si>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</si>
  <si>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</si>
  <si>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</si>
  <si>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</si>
  <si>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</si>
  <si>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</si>
  <si>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</si>
  <si>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</si>
  <si>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</si>
  <si>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</si>
  <si>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</si>
  <si>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</si>
  <si>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</si>
  <si>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</si>
  <si>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</si>
  <si>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</si>
  <si>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</si>
  <si>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</si>
  <si>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</si>
  <si>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</si>
  <si>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</si>
  <si>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</si>
  <si>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</si>
  <si>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</si>
  <si>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</si>
  <si>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</si>
  <si>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</si>
  <si>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</si>
  <si>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</si>
  <si>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</si>
  <si>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</si>
  <si>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</si>
  <si>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</si>
  <si>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</si>
  <si>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</si>
  <si>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</si>
  <si>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</si>
  <si>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</si>
  <si>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</si>
  <si>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</si>
  <si>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</si>
  <si>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</si>
  <si>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</si>
  <si>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</si>
  <si>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</si>
  <si>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</si>
  <si>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</si>
  <si>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</si>
  <si>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</si>
  <si>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</si>
  <si>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</si>
  <si>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</si>
  <si>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</si>
  <si>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</si>
  <si>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</si>
  <si>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</si>
  <si>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</si>
  <si>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</si>
  <si>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</si>
  <si>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</si>
  <si>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</si>
  <si>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</si>
  <si>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</si>
  <si>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</si>
  <si>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</si>
  <si>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</si>
  <si>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</si>
  <si>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</si>
  <si>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</si>
  <si>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</si>
  <si>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</si>
  <si>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</si>
  <si>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</si>
  <si>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</si>
  <si>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</si>
  <si>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</si>
  <si>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</si>
  <si>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</si>
  <si>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</si>
  <si>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</si>
  <si>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</si>
  <si>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</si>
  <si>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</si>
  <si>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</si>
  <si>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</si>
  <si>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</si>
  <si>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</si>
  <si>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</si>
  <si>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</si>
  <si>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</si>
  <si>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</si>
  <si>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</si>
  <si>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</si>
  <si>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</si>
  <si>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</si>
  <si>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</si>
  <si>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</si>
  <si>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</si>
  <si>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</si>
  <si>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</si>
  <si>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</si>
  <si>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</si>
  <si>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</si>
  <si>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</si>
  <si>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</si>
  <si>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</si>
  <si>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</si>
  <si>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</si>
  <si>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</si>
  <si>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</si>
  <si>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</si>
  <si>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</si>
  <si>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</si>
  <si>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</si>
  <si>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</si>
  <si>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</si>
  <si>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</si>
  <si>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</si>
  <si>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</si>
  <si>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</si>
  <si>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</si>
  <si>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</si>
  <si>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</si>
  <si>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</si>
  <si>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</si>
  <si>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</si>
  <si>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</si>
  <si>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</si>
  <si>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</si>
  <si>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</si>
  <si>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</si>
  <si>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</si>
  <si>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</si>
  <si>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</si>
  <si>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</si>
  <si>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</si>
  <si>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</si>
  <si>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</si>
  <si>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</si>
  <si>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</si>
  <si>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</si>
  <si>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</si>
  <si>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</si>
  <si>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</si>
  <si>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</si>
  <si>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</si>
  <si>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</si>
  <si>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</si>
  <si>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</si>
  <si>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</si>
  <si>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</si>
  <si>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</si>
  <si>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</si>
  <si>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</si>
  <si>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</si>
  <si>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</si>
  <si>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</si>
  <si>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</si>
  <si>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</si>
  <si>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</si>
  <si>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</si>
  <si>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</si>
  <si>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</si>
  <si>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</si>
  <si>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</si>
  <si>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</si>
  <si>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</si>
  <si>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</si>
  <si>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</si>
  <si>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</si>
  <si>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</si>
  <si>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</si>
  <si>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</si>
  <si>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</si>
  <si>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</si>
  <si>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</si>
  <si>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</si>
  <si>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</si>
  <si>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</si>
  <si>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</si>
  <si>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</si>
  <si>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</si>
  <si>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</si>
  <si>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</si>
  <si>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</si>
  <si>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</si>
  <si>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</si>
  <si>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</si>
  <si>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</si>
  <si>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</si>
  <si>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</si>
  <si>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</si>
  <si>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</si>
  <si>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</si>
  <si>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</si>
  <si>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</si>
  <si>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</si>
  <si>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</si>
  <si>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</si>
  <si>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</si>
  <si>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</si>
  <si>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</si>
  <si>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</si>
  <si>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</si>
  <si>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</si>
  <si>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</si>
  <si>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</si>
  <si>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</si>
  <si>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</si>
  <si>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</si>
  <si>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</si>
  <si>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</si>
  <si>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</si>
  <si>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</si>
  <si>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</si>
  <si>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</si>
  <si>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</si>
  <si>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</si>
  <si>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</si>
  <si>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</si>
  <si>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</si>
  <si>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</si>
  <si>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</si>
  <si>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</si>
  <si>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</si>
  <si>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</si>
  <si>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</si>
  <si>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</si>
  <si>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</si>
  <si>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</si>
  <si>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</si>
  <si>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</si>
  <si>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</si>
  <si>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</si>
  <si>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</si>
  <si>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</si>
  <si>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</si>
  <si>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</si>
  <si>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</si>
  <si>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</si>
  <si>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</si>
  <si>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</si>
  <si>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</si>
  <si>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</si>
  <si>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</si>
  <si>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</si>
  <si>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</si>
  <si>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</si>
  <si>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</si>
  <si>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</si>
  <si>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</si>
  <si>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</si>
  <si>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</si>
  <si>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</si>
  <si>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</si>
  <si>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</si>
  <si>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</si>
  <si>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</si>
  <si>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</si>
  <si>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</si>
  <si>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</si>
  <si>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</si>
  <si>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</si>
  <si>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</si>
  <si>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</si>
  <si>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</si>
  <si>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</si>
  <si>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</si>
  <si>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</si>
  <si>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</si>
  <si>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</si>
  <si>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</si>
  <si>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</si>
  <si>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</si>
  <si>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</si>
  <si>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</si>
  <si>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</si>
  <si>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</si>
  <si>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</si>
  <si>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</si>
  <si>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</si>
  <si>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</si>
  <si>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</si>
  <si>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</si>
  <si>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</si>
  <si>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</si>
  <si>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</si>
  <si>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</si>
  <si>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</si>
  <si>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</si>
  <si>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</si>
  <si>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</si>
  <si>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</si>
  <si>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</si>
  <si>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</si>
  <si>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</si>
  <si>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</si>
  <si>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</si>
  <si>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</si>
  <si>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</si>
  <si>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</si>
  <si>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</si>
  <si>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</si>
  <si>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</si>
  <si>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</si>
  <si>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</si>
  <si>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</si>
  <si>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</si>
  <si>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</si>
  <si>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</si>
  <si>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</si>
  <si>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</si>
  <si>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</si>
  <si>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</si>
  <si>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</si>
  <si>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</si>
  <si>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</si>
  <si>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</si>
  <si>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</si>
  <si>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</si>
  <si>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</si>
  <si>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</si>
  <si>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</si>
  <si>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</si>
  <si>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</si>
  <si>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</si>
  <si>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</si>
  <si>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</si>
  <si>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</si>
  <si>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</si>
  <si>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</si>
  <si>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</si>
  <si>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</si>
  <si>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</si>
  <si>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</si>
  <si>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</si>
  <si>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</si>
  <si>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</si>
  <si>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</si>
  <si>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</si>
  <si>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</si>
  <si>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</si>
  <si>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</si>
  <si>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</si>
  <si>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</si>
  <si>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</si>
  <si>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</si>
  <si>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</si>
  <si>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</si>
  <si>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</si>
  <si>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</si>
  <si>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</si>
  <si>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</si>
  <si>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</si>
  <si>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</si>
  <si>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</si>
  <si>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</si>
  <si>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</si>
  <si>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</si>
  <si>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</si>
  <si>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</si>
  <si>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</si>
  <si>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</si>
  <si>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</si>
  <si>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</si>
  <si>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</si>
  <si>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</si>
  <si>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</si>
  <si>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</si>
  <si>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</si>
  <si>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</si>
  <si>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</si>
  <si>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</si>
  <si>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</si>
  <si>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</si>
  <si>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</si>
  <si>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</si>
  <si>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</si>
  <si>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</si>
  <si>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</si>
  <si>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</si>
  <si>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</si>
  <si>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</si>
  <si>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</si>
  <si>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</si>
  <si>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</si>
  <si>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</si>
  <si>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</si>
  <si>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</si>
  <si>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</si>
  <si>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</si>
  <si>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</si>
  <si>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</si>
  <si>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</si>
  <si>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</si>
  <si>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</si>
  <si>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</si>
  <si>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</si>
  <si>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</si>
  <si>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</si>
  <si>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</si>
  <si>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</si>
  <si>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</si>
  <si>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</si>
  <si>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</si>
  <si>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</si>
  <si>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</si>
  <si>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</si>
  <si>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</si>
  <si>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</si>
  <si>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</si>
  <si>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</si>
  <si>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</si>
  <si>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</si>
  <si>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</si>
  <si>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</si>
  <si>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</si>
  <si>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</si>
  <si>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</si>
  <si>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</si>
  <si>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</si>
  <si>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</si>
  <si>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</si>
  <si>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</si>
  <si>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</si>
  <si>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</si>
  <si>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</si>
  <si>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</si>
  <si>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</si>
  <si>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</si>
  <si>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</si>
  <si>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</si>
  <si>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</si>
  <si>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</si>
  <si>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</si>
  <si>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</si>
  <si>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</si>
  <si>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</si>
  <si>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</si>
  <si>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</si>
  <si>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</si>
  <si>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</si>
  <si>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</si>
  <si>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</si>
  <si>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</si>
  <si>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</si>
  <si>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</si>
  <si>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</si>
  <si>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</si>
  <si>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</si>
  <si>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</si>
  <si>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</si>
  <si>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</si>
  <si>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</si>
  <si>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</si>
  <si>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</si>
  <si>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</si>
  <si>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</si>
  <si>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</si>
  <si>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</si>
  <si>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</si>
  <si>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</si>
  <si>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</si>
  <si>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</si>
  <si>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</si>
  <si>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</si>
  <si>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</si>
  <si>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</si>
  <si>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</si>
  <si>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</si>
  <si>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</si>
  <si>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</si>
  <si>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</si>
  <si>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</si>
  <si>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</si>
  <si>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</si>
  <si>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</si>
  <si>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</si>
  <si>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</si>
  <si>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</si>
  <si>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</si>
  <si>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</si>
  <si>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</si>
  <si>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</si>
  <si>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</si>
  <si>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</si>
  <si>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</si>
  <si>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</si>
  <si>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</si>
  <si>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</si>
  <si>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</si>
  <si>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</si>
  <si>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</si>
  <si>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</si>
  <si>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</si>
  <si>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</si>
  <si>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</si>
  <si>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</si>
  <si>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</si>
  <si>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</si>
  <si>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</si>
  <si>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</si>
  <si>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</si>
  <si>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</si>
  <si>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</si>
  <si>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</si>
  <si>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</si>
  <si>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</si>
  <si>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</si>
  <si>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</si>
  <si>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</si>
  <si>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</si>
  <si>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</si>
  <si>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</si>
  <si>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</si>
  <si>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</si>
  <si>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</si>
  <si>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</si>
  <si>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</si>
  <si>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</si>
  <si>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</si>
  <si>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</si>
  <si>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</si>
  <si>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</si>
  <si>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</si>
  <si>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</si>
  <si>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</si>
  <si>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</si>
  <si>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</si>
  <si>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</si>
  <si>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</si>
  <si>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</si>
  <si>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</si>
  <si>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</si>
  <si>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</si>
  <si>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</si>
  <si>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</si>
  <si>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</si>
  <si>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</si>
  <si>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</si>
  <si>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</si>
  <si>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</si>
  <si>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</si>
  <si>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</si>
  <si>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</si>
  <si>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</si>
  <si>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</si>
  <si>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</si>
  <si>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</si>
  <si>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</si>
  <si>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</si>
  <si>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</si>
  <si>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</si>
  <si>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</si>
  <si>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</si>
  <si>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</si>
  <si>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</si>
  <si>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</si>
  <si>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</si>
  <si>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</si>
  <si>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</si>
  <si>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</si>
  <si>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</si>
  <si>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</si>
  <si>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</si>
  <si>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</si>
  <si>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</si>
  <si>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</si>
  <si>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</si>
  <si>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</si>
  <si>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</si>
  <si>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</si>
  <si>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</si>
  <si>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</si>
  <si>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</si>
  <si>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</si>
  <si>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</si>
  <si>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</si>
  <si>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</si>
  <si>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</si>
  <si>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</si>
  <si>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</si>
  <si>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</si>
  <si>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</si>
  <si>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</si>
  <si>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</si>
  <si>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</si>
  <si>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</si>
  <si>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</si>
  <si>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</si>
  <si>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</si>
  <si>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</si>
  <si>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</si>
  <si>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</si>
  <si>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</si>
  <si>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</si>
  <si>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</si>
  <si>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</si>
  <si>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</si>
  <si>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</si>
  <si>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</si>
  <si>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</si>
  <si>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</si>
  <si>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</si>
  <si>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</si>
  <si>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</si>
  <si>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</si>
  <si>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</si>
  <si>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</si>
  <si>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</si>
  <si>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</si>
  <si>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</si>
  <si>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</si>
  <si>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</si>
  <si>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</si>
  <si>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</si>
  <si>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</si>
  <si>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</si>
  <si>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</si>
  <si>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</si>
  <si>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</si>
  <si>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</si>
  <si>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</si>
  <si>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</si>
  <si>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</si>
  <si>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</si>
  <si>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</si>
  <si>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</si>
  <si>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</si>
  <si>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</si>
  <si>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</si>
  <si>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</si>
  <si>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</si>
  <si>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</si>
  <si>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</si>
  <si>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</si>
  <si>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</si>
  <si>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</si>
  <si>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</si>
  <si>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</si>
  <si>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</si>
  <si>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</si>
  <si>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</si>
  <si>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</si>
  <si>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</si>
  <si>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</si>
  <si>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</si>
  <si>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</si>
  <si>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</si>
  <si>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</si>
  <si>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</si>
  <si>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</si>
  <si>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</si>
  <si>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</si>
  <si>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</si>
  <si>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</si>
  <si>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</si>
  <si>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</si>
  <si>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</si>
  <si>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</si>
  <si>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</si>
  <si>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</si>
  <si>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</si>
  <si>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</si>
  <si>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</si>
  <si>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</si>
  <si>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</si>
  <si>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</si>
  <si>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</si>
  <si>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</si>
  <si>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</si>
  <si>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</si>
  <si>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</si>
  <si>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</si>
  <si>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</si>
  <si>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</si>
  <si>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</si>
  <si>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</si>
  <si>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</si>
  <si>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</si>
  <si>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</si>
  <si>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</si>
  <si>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</si>
  <si>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</si>
  <si>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</si>
  <si>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</si>
  <si>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</si>
  <si>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</si>
  <si>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</si>
  <si>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</si>
  <si>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</si>
  <si>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</si>
  <si>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</si>
  <si>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</si>
  <si>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</si>
  <si>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</si>
  <si>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</si>
  <si>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</si>
  <si>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</si>
  <si>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</si>
  <si>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</si>
  <si>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</si>
  <si>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</si>
  <si>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</si>
  <si>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</si>
  <si>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</si>
  <si>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</si>
  <si>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</si>
  <si>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</si>
  <si>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</si>
  <si>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</si>
  <si>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</si>
  <si>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</si>
  <si>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</si>
  <si>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</si>
  <si>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</si>
  <si>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</si>
  <si>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</si>
  <si>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</si>
  <si>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</si>
  <si>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</si>
  <si>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</si>
  <si>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</si>
  <si>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</si>
  <si>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</si>
  <si>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</si>
  <si>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</si>
  <si>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</si>
  <si>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</si>
  <si>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</si>
  <si>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</si>
  <si>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</si>
  <si>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</si>
  <si>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</si>
  <si>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</si>
  <si>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</si>
  <si>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</si>
  <si>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</si>
  <si>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</si>
  <si>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</si>
  <si>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</si>
  <si>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</si>
  <si>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</si>
  <si>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</si>
  <si>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</si>
  <si>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</si>
  <si>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</si>
  <si>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</si>
  <si>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</si>
  <si>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</si>
  <si>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</si>
  <si>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</si>
  <si>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</si>
  <si>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</si>
  <si>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</si>
  <si>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</si>
  <si>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</si>
  <si>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</si>
  <si>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</si>
  <si>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</si>
  <si>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</si>
  <si>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</si>
  <si>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</si>
  <si>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</si>
  <si>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</si>
  <si>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</si>
  <si>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</si>
  <si>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</si>
  <si>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</si>
  <si>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</si>
  <si>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</si>
  <si>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</si>
  <si>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</si>
  <si>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</si>
  <si>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</si>
  <si>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</si>
  <si>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</si>
  <si>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</si>
  <si>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</si>
  <si>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</si>
  <si>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</si>
  <si>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</si>
  <si>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</si>
  <si>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</si>
  <si>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</si>
  <si>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</si>
  <si>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</si>
  <si>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</si>
  <si>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</si>
  <si>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</si>
  <si>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</si>
  <si>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</si>
  <si>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</si>
  <si>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</si>
  <si>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</si>
  <si>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</si>
  <si>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</si>
  <si>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</si>
  <si>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</si>
  <si>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</si>
  <si>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</si>
  <si>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</si>
  <si>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</si>
  <si>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</si>
  <si>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</si>
  <si>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</si>
  <si>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</si>
  <si>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</si>
  <si>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</si>
  <si>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</si>
  <si>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</si>
  <si>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</si>
  <si>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</si>
  <si>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</si>
  <si>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</si>
  <si>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</si>
  <si>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</si>
  <si>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</si>
  <si>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</si>
  <si>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</si>
  <si>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</si>
  <si>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</si>
  <si>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</si>
  <si>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</si>
  <si>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</si>
  <si>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</si>
  <si>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</si>
  <si>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</si>
  <si>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</si>
  <si>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</si>
  <si>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</si>
  <si>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</si>
  <si>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</si>
  <si>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</si>
  <si>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</si>
  <si>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</si>
  <si>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</si>
  <si>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</si>
  <si>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</si>
  <si>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</si>
  <si>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</si>
  <si>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</si>
  <si>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</si>
  <si>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</si>
  <si>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</si>
  <si>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</si>
  <si>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</si>
  <si>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</si>
  <si>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</si>
  <si>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</si>
  <si>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</si>
  <si>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</si>
  <si>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</si>
  <si>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</si>
  <si>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</si>
  <si>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</si>
  <si>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</si>
  <si>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</si>
  <si>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</si>
  <si>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</si>
  <si>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</si>
  <si>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</si>
  <si>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</si>
  <si>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</si>
  <si>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</si>
  <si>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</si>
  <si>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</si>
  <si>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</si>
  <si>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</si>
  <si>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</si>
  <si>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</si>
  <si>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</si>
  <si>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</si>
  <si>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</si>
  <si>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</si>
  <si>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</si>
  <si>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</si>
  <si>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</si>
  <si>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</si>
  <si>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</si>
  <si>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</si>
  <si>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</si>
  <si>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</si>
  <si>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</si>
  <si>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</si>
  <si>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</si>
  <si>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</si>
  <si>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</si>
  <si>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</si>
  <si>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</si>
  <si>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</si>
  <si>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</si>
  <si>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</si>
  <si>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</si>
  <si>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</si>
  <si>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</si>
  <si>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</si>
  <si>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</si>
  <si>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</si>
  <si>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</si>
  <si>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</si>
  <si>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</si>
  <si>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</si>
  <si>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</si>
  <si>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</si>
  <si>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</si>
  <si>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</si>
  <si>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</si>
  <si>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</si>
  <si>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</si>
  <si>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</si>
  <si>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</si>
  <si>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</si>
  <si>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</si>
  <si>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</si>
  <si>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</si>
  <si>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</si>
  <si>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</si>
  <si>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</si>
  <si>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</si>
  <si>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</si>
  <si>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</si>
  <si>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</si>
  <si>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</si>
  <si>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</si>
  <si>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</si>
  <si>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</si>
  <si>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</si>
  <si>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</si>
  <si>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</si>
  <si>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</si>
  <si>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</si>
  <si>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</si>
  <si>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</si>
  <si>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</si>
  <si>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</si>
  <si>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</si>
  <si>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</si>
  <si>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</si>
  <si>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</si>
  <si>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</si>
  <si>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</si>
  <si>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</si>
  <si>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</si>
  <si>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</si>
  <si>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</si>
  <si>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</si>
  <si>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</si>
  <si>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</si>
  <si>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</si>
  <si>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</si>
  <si>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</si>
  <si>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</si>
  <si>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</si>
  <si>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</si>
  <si>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</si>
  <si>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</si>
  <si>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</si>
  <si>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</si>
  <si>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</si>
  <si>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</si>
  <si>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</si>
  <si>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</si>
  <si>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</si>
  <si>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</si>
  <si>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</si>
  <si>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</si>
  <si>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</si>
  <si>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</si>
  <si>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</si>
  <si>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</si>
  <si>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</si>
  <si>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</si>
  <si>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</si>
  <si>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</si>
  <si>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</si>
  <si>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</si>
  <si>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</si>
  <si>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</si>
  <si>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</si>
  <si>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</si>
  <si>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</si>
  <si>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</si>
  <si>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</si>
  <si>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</si>
  <si>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</si>
  <si>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</si>
  <si>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</si>
  <si>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</si>
  <si>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</si>
  <si>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</si>
  <si>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</si>
  <si>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</si>
  <si>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</si>
  <si>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</si>
  <si>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</si>
  <si>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</si>
  <si>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</si>
  <si>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</si>
  <si>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</si>
  <si>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</si>
  <si>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</si>
  <si>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</si>
  <si>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</si>
  <si>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</si>
  <si>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</si>
  <si>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</si>
  <si>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</si>
  <si>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</si>
  <si>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</si>
  <si>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</si>
  <si>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</si>
  <si>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</si>
  <si>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</si>
  <si>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</si>
  <si>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</si>
  <si>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</si>
  <si>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</si>
  <si>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</si>
  <si>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</si>
  <si>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</si>
  <si>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</si>
  <si>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</si>
  <si>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</si>
  <si>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</si>
  <si>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</si>
  <si>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</si>
  <si>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</si>
  <si>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</si>
  <si>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</si>
  <si>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</si>
  <si>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</si>
  <si>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</si>
  <si>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</si>
  <si>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</si>
  <si>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</si>
  <si>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</si>
  <si>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</si>
  <si>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</si>
  <si>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</si>
  <si>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</si>
  <si>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</si>
  <si>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</si>
  <si>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</si>
  <si>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</si>
  <si>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</si>
  <si>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</si>
  <si>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</si>
  <si>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</si>
  <si>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</si>
  <si>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</si>
  <si>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</si>
  <si>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</si>
  <si>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</si>
  <si>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</si>
  <si>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</si>
  <si>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</si>
  <si>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</si>
  <si>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</si>
  <si>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</si>
  <si>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</si>
  <si>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</si>
  <si>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</si>
  <si>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</si>
  <si>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</si>
  <si>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</si>
  <si>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</si>
  <si>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</si>
  <si>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</si>
  <si>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</si>
  <si>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</si>
  <si>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</si>
  <si>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</si>
  <si>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</si>
  <si>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</si>
  <si>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</si>
  <si>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</si>
  <si>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</si>
  <si>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</si>
  <si>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</si>
  <si>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</si>
  <si>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</si>
  <si>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</si>
  <si>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</si>
  <si>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</si>
  <si>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</si>
  <si>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</si>
  <si>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</si>
  <si>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</si>
  <si>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</si>
  <si>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</si>
  <si>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</si>
  <si>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</si>
  <si>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</si>
  <si>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</si>
  <si>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</si>
  <si>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</si>
  <si>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</si>
  <si>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</si>
  <si>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</si>
  <si>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</si>
  <si>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</si>
  <si>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</si>
  <si>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</si>
  <si>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</si>
  <si>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</si>
  <si>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</si>
  <si>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</si>
  <si>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</si>
  <si>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</si>
  <si>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</si>
  <si>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</si>
  <si>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</si>
  <si>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</si>
  <si>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</si>
  <si>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</si>
  <si>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</si>
  <si>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</si>
  <si>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</si>
  <si>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</si>
  <si>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</si>
  <si>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</si>
  <si>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</si>
  <si>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</si>
  <si>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</si>
  <si>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</si>
  <si>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</si>
  <si>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</si>
  <si>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</si>
  <si>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</si>
  <si>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</si>
  <si>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</si>
  <si>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</si>
  <si>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</si>
  <si>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</si>
  <si>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</si>
  <si>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</si>
  <si>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</si>
  <si>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</si>
  <si>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</si>
  <si>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</si>
  <si>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</si>
  <si>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</si>
  <si>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</si>
  <si>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</si>
  <si>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</si>
  <si>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</si>
  <si>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</si>
  <si>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</si>
  <si>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</si>
  <si>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</si>
  <si>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</si>
  <si>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</si>
  <si>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</si>
  <si>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</si>
  <si>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</si>
  <si>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</si>
  <si>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</si>
  <si>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</si>
  <si>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</si>
  <si>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</si>
  <si>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</si>
  <si>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</si>
  <si>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</si>
  <si>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</si>
  <si>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</si>
  <si>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</si>
  <si>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</si>
  <si>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</si>
  <si>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</si>
  <si>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</si>
  <si>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</si>
  <si>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</si>
  <si>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</si>
  <si>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</si>
  <si>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</si>
  <si>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</si>
  <si>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</si>
  <si>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</si>
  <si>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</si>
  <si>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</si>
  <si>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</si>
  <si>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</si>
  <si>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</si>
  <si>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</si>
  <si>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</si>
  <si>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</si>
  <si>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</si>
  <si>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</si>
  <si>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</si>
  <si>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</si>
  <si>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</si>
  <si>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</si>
  <si>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</si>
  <si>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</si>
  <si>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</si>
  <si>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</si>
  <si>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</si>
  <si>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</si>
  <si>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</si>
  <si>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</si>
  <si>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</si>
  <si>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</si>
  <si>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</si>
  <si>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</si>
  <si>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</si>
  <si>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</si>
  <si>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</si>
  <si>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</si>
  <si>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</si>
  <si>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</si>
  <si>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</si>
  <si>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</si>
  <si>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</si>
  <si>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</si>
  <si>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</si>
  <si>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</si>
  <si>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</si>
  <si>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</si>
  <si>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</si>
  <si>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</si>
  <si>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</si>
  <si>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</si>
  <si>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</si>
  <si>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</si>
  <si>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</si>
  <si>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</si>
  <si>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</si>
  <si>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</si>
  <si>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</si>
  <si>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</si>
  <si>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</si>
  <si>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</si>
  <si>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</si>
  <si>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</si>
  <si>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</si>
  <si>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</si>
  <si>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</si>
  <si>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</si>
  <si>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</si>
  <si>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</si>
  <si>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</si>
  <si>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</si>
  <si>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</si>
  <si>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</si>
  <si>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</si>
  <si>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</si>
  <si>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</si>
  <si>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</si>
  <si>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</si>
  <si>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</si>
  <si>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</si>
  <si>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</si>
  <si>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</si>
  <si>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</si>
  <si>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</si>
  <si>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</si>
  <si>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</si>
  <si>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</si>
  <si>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</si>
  <si>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</si>
  <si>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</si>
  <si>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</si>
  <si>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</si>
  <si>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</si>
  <si>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</si>
  <si>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</si>
  <si>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</si>
  <si>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</si>
  <si>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</si>
  <si>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</si>
  <si>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</si>
  <si>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</si>
  <si>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</si>
  <si>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</si>
  <si>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</si>
  <si>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</si>
  <si>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</si>
  <si>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</si>
  <si>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</si>
  <si>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</si>
  <si>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</si>
  <si>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</si>
  <si>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</si>
  <si>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</si>
  <si>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</si>
  <si>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</si>
  <si>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</si>
  <si>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</si>
  <si>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</si>
  <si>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</si>
  <si>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</si>
  <si>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</si>
  <si>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</si>
  <si>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</si>
  <si>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</si>
  <si>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</si>
  <si>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</si>
  <si>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</si>
  <si>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</si>
  <si>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</si>
  <si>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</si>
  <si>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</si>
  <si>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</si>
  <si>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</si>
  <si>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</si>
  <si>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</si>
  <si>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</si>
  <si>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</si>
  <si>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</si>
  <si>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</si>
  <si>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</si>
  <si>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</si>
  <si>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</si>
  <si>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</si>
  <si>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</si>
  <si>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</si>
  <si>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</si>
  <si>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</si>
  <si>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</si>
  <si>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</si>
  <si>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</si>
  <si>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</si>
  <si>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</si>
  <si>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</si>
  <si>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</si>
  <si>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</si>
  <si>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</si>
  <si>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</si>
  <si>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</si>
  <si>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</si>
  <si>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</si>
  <si>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</si>
  <si>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</si>
  <si>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</si>
  <si>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</si>
  <si>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</si>
  <si>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</si>
  <si>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</si>
  <si>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</si>
  <si>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</si>
  <si>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</si>
  <si>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</si>
  <si>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</si>
  <si>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</si>
  <si>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</si>
  <si>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</si>
  <si>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</si>
  <si>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</si>
  <si>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</si>
  <si>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</si>
  <si>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</si>
  <si>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</si>
  <si>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</si>
  <si>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</si>
  <si>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</si>
  <si>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</si>
  <si>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</si>
  <si>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</si>
  <si>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</si>
  <si>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</si>
  <si>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</si>
  <si>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</si>
  <si>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</si>
  <si>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</si>
  <si>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</si>
  <si>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</si>
  <si>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</si>
  <si>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</si>
  <si>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</si>
  <si>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</si>
  <si>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</si>
  <si>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</si>
  <si>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</si>
  <si>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</si>
  <si>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</si>
  <si>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</si>
  <si>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</si>
  <si>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</si>
  <si>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</si>
  <si>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</si>
  <si>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</si>
  <si>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</si>
  <si>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</si>
  <si>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</si>
  <si>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</si>
  <si>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</si>
  <si>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</si>
  <si>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</si>
  <si>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</si>
  <si>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</si>
  <si>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</si>
  <si>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</si>
  <si>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</si>
  <si>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</si>
  <si>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</si>
  <si>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</si>
  <si>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</si>
  <si>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</si>
  <si>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</si>
  <si>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</si>
  <si>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</si>
  <si>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</si>
  <si>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</si>
  <si>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</si>
  <si>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</si>
  <si>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</si>
  <si>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</si>
  <si>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</si>
  <si>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</si>
  <si>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</si>
  <si>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</si>
  <si>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</si>
  <si>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</si>
  <si>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</si>
  <si>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</si>
  <si>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</si>
  <si>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</si>
  <si>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</si>
  <si>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</si>
  <si>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</si>
  <si>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</si>
  <si>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</si>
  <si>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</si>
  <si>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</si>
  <si>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</si>
  <si>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</si>
  <si>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</si>
  <si>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</si>
  <si>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</si>
  <si>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</si>
  <si>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</si>
  <si>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</si>
  <si>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</si>
  <si>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</si>
  <si>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</si>
  <si>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</si>
  <si>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</si>
  <si>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</si>
  <si>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</si>
  <si>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</si>
  <si>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</si>
  <si>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</si>
  <si>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</si>
  <si>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</si>
  <si>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</si>
  <si>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</si>
  <si>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</si>
  <si>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</si>
  <si>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</si>
  <si>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</si>
  <si>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</si>
  <si>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</si>
  <si>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</si>
  <si>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</si>
  <si>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</si>
  <si>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</si>
  <si>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</si>
  <si>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</si>
  <si>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</si>
  <si>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</si>
  <si>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</si>
  <si>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</si>
  <si>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</si>
  <si>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</si>
  <si>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</si>
  <si>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</si>
  <si>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</si>
  <si>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</si>
  <si>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</si>
  <si>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</si>
  <si>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</si>
  <si>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</si>
  <si>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</si>
  <si>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</si>
  <si>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</si>
  <si>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</si>
  <si>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</si>
  <si>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</si>
  <si>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</si>
  <si>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</si>
  <si>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</si>
  <si>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</si>
  <si>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</si>
  <si>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</si>
  <si>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</si>
  <si>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</si>
  <si>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</si>
  <si>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</si>
  <si>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</si>
  <si>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</si>
  <si>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</si>
  <si>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</si>
  <si>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</si>
  <si>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</si>
  <si>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</si>
  <si>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</si>
  <si>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</si>
  <si>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</si>
  <si>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</si>
  <si>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</si>
  <si>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</si>
  <si>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</si>
  <si>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</si>
  <si>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</si>
  <si>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</si>
  <si>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</si>
  <si>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</si>
  <si>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</si>
  <si>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</si>
  <si>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</si>
  <si>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</si>
  <si>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</si>
  <si>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</si>
  <si>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</si>
  <si>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</si>
  <si>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</si>
  <si>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</si>
  <si>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</si>
  <si>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</si>
  <si>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</si>
  <si>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</si>
  <si>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</si>
  <si>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</si>
  <si>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</si>
  <si>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</si>
  <si>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</si>
  <si>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</si>
  <si>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</si>
  <si>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</si>
  <si>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</si>
  <si>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</si>
  <si>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</si>
  <si>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</si>
  <si>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</si>
  <si>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</si>
  <si>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</si>
  <si>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</si>
  <si>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</si>
  <si>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</si>
  <si>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</si>
  <si>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</si>
  <si>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</si>
  <si>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</si>
  <si>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</si>
  <si>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</si>
  <si>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</si>
  <si>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</si>
  <si>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</si>
  <si>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</si>
  <si>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</si>
  <si>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</si>
  <si>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</si>
  <si>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</si>
  <si>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</si>
  <si>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</si>
  <si>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</si>
  <si>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</si>
  <si>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</si>
  <si>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</si>
  <si>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</si>
  <si>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</si>
  <si>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</si>
  <si>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</si>
  <si>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</si>
  <si>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</si>
  <si>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</si>
  <si>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</si>
  <si>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</si>
  <si>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</si>
  <si>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</si>
  <si>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</si>
  <si>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</si>
  <si>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</si>
  <si>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</si>
  <si>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</si>
  <si>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</si>
  <si>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</si>
  <si>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</si>
  <si>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</si>
  <si>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</si>
  <si>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</si>
  <si>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</si>
  <si>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</si>
  <si>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</si>
  <si>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</si>
  <si>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</si>
  <si>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</si>
  <si>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</si>
  <si>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</si>
  <si>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</si>
  <si>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</si>
  <si>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</si>
  <si>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</si>
  <si>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</si>
  <si>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</si>
  <si>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</si>
  <si>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</si>
  <si>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</si>
  <si>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</si>
  <si>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</si>
  <si>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</si>
  <si>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</si>
  <si>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</si>
  <si>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</si>
  <si>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</si>
  <si>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</si>
  <si>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</si>
  <si>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</si>
  <si>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</si>
  <si>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</si>
  <si>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</si>
  <si>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</si>
  <si>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</si>
  <si>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</si>
  <si>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</si>
  <si>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</si>
  <si>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</si>
  <si>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</si>
  <si>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</si>
  <si>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</si>
  <si>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</si>
  <si>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</si>
  <si>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</si>
  <si>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</si>
  <si>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</si>
  <si>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</si>
  <si>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</si>
  <si>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</si>
  <si>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</si>
  <si>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</si>
  <si>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</si>
  <si>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</si>
  <si>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</si>
  <si>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</si>
  <si>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</si>
  <si>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</si>
  <si>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</si>
  <si>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</si>
  <si>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</si>
  <si>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</si>
  <si>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</si>
  <si>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</si>
  <si>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</si>
  <si>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</si>
  <si>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</si>
  <si>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</si>
  <si>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</si>
  <si>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</si>
  <si>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</si>
  <si>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</si>
  <si>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</si>
  <si>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</si>
  <si>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</si>
  <si>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</si>
  <si>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</si>
  <si>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</si>
  <si>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</si>
  <si>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</si>
  <si>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</si>
  <si>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</si>
  <si>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</si>
  <si>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</si>
  <si>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</si>
  <si>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</si>
  <si>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</si>
  <si>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</si>
  <si>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</si>
  <si>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</si>
  <si>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</si>
  <si>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</si>
  <si>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</si>
  <si>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</si>
  <si>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</si>
  <si>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</si>
  <si>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</si>
  <si>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</si>
  <si>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</si>
  <si>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</si>
  <si>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</si>
  <si>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</si>
  <si>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</si>
  <si>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</si>
  <si>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</si>
  <si>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</si>
  <si>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</si>
  <si>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</si>
  <si>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</si>
  <si>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</si>
  <si>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</si>
  <si>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</si>
  <si>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</si>
  <si>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</si>
  <si>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</si>
  <si>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</si>
  <si>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</si>
  <si>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</si>
  <si>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</si>
  <si>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</si>
  <si>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</si>
  <si>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</si>
  <si>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</si>
  <si>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</si>
  <si>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</si>
  <si>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</si>
  <si>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</si>
  <si>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</si>
  <si>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</si>
  <si>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</si>
  <si>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</si>
  <si>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</si>
  <si>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</si>
  <si>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</si>
  <si>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</si>
  <si>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</si>
  <si>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</si>
  <si>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</si>
  <si>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</si>
  <si>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</si>
  <si>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</si>
  <si>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</si>
  <si>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</si>
  <si>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</si>
  <si>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</si>
  <si>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</si>
  <si>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</si>
  <si>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</si>
  <si>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</si>
  <si>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</si>
  <si>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</si>
  <si>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</si>
  <si>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</si>
  <si>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</si>
  <si>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</si>
  <si>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</si>
  <si>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</si>
  <si>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</si>
  <si>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</si>
  <si>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</si>
  <si>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</si>
  <si>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</si>
  <si>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</si>
  <si>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</si>
  <si>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</si>
  <si>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</si>
  <si>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</si>
  <si>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</si>
  <si>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</si>
  <si>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</si>
  <si>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</si>
  <si>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</si>
  <si>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</si>
  <si>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</si>
  <si>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</si>
  <si>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</si>
  <si>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</si>
  <si>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</si>
  <si>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</si>
  <si>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</si>
  <si>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</si>
  <si>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</si>
  <si>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</si>
  <si>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</si>
  <si>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</si>
  <si>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</si>
  <si>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</si>
  <si>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</si>
  <si>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</si>
  <si>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</si>
  <si>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</si>
  <si>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</si>
  <si>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</si>
  <si>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</si>
  <si>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</si>
  <si>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</si>
  <si>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</si>
  <si>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</si>
  <si>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</si>
  <si>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</si>
  <si>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</si>
  <si>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</si>
  <si>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</si>
  <si>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</si>
  <si>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</si>
  <si>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</si>
  <si>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</si>
  <si>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</si>
  <si>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</si>
  <si>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</si>
  <si>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</si>
  <si>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</si>
  <si>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</si>
  <si>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</si>
  <si>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</si>
  <si>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</si>
  <si>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</si>
  <si>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</si>
  <si>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</si>
  <si>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</si>
  <si>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</si>
  <si>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</si>
  <si>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</si>
  <si>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</si>
  <si>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</si>
  <si>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</si>
  <si>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</si>
  <si>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</si>
  <si>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</si>
  <si>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</si>
  <si>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</si>
  <si>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</si>
  <si>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</si>
  <si>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</si>
  <si>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</si>
  <si>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</si>
  <si>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</si>
  <si>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</si>
  <si>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</si>
  <si>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</si>
  <si>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</si>
  <si>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</si>
  <si>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</si>
  <si>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</si>
  <si>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</si>
  <si>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</si>
  <si>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</si>
  <si>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</si>
  <si>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</si>
  <si>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</si>
  <si>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</si>
  <si>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</si>
  <si>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</si>
  <si>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</si>
  <si>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</si>
  <si>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</si>
  <si>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</si>
  <si>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</si>
  <si>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</si>
  <si>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</si>
  <si>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</si>
  <si>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</si>
  <si>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</si>
  <si>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</si>
  <si>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</si>
  <si>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</si>
  <si>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</si>
  <si>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</si>
  <si>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</si>
  <si>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</si>
  <si>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</si>
  <si>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</si>
  <si>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</si>
  <si>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</si>
  <si>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</si>
  <si>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</si>
  <si>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</si>
  <si>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</si>
  <si>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</si>
  <si>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</si>
  <si>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</si>
  <si>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</si>
  <si>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</si>
  <si>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</si>
  <si>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</si>
  <si>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</si>
  <si>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</si>
  <si>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</si>
  <si>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</si>
  <si>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</si>
  <si>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</si>
  <si>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</si>
  <si>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</si>
  <si>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</si>
  <si>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</si>
  <si>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</si>
  <si>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</si>
  <si>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</si>
  <si>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</si>
  <si>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</si>
  <si>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</si>
  <si>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</si>
  <si>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</si>
  <si>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</si>
  <si>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</si>
  <si>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</si>
  <si>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</si>
  <si>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</si>
  <si>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</si>
  <si>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</si>
  <si>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</si>
  <si>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</si>
  <si>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</si>
  <si>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</si>
  <si>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</si>
  <si>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</si>
  <si>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</si>
  <si>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</si>
  <si>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</si>
  <si>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</si>
  <si>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</si>
  <si>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</si>
  <si>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</si>
  <si>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</si>
  <si>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</si>
  <si>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</si>
  <si>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</si>
  <si>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</si>
  <si>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</si>
  <si>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</si>
  <si>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</si>
  <si>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</si>
  <si>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</si>
  <si>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</si>
  <si>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</si>
  <si>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</si>
  <si>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</si>
  <si>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</si>
  <si>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</si>
  <si>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</si>
  <si>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</si>
  <si>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</si>
  <si>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</si>
  <si>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</si>
  <si>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</si>
  <si>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</si>
  <si>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</si>
  <si>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</si>
  <si>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</si>
  <si>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</si>
  <si>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</si>
  <si>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</si>
  <si>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</si>
  <si>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</si>
  <si>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</si>
  <si>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</si>
  <si>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</si>
  <si>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</si>
  <si>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</si>
  <si>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</si>
  <si>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</si>
  <si>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</si>
  <si>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</si>
  <si>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</si>
  <si>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</si>
  <si>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</si>
  <si>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</si>
  <si>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</si>
  <si>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</si>
  <si>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</si>
  <si>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</si>
  <si>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</si>
  <si>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</si>
  <si>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</si>
  <si>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</si>
  <si>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</si>
  <si>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</si>
  <si>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</si>
  <si>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</si>
  <si>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</si>
  <si>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</si>
  <si>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</si>
  <si>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</si>
  <si>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</si>
  <si>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</si>
  <si>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</si>
  <si>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</si>
  <si>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</si>
  <si>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</si>
  <si>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</si>
  <si>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</si>
  <si>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</si>
  <si>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</si>
  <si>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</si>
  <si>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</si>
  <si>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</si>
  <si>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</si>
  <si>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</si>
  <si>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</si>
  <si>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</si>
  <si>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</si>
  <si>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</si>
  <si>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</si>
  <si>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</si>
  <si>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</si>
  <si>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</si>
  <si>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</si>
  <si>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</si>
  <si>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</si>
  <si>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</si>
  <si>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</si>
  <si>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</si>
  <si>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</si>
  <si>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</si>
  <si>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</si>
  <si>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</si>
  <si>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</si>
  <si>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</si>
  <si>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</si>
  <si>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</si>
  <si>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</si>
  <si>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</si>
  <si>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</si>
  <si>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</si>
  <si>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</si>
  <si>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</si>
  <si>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</si>
  <si>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</si>
  <si>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</si>
  <si>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</si>
  <si>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</si>
  <si>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</si>
  <si>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</si>
  <si>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</si>
  <si>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</si>
  <si>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</si>
  <si>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</si>
  <si>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</si>
  <si>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</si>
  <si>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</si>
  <si>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</si>
  <si>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</si>
  <si>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</si>
  <si>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</si>
  <si>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</si>
  <si>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</si>
  <si>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</si>
  <si>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</si>
  <si>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</si>
  <si>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</si>
  <si>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</si>
  <si>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</si>
  <si>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</si>
  <si>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</si>
  <si>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</si>
  <si>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</si>
  <si>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</si>
  <si>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</si>
  <si>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</si>
  <si>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</si>
  <si>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</si>
  <si>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</si>
  <si>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</si>
  <si>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</si>
  <si>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</si>
  <si>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</si>
  <si>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</si>
  <si>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</si>
  <si>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</si>
  <si>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</si>
  <si>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</si>
  <si>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</si>
  <si>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</si>
  <si>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</si>
  <si>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</si>
  <si>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</si>
  <si>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</si>
  <si>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</si>
  <si>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</si>
  <si>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</si>
  <si>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</si>
  <si>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</si>
  <si>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</si>
  <si>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</si>
  <si>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</si>
  <si>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</si>
  <si>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</si>
  <si>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</si>
  <si>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</si>
  <si>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</si>
  <si>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</si>
  <si>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</si>
  <si>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</si>
  <si>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</si>
  <si>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</si>
  <si>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</si>
  <si>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</si>
  <si>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</si>
  <si>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</si>
  <si>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</si>
  <si>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</si>
  <si>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</si>
  <si>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</si>
  <si>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</si>
  <si>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</si>
  <si>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</si>
  <si>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</si>
  <si>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</si>
  <si>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</si>
  <si>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</si>
  <si>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</si>
  <si>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</si>
  <si>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</si>
  <si>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</si>
  <si>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</si>
  <si>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</si>
  <si>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</si>
  <si>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</si>
  <si>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</si>
  <si>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</si>
  <si>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</si>
  <si>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</si>
  <si>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</si>
  <si>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</si>
  <si>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</si>
  <si>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</si>
  <si>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</si>
  <si>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</si>
  <si>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</si>
  <si>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</si>
  <si>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</si>
  <si>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</si>
  <si>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</si>
  <si>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</si>
  <si>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</si>
  <si>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</si>
  <si>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</si>
  <si>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</si>
  <si>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</si>
  <si>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</si>
  <si>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</si>
  <si>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</si>
  <si>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</si>
  <si>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</si>
  <si>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</si>
  <si>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</si>
  <si>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</si>
  <si>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</si>
  <si>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</si>
  <si>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</si>
  <si>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</si>
  <si>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</si>
  <si>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</si>
  <si>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</si>
  <si>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</si>
  <si>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</si>
  <si>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</si>
  <si>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</si>
  <si>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</si>
  <si>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</si>
  <si>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</si>
  <si>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</si>
  <si>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</si>
  <si>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</si>
  <si>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</si>
  <si>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</si>
  <si>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</si>
  <si>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</si>
  <si>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</si>
  <si>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</si>
  <si>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</si>
  <si>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</si>
  <si>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</si>
  <si>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</si>
  <si>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</si>
  <si>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</si>
  <si>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</si>
  <si>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</si>
  <si>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</si>
  <si>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</si>
  <si>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</si>
  <si>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</si>
  <si>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</si>
  <si>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</si>
  <si>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</si>
  <si>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</si>
  <si>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</si>
  <si>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</si>
  <si>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</si>
  <si>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</si>
  <si>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</si>
  <si>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</si>
  <si>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</si>
  <si>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</si>
  <si>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</si>
  <si>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</si>
  <si>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</si>
  <si>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</si>
  <si>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</si>
  <si>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</si>
  <si>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</si>
  <si>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</si>
  <si>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</si>
  <si>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</si>
  <si>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</si>
  <si>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</si>
  <si>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</si>
  <si>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</si>
  <si>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</si>
  <si>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</si>
  <si>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</si>
  <si>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</si>
  <si>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</si>
  <si>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</si>
  <si>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</si>
  <si>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</si>
  <si>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</si>
  <si>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</si>
  <si>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</si>
  <si>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</si>
  <si>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</si>
  <si>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</si>
  <si>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</si>
  <si>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</si>
  <si>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</si>
  <si>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</si>
  <si>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</si>
  <si>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</si>
  <si>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</si>
  <si>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</si>
  <si>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</si>
  <si>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</si>
  <si>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</si>
  <si>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</si>
  <si>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</si>
  <si>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</si>
  <si>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</si>
  <si>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</si>
  <si>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</si>
  <si>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</si>
  <si>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</si>
  <si>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</si>
  <si>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</si>
  <si>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</si>
  <si>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</si>
  <si>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</si>
  <si>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</si>
  <si>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</si>
  <si>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</si>
  <si>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</si>
  <si>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</si>
  <si>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</si>
  <si>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</si>
  <si>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</si>
  <si>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</si>
  <si>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</si>
  <si>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</si>
  <si>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</si>
  <si>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</si>
  <si>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</si>
  <si>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</si>
  <si>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</si>
  <si>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</si>
  <si>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</si>
  <si>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</si>
  <si>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</si>
  <si>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</si>
  <si>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</si>
  <si>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</si>
  <si>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</si>
  <si>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</si>
  <si>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</si>
  <si>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</si>
  <si>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</si>
  <si>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</si>
  <si>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</si>
  <si>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</si>
  <si>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</si>
  <si>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</si>
  <si>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</si>
  <si>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</si>
  <si>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</si>
  <si>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</si>
  <si>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</si>
  <si>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</si>
  <si>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</si>
  <si>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</si>
  <si>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</si>
  <si>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</si>
  <si>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</si>
  <si>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</si>
  <si>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</si>
  <si>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</si>
  <si>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</si>
  <si>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</si>
  <si>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</si>
  <si>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</si>
  <si>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</si>
  <si>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</si>
  <si>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</si>
  <si>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</si>
  <si>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</si>
  <si>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</si>
  <si>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</si>
  <si>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</si>
  <si>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</si>
  <si>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</si>
  <si>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</si>
  <si>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</si>
  <si>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</si>
  <si>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</si>
  <si>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</si>
  <si>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</si>
  <si>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</si>
  <si>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</si>
  <si>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</si>
  <si>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</si>
  <si>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</si>
  <si>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</si>
  <si>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</si>
  <si>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</si>
  <si>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</si>
  <si>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</si>
  <si>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</si>
  <si>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</si>
  <si>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</si>
  <si>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</si>
  <si>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</si>
  <si>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</si>
  <si>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</si>
  <si>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</si>
  <si>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</si>
  <si>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</si>
  <si>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</si>
  <si>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</si>
  <si>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</si>
  <si>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</si>
  <si>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</si>
  <si>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</si>
  <si>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</si>
  <si>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</si>
  <si>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</si>
  <si>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</si>
  <si>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</si>
  <si>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</si>
  <si>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</si>
  <si>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</si>
  <si>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</si>
  <si>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</si>
  <si>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</si>
  <si>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</si>
  <si>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</si>
  <si>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</si>
  <si>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</si>
  <si>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</si>
  <si>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</si>
  <si>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</si>
  <si>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</si>
  <si>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</si>
  <si>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</si>
  <si>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</si>
  <si>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</si>
  <si>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</si>
  <si>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</si>
  <si>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</si>
  <si>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</si>
  <si>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</si>
  <si>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</si>
  <si>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</si>
  <si>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</si>
  <si>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</si>
  <si>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</si>
  <si>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</si>
  <si>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</si>
  <si>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</si>
  <si>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</si>
  <si>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</si>
  <si>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</si>
  <si>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</si>
  <si>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</si>
  <si>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</si>
  <si>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</si>
  <si>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</si>
  <si>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</si>
  <si>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</si>
  <si>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</si>
  <si>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</si>
  <si>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</si>
  <si>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</si>
  <si>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</si>
  <si>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</si>
  <si>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</si>
  <si>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</si>
  <si>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</si>
  <si>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</si>
  <si>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</si>
  <si>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</si>
  <si>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</si>
  <si>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</si>
  <si>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</si>
  <si>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</si>
  <si>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</si>
  <si>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</si>
  <si>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</si>
  <si>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</si>
  <si>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</si>
  <si>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</si>
  <si>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</si>
  <si>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</si>
  <si>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</si>
  <si>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</si>
  <si>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</si>
  <si>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</si>
  <si>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</si>
  <si>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</si>
  <si>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</si>
  <si>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</si>
  <si>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</si>
  <si>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</si>
  <si>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</si>
  <si>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</si>
  <si>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</si>
  <si>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</si>
  <si>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</si>
  <si>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</si>
  <si>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</si>
  <si>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</si>
  <si>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</si>
  <si>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</si>
  <si>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</si>
  <si>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</si>
  <si>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</si>
  <si>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</si>
  <si>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</si>
  <si>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</si>
  <si>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</si>
  <si>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</si>
  <si>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</si>
  <si>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</si>
  <si>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</si>
  <si>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</si>
  <si>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</si>
  <si>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</si>
  <si>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</si>
  <si>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</si>
  <si>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</si>
  <si>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</si>
  <si>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</si>
  <si>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</si>
  <si>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</si>
  <si>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</si>
  <si>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</si>
  <si>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</si>
  <si>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</si>
  <si>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</si>
  <si>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</si>
  <si>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</si>
  <si>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</si>
  <si>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</si>
  <si>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</si>
  <si>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</si>
  <si>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</si>
  <si>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</si>
  <si>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</si>
  <si>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</si>
  <si>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</si>
  <si>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</si>
  <si>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</si>
  <si>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</si>
  <si>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</si>
  <si>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</si>
  <si>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</si>
  <si>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</si>
  <si>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</si>
  <si>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</si>
  <si>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</si>
  <si>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</si>
  <si>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</si>
  <si>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</si>
  <si>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</si>
  <si>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</si>
  <si>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</si>
  <si>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</si>
  <si>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</si>
  <si>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</si>
  <si>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</si>
  <si>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</si>
  <si>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</si>
  <si>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</si>
  <si>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</si>
  <si>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</si>
  <si>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</si>
  <si>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</si>
  <si>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</si>
  <si>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</si>
  <si>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</si>
  <si>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</si>
  <si>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</si>
  <si>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</si>
  <si>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</si>
  <si>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</si>
  <si>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</si>
  <si>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</si>
  <si>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</si>
  <si>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</si>
  <si>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</si>
  <si>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</si>
  <si>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</si>
  <si>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</si>
  <si>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</si>
  <si>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</si>
  <si>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</si>
  <si>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</si>
  <si>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</si>
  <si>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</si>
  <si>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</si>
  <si>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</si>
  <si>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</si>
  <si>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</si>
  <si>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</si>
  <si>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</si>
  <si>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</si>
  <si>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</si>
  <si>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</si>
  <si>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</si>
  <si>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</si>
  <si>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</si>
  <si>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</si>
  <si>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</si>
  <si>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</si>
  <si>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</si>
  <si>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</si>
  <si>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</si>
  <si>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</si>
  <si>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</si>
  <si>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</si>
  <si>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</si>
  <si>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</si>
  <si>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</si>
  <si>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</si>
  <si>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</si>
  <si>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</si>
  <si>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</si>
  <si>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</si>
  <si>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</si>
  <si>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</si>
  <si>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</si>
  <si>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</si>
  <si>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</si>
  <si>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</si>
  <si>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</si>
  <si>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</si>
  <si>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</si>
  <si>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</si>
  <si>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</si>
  <si>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</si>
  <si>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</si>
  <si>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</si>
  <si>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</si>
  <si>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</si>
  <si>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</si>
  <si>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</si>
  <si>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</si>
  <si>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</si>
  <si>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</si>
  <si>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</si>
  <si>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</si>
  <si>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</si>
  <si>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</si>
  <si>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</si>
  <si>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</si>
  <si>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</si>
  <si>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</si>
  <si>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</si>
  <si>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</si>
  <si>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</si>
  <si>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</si>
  <si>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</si>
  <si>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</si>
  <si>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</si>
  <si>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</si>
  <si>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</si>
  <si>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</si>
  <si>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</si>
  <si>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</si>
  <si>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</si>
  <si>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</si>
  <si>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</si>
  <si>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</si>
  <si>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</si>
  <si>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</si>
  <si>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</si>
  <si>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</si>
  <si>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</si>
  <si>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</si>
  <si>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</si>
  <si>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</si>
  <si>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</si>
  <si>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</si>
  <si>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</si>
  <si>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</si>
  <si>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</si>
  <si>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</si>
  <si>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</si>
  <si>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</si>
  <si>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</si>
  <si>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</si>
  <si>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</si>
  <si>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</si>
  <si>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</si>
  <si>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</si>
  <si>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</si>
  <si>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</si>
  <si>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</si>
  <si>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</si>
  <si>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</si>
  <si>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</si>
  <si>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</si>
  <si>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</si>
  <si>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</si>
  <si>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</si>
  <si>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</si>
  <si>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</si>
  <si>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</si>
  <si>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</si>
  <si>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</si>
  <si>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</si>
  <si>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</si>
  <si>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</si>
  <si>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</si>
  <si>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</si>
  <si>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</si>
  <si>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</si>
  <si>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</si>
  <si>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</si>
  <si>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</si>
  <si>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</si>
  <si>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</si>
  <si>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</si>
  <si>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</si>
  <si>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</si>
  <si>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</si>
  <si>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</si>
  <si>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</si>
  <si>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</si>
  <si>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</si>
  <si>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</si>
  <si>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</si>
  <si>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</si>
  <si>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</si>
  <si>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</si>
  <si>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</si>
  <si>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</si>
  <si>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</si>
  <si>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</si>
  <si>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</si>
  <si>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</si>
  <si>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</si>
  <si>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</si>
  <si>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</si>
  <si>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</si>
  <si>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</si>
  <si>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</si>
  <si>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</si>
  <si>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</si>
  <si>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</si>
  <si>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</si>
  <si>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</si>
  <si>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</si>
  <si>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</si>
  <si>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</si>
  <si>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</si>
  <si>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</si>
  <si>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</si>
  <si>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</si>
  <si>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</si>
  <si>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</si>
  <si>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</si>
  <si>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</si>
  <si>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</si>
  <si>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</si>
  <si>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</si>
  <si>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</si>
  <si>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</si>
  <si>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</si>
  <si>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</si>
  <si>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</si>
  <si>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</si>
  <si>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</si>
  <si>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</si>
  <si>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</si>
  <si>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</si>
  <si>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</si>
  <si>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</si>
  <si>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</si>
  <si>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</si>
  <si>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</si>
  <si>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</si>
  <si>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</si>
  <si>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</si>
  <si>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</si>
  <si>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</si>
  <si>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</si>
  <si>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</si>
  <si>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</si>
  <si>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</si>
  <si>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</si>
  <si>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</si>
  <si>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</si>
  <si>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</si>
  <si>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</si>
  <si>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</si>
  <si>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</si>
  <si>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</si>
  <si>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</si>
  <si>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</si>
  <si>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</si>
  <si>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</si>
  <si>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</si>
  <si>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</si>
  <si>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</si>
  <si>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</si>
  <si>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</si>
  <si>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</si>
  <si>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</si>
  <si>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</si>
  <si>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</si>
  <si>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</si>
  <si>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</si>
  <si>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</si>
  <si>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</si>
  <si>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</si>
  <si>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</si>
  <si>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</si>
  <si>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</si>
  <si>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</si>
  <si>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</si>
  <si>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</si>
  <si>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</si>
  <si>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</si>
  <si>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</si>
  <si>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</si>
  <si>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</si>
  <si>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</si>
  <si>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</si>
  <si>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</si>
  <si>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</si>
  <si>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</si>
  <si>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</si>
  <si>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</si>
  <si>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</si>
  <si>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</si>
  <si>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</si>
  <si>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</si>
  <si>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</si>
  <si>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</si>
  <si>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</si>
  <si>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</si>
  <si>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</si>
  <si>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</si>
  <si>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</si>
  <si>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</si>
  <si>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</si>
  <si>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</si>
  <si>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</si>
  <si>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</si>
  <si>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</si>
  <si>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</si>
  <si>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</si>
  <si>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</si>
  <si>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</si>
  <si>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</si>
  <si>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</si>
  <si>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</si>
  <si>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</si>
  <si>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</si>
  <si>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</si>
  <si>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</si>
  <si>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</si>
  <si>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</si>
  <si>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</si>
  <si>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</si>
  <si>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</si>
  <si>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</si>
  <si>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</si>
  <si>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</si>
  <si>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</si>
  <si>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</si>
  <si>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</si>
  <si>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</si>
  <si>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</si>
  <si>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</si>
  <si>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</si>
  <si>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</si>
  <si>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</si>
  <si>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</si>
  <si>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</si>
  <si>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</si>
  <si>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</si>
  <si>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</si>
  <si>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</si>
  <si>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</si>
  <si>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</si>
  <si>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</si>
  <si>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</si>
  <si>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</si>
  <si>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</si>
  <si>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</si>
  <si>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</si>
  <si>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</si>
  <si>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</si>
  <si>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</si>
  <si>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</si>
  <si>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</si>
  <si>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</si>
  <si>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</si>
  <si>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</si>
  <si>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</si>
  <si>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</si>
  <si>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</si>
  <si>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</si>
  <si>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</si>
  <si>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</si>
  <si>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</si>
  <si>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</si>
  <si>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</si>
  <si>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</si>
  <si>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</si>
  <si>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</si>
  <si>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</si>
  <si>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</si>
  <si>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</si>
  <si>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</si>
  <si>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</si>
  <si>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</si>
  <si>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</si>
  <si>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</si>
  <si>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</si>
  <si>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</si>
  <si>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</si>
  <si>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</si>
  <si>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</si>
  <si>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</si>
  <si>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</si>
  <si>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</si>
  <si>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</si>
  <si>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</si>
  <si>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</si>
  <si>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</si>
  <si>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</si>
  <si>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</si>
  <si>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</si>
  <si>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</si>
  <si>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</si>
  <si>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</si>
  <si>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</si>
  <si>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</si>
  <si>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</si>
  <si>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</si>
  <si>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</si>
  <si>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</si>
  <si>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</si>
  <si>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</si>
  <si>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</si>
  <si>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</si>
  <si>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</si>
  <si>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</si>
  <si>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</si>
  <si>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</si>
  <si>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</si>
  <si>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</si>
  <si>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</si>
  <si>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</si>
  <si>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</si>
  <si>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</si>
  <si>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</si>
  <si>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</si>
  <si>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</si>
  <si>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</si>
  <si>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</si>
  <si>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</si>
  <si>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</si>
  <si>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</si>
  <si>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</si>
  <si>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</si>
  <si>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</si>
  <si>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</si>
  <si>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</si>
  <si>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</si>
  <si>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</si>
  <si>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</si>
  <si>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</si>
  <si>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</si>
  <si>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</si>
  <si>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</si>
  <si>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</si>
  <si>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</si>
  <si>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</si>
  <si>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</si>
  <si>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</si>
  <si>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</si>
  <si>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</si>
  <si>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</si>
  <si>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</si>
  <si>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</si>
  <si>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</si>
  <si>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</si>
  <si>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</si>
  <si>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</si>
  <si>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</si>
  <si>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</si>
  <si>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</si>
  <si>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</si>
  <si>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</si>
  <si>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</si>
  <si>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</si>
  <si>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</si>
  <si>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</si>
  <si>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</si>
  <si>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</si>
  <si>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</si>
  <si>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</si>
  <si>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</si>
  <si>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</si>
  <si>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</si>
  <si>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</si>
  <si>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</si>
  <si>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</si>
  <si>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</si>
  <si>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</si>
  <si>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</si>
  <si>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</si>
  <si>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</si>
  <si>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</si>
  <si>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</si>
  <si>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</si>
  <si>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</si>
  <si>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</si>
  <si>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</si>
  <si>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</si>
  <si>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</si>
  <si>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</si>
  <si>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</si>
  <si>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</si>
  <si>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</si>
  <si>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</si>
  <si>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</si>
  <si>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</si>
  <si>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</si>
  <si>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</si>
  <si>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</si>
  <si>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</si>
  <si>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</si>
  <si>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</si>
  <si>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</si>
  <si>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</si>
  <si>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</si>
  <si>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</si>
  <si>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</si>
  <si>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</si>
  <si>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</si>
  <si>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</si>
  <si>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</si>
  <si>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</si>
  <si>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</si>
  <si>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</si>
  <si>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</si>
  <si>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</si>
  <si>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</si>
  <si>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</si>
  <si>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</si>
  <si>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</si>
  <si>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</si>
  <si>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</si>
  <si>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</si>
  <si>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</si>
  <si>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</si>
  <si>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</si>
  <si>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</si>
  <si>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</si>
  <si>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</si>
  <si>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</si>
  <si>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</si>
  <si>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</si>
  <si>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</si>
  <si>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</si>
  <si>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</si>
  <si>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</si>
  <si>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</si>
  <si>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</si>
  <si>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</si>
  <si>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</si>
  <si>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</si>
  <si>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</si>
  <si>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</si>
  <si>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</si>
  <si>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</si>
  <si>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</si>
  <si>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</si>
  <si>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</si>
  <si>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</si>
  <si>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</si>
  <si>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</si>
  <si>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</si>
  <si>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</si>
  <si>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</si>
  <si>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</si>
  <si>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</si>
  <si>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</si>
  <si>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</si>
  <si>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</si>
  <si>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</si>
  <si>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</si>
  <si>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</si>
  <si>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</si>
  <si>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</si>
  <si>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</si>
  <si>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</si>
  <si>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</si>
  <si>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</si>
  <si>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</si>
  <si>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</si>
  <si>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</si>
  <si>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</si>
  <si>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</si>
  <si>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</si>
  <si>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</si>
  <si>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</si>
  <si>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</si>
  <si>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</si>
  <si>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</si>
  <si>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</si>
  <si>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</si>
  <si>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</si>
  <si>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</si>
  <si>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</si>
  <si>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</si>
  <si>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</si>
  <si>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</si>
  <si>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</si>
  <si>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</si>
  <si>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</si>
  <si>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</si>
  <si>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</si>
  <si>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</si>
  <si>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</si>
  <si>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</si>
  <si>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</si>
  <si>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</si>
  <si>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</si>
  <si>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</si>
  <si>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</si>
  <si>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</si>
  <si>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</si>
  <si>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</si>
  <si>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</si>
  <si>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</si>
  <si>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</si>
  <si>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</si>
  <si>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</si>
  <si>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</si>
  <si>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</si>
  <si>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</si>
  <si>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</si>
  <si>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</si>
  <si>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</si>
  <si>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</si>
  <si>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</si>
  <si>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</si>
  <si>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</si>
  <si>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</si>
  <si>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</si>
  <si>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</si>
  <si>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</si>
  <si>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</si>
  <si>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</si>
  <si>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</si>
  <si>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</si>
  <si>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</si>
  <si>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</si>
  <si>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</si>
  <si>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</si>
  <si>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</si>
  <si>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</si>
  <si>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</si>
  <si>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</si>
  <si>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</si>
  <si>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</si>
  <si>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</si>
  <si>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</si>
  <si>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</si>
  <si>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</si>
  <si>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</si>
  <si>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</si>
  <si>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</si>
  <si>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</si>
  <si>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</si>
  <si>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</si>
  <si>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</si>
  <si>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</si>
  <si>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</si>
  <si>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</si>
  <si>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</si>
  <si>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</si>
  <si>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</si>
  <si>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</si>
  <si>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</si>
  <si>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</si>
  <si>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</si>
  <si>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</si>
  <si>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</si>
  <si>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</si>
  <si>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</si>
  <si>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</si>
  <si>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</si>
  <si>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</si>
  <si>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</si>
  <si>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</si>
  <si>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</si>
  <si>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</si>
  <si>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</si>
  <si>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</si>
  <si>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</si>
  <si>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</si>
  <si>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</si>
  <si>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</si>
  <si>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</si>
  <si>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</si>
  <si>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</si>
  <si>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</si>
  <si>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</si>
  <si>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</si>
  <si>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</si>
  <si>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</si>
  <si>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</si>
  <si>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</si>
  <si>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</si>
  <si>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</si>
  <si>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</si>
  <si>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</si>
  <si>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</si>
  <si>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</si>
  <si>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</si>
  <si>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</si>
  <si>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</si>
  <si>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</si>
  <si>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</si>
  <si>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</si>
  <si>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</si>
  <si>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</si>
  <si>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</si>
  <si>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</si>
  <si>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</si>
  <si>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</si>
  <si>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</si>
  <si>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</si>
  <si>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</si>
  <si>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</si>
  <si>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</si>
  <si>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</si>
  <si>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</si>
  <si>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</si>
  <si>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</si>
  <si>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</si>
  <si>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</si>
  <si>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</si>
  <si>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</si>
  <si>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</si>
  <si>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</si>
  <si>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</si>
  <si>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</si>
  <si>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</si>
  <si>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</si>
  <si>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</si>
  <si>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</si>
  <si>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</si>
  <si>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</si>
  <si>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</si>
  <si>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</si>
  <si>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</si>
  <si>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</si>
  <si>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</si>
  <si>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</si>
  <si>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</si>
  <si>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</si>
  <si>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</si>
  <si>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</si>
  <si>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</si>
  <si>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</si>
  <si>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</si>
  <si>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</si>
  <si>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</si>
  <si>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</si>
  <si>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</si>
  <si>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</si>
  <si>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</si>
  <si>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</si>
  <si>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</si>
  <si>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</si>
  <si>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</si>
  <si>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</si>
  <si>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</si>
  <si>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</si>
  <si>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</si>
  <si>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</si>
  <si>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</si>
  <si>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</si>
  <si>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</si>
  <si>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</si>
  <si>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</si>
  <si>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</si>
  <si>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</si>
  <si>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</si>
  <si>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</si>
  <si>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</si>
  <si>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</si>
  <si>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</si>
  <si>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</si>
  <si>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</si>
  <si>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</si>
  <si>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</si>
  <si>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</si>
  <si>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</si>
  <si>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</si>
  <si>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</si>
  <si>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</si>
  <si>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</si>
  <si>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</si>
  <si>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</si>
  <si>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</si>
  <si>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</si>
  <si>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</si>
  <si>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</si>
  <si>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</si>
  <si>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</si>
  <si>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</si>
  <si>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</si>
  <si>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</si>
  <si>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</si>
  <si>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</si>
  <si>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</si>
  <si>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</si>
  <si>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</si>
  <si>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</si>
  <si>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</si>
  <si>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</si>
  <si>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</si>
  <si>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</si>
  <si>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</si>
  <si>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</si>
  <si>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</si>
  <si>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</si>
  <si>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</si>
  <si>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</si>
  <si>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</si>
  <si>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</si>
  <si>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</si>
  <si>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</si>
  <si>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</si>
  <si>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</si>
  <si>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</si>
  <si>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</si>
  <si>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</si>
  <si>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</si>
  <si>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</si>
  <si>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</si>
  <si>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</si>
  <si>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</si>
  <si>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</si>
  <si>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</si>
  <si>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</si>
  <si>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</si>
  <si>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</si>
  <si>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</si>
  <si>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</si>
  <si>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</si>
  <si>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</si>
  <si>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</si>
  <si>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</si>
  <si>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</si>
  <si>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</si>
  <si>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</si>
  <si>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</si>
  <si>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</si>
  <si>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</si>
  <si>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</si>
  <si>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</si>
  <si>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</si>
  <si>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</si>
  <si>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</si>
  <si>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</si>
  <si>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</si>
  <si>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</si>
  <si>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</si>
  <si>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</si>
  <si>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</si>
  <si>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</si>
  <si>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</si>
  <si>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</si>
  <si>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</si>
  <si>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</si>
  <si>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</si>
  <si>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</si>
  <si>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</si>
  <si>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</si>
  <si>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</si>
  <si>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</si>
  <si>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</si>
  <si>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</si>
  <si>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</si>
  <si>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</si>
  <si>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</si>
  <si>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</si>
  <si>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</si>
  <si>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</si>
  <si>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</si>
  <si>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</si>
  <si>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</si>
  <si>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</si>
  <si>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</si>
  <si>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</si>
  <si>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</si>
  <si>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</si>
  <si>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</si>
  <si>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</si>
  <si>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</si>
  <si>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</si>
  <si>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</si>
  <si>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</si>
  <si>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</si>
  <si>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</si>
  <si>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</si>
  <si>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</si>
  <si>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</si>
  <si>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</si>
  <si>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</si>
  <si>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</si>
  <si>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</si>
  <si>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</si>
  <si>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</si>
  <si>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</si>
  <si>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</si>
  <si>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</si>
  <si>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</si>
  <si>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</si>
  <si>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</si>
  <si>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</si>
  <si>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</si>
  <si>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</si>
  <si>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</si>
  <si>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</si>
  <si>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</si>
  <si>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</si>
  <si>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</si>
  <si>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</si>
  <si>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</si>
  <si>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</si>
  <si>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</si>
  <si>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</si>
  <si>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</si>
  <si>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</si>
  <si>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</si>
  <si>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</si>
  <si>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</si>
  <si>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</si>
  <si>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</si>
  <si>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</si>
  <si>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</si>
  <si>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</si>
  <si>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</si>
  <si>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</si>
  <si>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</si>
  <si>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</si>
  <si>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</si>
  <si>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</si>
  <si>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</si>
  <si>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</si>
  <si>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</si>
  <si>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</si>
  <si>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</si>
  <si>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</si>
  <si>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</si>
  <si>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</si>
  <si>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</si>
  <si>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</si>
  <si>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</si>
  <si>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</si>
  <si>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</si>
  <si>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</si>
  <si>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</si>
  <si>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</si>
  <si>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</si>
  <si>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</si>
  <si>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</si>
  <si>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</si>
  <si>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</si>
  <si>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</si>
  <si>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</si>
  <si>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</si>
  <si>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</si>
  <si>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</si>
  <si>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</si>
  <si>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</si>
  <si>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</si>
  <si>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</si>
  <si>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</si>
  <si>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</si>
  <si>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</si>
  <si>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</si>
  <si>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</si>
  <si>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</si>
  <si>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</si>
  <si>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</si>
  <si>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</si>
  <si>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</si>
  <si>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</si>
  <si>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</si>
  <si>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</si>
  <si>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</si>
  <si>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</si>
  <si>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</si>
  <si>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</si>
  <si>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</si>
  <si>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</si>
  <si>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</si>
  <si>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</si>
  <si>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</si>
  <si>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</si>
  <si>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</si>
  <si>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</si>
  <si>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</si>
  <si>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</si>
  <si>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</si>
  <si>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</si>
  <si>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</si>
  <si>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</si>
  <si>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</si>
  <si>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</si>
  <si>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</si>
  <si>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</si>
  <si>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</si>
  <si>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</si>
  <si>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</si>
  <si>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</si>
  <si>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</si>
  <si>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</si>
  <si>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</si>
  <si>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</si>
  <si>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</si>
  <si>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</si>
  <si>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</si>
  <si>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</si>
  <si>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</si>
  <si>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</si>
  <si>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</si>
  <si>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</si>
  <si>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</si>
  <si>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</si>
  <si>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</si>
  <si>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</si>
  <si>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</si>
  <si>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</si>
  <si>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</si>
  <si>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</si>
  <si>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</si>
  <si>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</si>
  <si>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</si>
  <si>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</si>
  <si>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</si>
  <si>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</si>
  <si>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</si>
  <si>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</si>
  <si>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</si>
  <si>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</si>
  <si>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</si>
  <si>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</si>
  <si>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</si>
  <si>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</si>
  <si>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</si>
  <si>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</si>
  <si>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</si>
  <si>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</si>
  <si>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</si>
  <si>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</si>
  <si>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</si>
  <si>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</si>
  <si>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</si>
  <si>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</si>
  <si>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</si>
  <si>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</si>
  <si>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</si>
  <si>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</si>
  <si>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</si>
  <si>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</si>
  <si>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</si>
  <si>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</si>
  <si>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</si>
  <si>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</si>
  <si>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</si>
  <si>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</si>
  <si>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</si>
  <si>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</si>
  <si>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</si>
  <si>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</si>
  <si>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</si>
  <si>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</si>
  <si>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</si>
  <si>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</si>
  <si>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</si>
  <si>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</si>
  <si>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</si>
  <si>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</si>
  <si>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</si>
  <si>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</si>
  <si>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</si>
  <si>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</si>
  <si>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</si>
  <si>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</si>
  <si>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</si>
  <si>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</si>
  <si>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</si>
  <si>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</si>
  <si>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</si>
  <si>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</si>
  <si>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</si>
  <si>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</si>
  <si>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</si>
  <si>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</si>
  <si>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</si>
  <si>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</si>
  <si>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</si>
  <si>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</si>
  <si>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</si>
  <si>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</si>
  <si>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</si>
  <si>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</si>
  <si>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</si>
  <si>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</si>
  <si>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</si>
  <si>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</si>
  <si>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</si>
  <si>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</si>
  <si>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</si>
  <si>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</si>
  <si>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</si>
  <si>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</si>
  <si>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</si>
  <si>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</si>
  <si>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</si>
  <si>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</si>
  <si>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</si>
  <si>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</si>
  <si>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</si>
  <si>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</si>
  <si>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</si>
  <si>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</si>
  <si>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</si>
  <si>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</si>
  <si>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</si>
  <si>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</si>
  <si>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</si>
  <si>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</si>
  <si>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</si>
  <si>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</si>
  <si>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</si>
  <si>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</si>
  <si>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</si>
  <si>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</si>
  <si>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</si>
  <si>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</si>
  <si>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</si>
  <si>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</si>
  <si>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</si>
  <si>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</si>
  <si>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</si>
  <si>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</si>
  <si>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</si>
  <si>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</si>
  <si>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</si>
  <si>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</si>
  <si>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</si>
  <si>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</si>
  <si>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</si>
  <si>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</si>
  <si>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</si>
  <si>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</si>
  <si>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</si>
  <si>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</si>
  <si>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</si>
  <si>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</si>
  <si>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</si>
  <si>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</si>
  <si>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</si>
  <si>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</si>
  <si>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</si>
  <si>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</si>
  <si>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</si>
  <si>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</si>
  <si>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</si>
  <si>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</si>
  <si>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</si>
  <si>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</si>
  <si>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</si>
  <si>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</si>
  <si>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</si>
  <si>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</si>
  <si>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</si>
  <si>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</si>
  <si>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</si>
  <si>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</si>
  <si>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</si>
  <si>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</si>
  <si>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</si>
  <si>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</si>
  <si>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</si>
  <si>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</si>
  <si>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</si>
  <si>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</si>
  <si>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</si>
  <si>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</si>
  <si>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</si>
  <si>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</si>
  <si>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</si>
  <si>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</si>
  <si>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</si>
  <si>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</si>
  <si>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</si>
  <si>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</si>
  <si>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</si>
  <si>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</si>
  <si>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</si>
  <si>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</si>
  <si>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</si>
  <si>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</si>
  <si>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</si>
  <si>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</si>
  <si>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</si>
  <si>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</si>
  <si>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</si>
  <si>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</si>
  <si>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</si>
  <si>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</si>
  <si>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</si>
  <si>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</si>
  <si>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</si>
  <si>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</si>
  <si>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</si>
  <si>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</si>
  <si>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</si>
  <si>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</si>
  <si>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</si>
  <si>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</si>
  <si>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</si>
  <si>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</si>
  <si>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</si>
  <si>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</si>
  <si>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</si>
  <si>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</si>
  <si>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</si>
  <si>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</si>
  <si>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</si>
  <si>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</si>
  <si>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</si>
  <si>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</si>
  <si>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</si>
  <si>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</si>
  <si>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</si>
  <si>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</si>
  <si>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</si>
  <si>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</si>
  <si>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</si>
  <si>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</si>
  <si>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</si>
  <si>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</si>
  <si>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</si>
  <si>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</si>
  <si>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</si>
  <si>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</si>
  <si>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</si>
  <si>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</si>
  <si>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</si>
  <si>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</si>
  <si>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</si>
  <si>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</si>
  <si>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</si>
  <si>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</si>
  <si>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</si>
  <si>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</si>
  <si>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</si>
  <si>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</si>
  <si>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</si>
  <si>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</si>
  <si>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</si>
  <si>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</si>
  <si>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</si>
  <si>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</si>
  <si>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</si>
  <si>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</si>
  <si>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</si>
  <si>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</si>
  <si>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</si>
  <si>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</si>
  <si>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</si>
  <si>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</si>
  <si>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</si>
  <si>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</si>
  <si>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</si>
  <si>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</si>
  <si>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</si>
  <si>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</si>
  <si>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</si>
  <si>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</si>
  <si>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</si>
  <si>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</si>
  <si>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</si>
  <si>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</si>
  <si>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</si>
  <si>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</si>
  <si>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</si>
  <si>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</si>
  <si>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</si>
  <si>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</si>
  <si>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</si>
  <si>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</si>
  <si>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</si>
  <si>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</si>
  <si>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</si>
  <si>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</si>
  <si>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</si>
  <si>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</si>
  <si>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</si>
  <si>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</si>
  <si>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</si>
  <si>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</si>
  <si>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</si>
  <si>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</si>
  <si>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</si>
  <si>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</si>
  <si>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</si>
  <si>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</si>
  <si>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</si>
  <si>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</si>
  <si>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</si>
  <si>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</si>
  <si>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</si>
  <si>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</si>
  <si>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</si>
  <si>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</si>
  <si>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</si>
  <si>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</si>
  <si>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</si>
  <si>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</si>
  <si>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</si>
  <si>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</si>
  <si>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</si>
  <si>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</si>
  <si>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</si>
  <si>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</si>
  <si>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</si>
  <si>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</si>
  <si>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</si>
  <si>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</si>
  <si>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</si>
  <si>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</si>
  <si>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</si>
  <si>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</si>
  <si>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</si>
  <si>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</si>
  <si>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</si>
  <si>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</si>
  <si>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</si>
  <si>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</si>
  <si>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</si>
  <si>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</si>
  <si>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</si>
  <si>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</si>
  <si>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</si>
  <si>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</si>
  <si>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</si>
  <si>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</si>
  <si>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</si>
  <si>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</si>
  <si>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</si>
  <si>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</si>
  <si>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</si>
  <si>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</si>
  <si>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</si>
  <si>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</si>
  <si>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</si>
  <si>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</si>
  <si>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</si>
  <si>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</si>
  <si>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</si>
  <si>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</si>
  <si>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</si>
  <si>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</si>
  <si>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</si>
  <si>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</si>
  <si>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</si>
  <si>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</si>
  <si>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</si>
  <si>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</si>
  <si>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</si>
  <si>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</si>
  <si>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</si>
  <si>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</si>
  <si>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</si>
  <si>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</si>
  <si>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</si>
  <si>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</si>
  <si>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</si>
  <si>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</si>
  <si>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</si>
  <si>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</si>
  <si>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</si>
  <si>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</si>
  <si>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</si>
  <si>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</si>
  <si>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</si>
  <si>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</si>
  <si>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</si>
  <si>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</si>
  <si>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</si>
  <si>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</si>
  <si>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</si>
  <si>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</si>
  <si>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</si>
  <si>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</si>
  <si>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</si>
  <si>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</si>
  <si>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</si>
  <si>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</si>
  <si>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</si>
  <si>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</si>
  <si>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</si>
  <si>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</si>
  <si>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</si>
  <si>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</si>
  <si>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</si>
  <si>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</si>
  <si>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</si>
  <si>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</si>
  <si>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</si>
  <si>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</si>
  <si>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</si>
  <si>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</si>
  <si>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</si>
  <si>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</si>
  <si>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</si>
  <si>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</si>
  <si>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</si>
  <si>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</si>
  <si>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</si>
  <si>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</si>
  <si>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</si>
  <si>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</si>
  <si>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</si>
  <si>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</si>
  <si>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</si>
  <si>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</si>
  <si>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</si>
  <si>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</si>
  <si>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</si>
  <si>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</si>
  <si>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</si>
  <si>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</si>
  <si>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</si>
  <si>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</si>
  <si>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</si>
  <si>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</si>
  <si>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</si>
  <si>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</si>
  <si>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</si>
  <si>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</si>
  <si>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</si>
  <si>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</si>
  <si>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</si>
  <si>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</si>
  <si>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</si>
  <si>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</si>
  <si>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</si>
  <si>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</si>
  <si>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</si>
  <si>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</si>
  <si>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</si>
  <si>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</si>
  <si>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</si>
  <si>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</si>
  <si>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</si>
  <si>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</si>
  <si>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</si>
  <si>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</si>
  <si>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</si>
  <si>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</si>
  <si>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</si>
  <si>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</si>
  <si>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</si>
  <si>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</si>
  <si>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</si>
  <si>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</si>
  <si>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</si>
  <si>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</si>
  <si>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</si>
  <si>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</si>
  <si>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</si>
  <si>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</si>
  <si>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</si>
  <si>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</si>
  <si>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</si>
  <si>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</si>
  <si>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</si>
  <si>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</si>
  <si>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</si>
  <si>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</si>
  <si>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</si>
  <si>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</si>
  <si>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</si>
  <si>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</si>
  <si>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</si>
  <si>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</si>
  <si>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</si>
  <si>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</si>
  <si>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</si>
  <si>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</si>
  <si>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</si>
  <si>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</si>
  <si>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</si>
  <si>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</si>
  <si>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</si>
  <si>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</si>
  <si>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</si>
  <si>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</si>
  <si>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</si>
  <si>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</si>
  <si>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</si>
  <si>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</si>
  <si>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</si>
  <si>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</si>
  <si>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</si>
  <si>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</si>
  <si>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</si>
  <si>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</si>
  <si>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</si>
  <si>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</si>
  <si>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</si>
  <si>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</si>
  <si>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</si>
  <si>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</si>
  <si>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</si>
  <si>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</si>
  <si>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</si>
  <si>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</si>
  <si>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</si>
  <si>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</si>
  <si>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</si>
  <si>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</si>
  <si>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</si>
  <si>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</si>
  <si>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</si>
  <si>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</si>
  <si>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</si>
  <si>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</si>
  <si>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</si>
  <si>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</si>
  <si>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</si>
  <si>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</si>
  <si>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</si>
  <si>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</si>
  <si>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</si>
  <si>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</si>
  <si>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</si>
  <si>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</si>
  <si>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</si>
  <si>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</si>
  <si>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</si>
  <si>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</si>
  <si>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</si>
  <si>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</si>
  <si>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</si>
  <si>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</si>
  <si>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</si>
  <si>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</si>
  <si>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</si>
  <si>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</si>
  <si>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</si>
  <si>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</si>
  <si>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</si>
  <si>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</si>
  <si>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</si>
  <si>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</si>
  <si>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</si>
  <si>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</si>
  <si>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</si>
  <si>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</si>
  <si>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</si>
  <si>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</si>
  <si>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</si>
  <si>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</si>
  <si>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</si>
  <si>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</si>
  <si>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</si>
  <si>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</si>
  <si>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</si>
  <si>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</si>
  <si>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</si>
  <si>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</si>
  <si>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</si>
  <si>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</si>
  <si>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</si>
  <si>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</si>
  <si>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</si>
  <si>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</si>
  <si>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</si>
  <si>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</si>
  <si>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</si>
  <si>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</si>
  <si>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</si>
  <si>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</si>
  <si>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</si>
  <si>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</si>
  <si>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</si>
  <si>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</si>
  <si>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</si>
  <si>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</si>
  <si>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</si>
  <si>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</si>
  <si>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</si>
  <si>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</si>
  <si>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</si>
  <si>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</si>
  <si>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</si>
  <si>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</si>
  <si>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</si>
  <si>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</si>
  <si>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</si>
  <si>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</si>
  <si>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</si>
  <si>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</si>
  <si>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</si>
  <si>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</si>
  <si>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</si>
  <si>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</si>
  <si>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</si>
  <si>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</si>
  <si>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</si>
  <si>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</si>
  <si>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</si>
  <si>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</si>
  <si>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</si>
  <si>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</si>
  <si>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</si>
  <si>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</si>
  <si>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</si>
  <si>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</si>
  <si>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</si>
  <si>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</si>
  <si>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</si>
  <si>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</si>
  <si>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</si>
  <si>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</si>
  <si>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</si>
  <si>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</si>
  <si>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</si>
  <si>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</si>
  <si>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</si>
  <si>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</si>
  <si>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</si>
  <si>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</si>
  <si>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</si>
  <si>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</si>
  <si>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</si>
  <si>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</si>
  <si>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</si>
  <si>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</si>
  <si>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</si>
  <si>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</si>
  <si>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</si>
  <si>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</si>
  <si>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</si>
  <si>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</si>
  <si>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</si>
  <si>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</si>
  <si>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</si>
  <si>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</si>
  <si>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</si>
  <si>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</si>
  <si>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</si>
  <si>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</si>
  <si>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</si>
  <si>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</si>
  <si>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</si>
  <si>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</si>
  <si>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</si>
  <si>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</si>
  <si>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</si>
  <si>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</si>
  <si>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</si>
  <si>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</si>
  <si>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</si>
  <si>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</si>
  <si>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</si>
  <si>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</si>
  <si>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</si>
  <si>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</si>
  <si>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</si>
  <si>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</si>
  <si>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</si>
  <si>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</si>
  <si>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</si>
  <si>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</si>
  <si>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</si>
  <si>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</si>
  <si>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</si>
  <si>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</si>
  <si>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</si>
  <si>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</si>
  <si>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</si>
  <si>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</si>
  <si>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</si>
  <si>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</si>
  <si>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</si>
  <si>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</si>
  <si>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</si>
  <si>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</si>
  <si>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</si>
  <si>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</si>
  <si>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</si>
  <si>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</si>
  <si>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</si>
  <si>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</si>
  <si>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</si>
  <si>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</si>
  <si>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</si>
  <si>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</si>
  <si>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</si>
  <si>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</si>
  <si>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</si>
  <si>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</si>
  <si>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</si>
  <si>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</si>
  <si>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</si>
  <si>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</si>
  <si>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</si>
  <si>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</si>
  <si>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</si>
  <si>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</si>
  <si>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</si>
  <si>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</si>
  <si>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</si>
  <si>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</si>
  <si>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</si>
  <si>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</si>
  <si>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</si>
  <si>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</si>
  <si>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</si>
  <si>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</si>
  <si>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</si>
  <si>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</si>
  <si>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</si>
  <si>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</si>
  <si>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</si>
  <si>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</si>
  <si>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</si>
  <si>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</si>
  <si>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</si>
  <si>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</si>
  <si>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</si>
  <si>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</si>
  <si>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</si>
  <si>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</si>
  <si>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</si>
  <si>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</si>
  <si>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</si>
  <si>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</si>
  <si>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</si>
  <si>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</si>
  <si>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</si>
  <si>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</si>
  <si>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</si>
  <si>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</si>
  <si>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</si>
  <si>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</si>
  <si>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</si>
  <si>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</si>
  <si>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</si>
  <si>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</si>
  <si>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</si>
  <si>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</si>
  <si>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</si>
  <si>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</si>
  <si>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</si>
  <si>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</si>
  <si>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</si>
  <si>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</si>
  <si>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</si>
  <si>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</si>
  <si>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</si>
  <si>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</si>
  <si>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</si>
  <si>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</si>
  <si>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</si>
  <si>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</si>
  <si>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</si>
  <si>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</si>
  <si>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</si>
  <si>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</si>
  <si>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</si>
  <si>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</si>
  <si>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</si>
  <si>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</si>
  <si>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</si>
  <si>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</si>
  <si>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</si>
  <si>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</si>
  <si>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</si>
  <si>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</si>
  <si>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</si>
  <si>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</si>
  <si>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</si>
  <si>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</si>
  <si>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</si>
  <si>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</si>
  <si>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</si>
  <si>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</si>
  <si>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</si>
  <si>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</si>
  <si>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</si>
  <si>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</si>
  <si>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</si>
  <si>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</si>
  <si>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</si>
  <si>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</si>
  <si>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</si>
  <si>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</si>
  <si>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</si>
  <si>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</si>
  <si>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</si>
  <si>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</si>
  <si>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</si>
  <si>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</si>
  <si>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</si>
  <si>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</si>
  <si>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</si>
  <si>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</si>
  <si>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</si>
  <si>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</si>
  <si>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</si>
  <si>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</si>
  <si>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</si>
  <si>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</si>
  <si>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</si>
  <si>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</si>
  <si>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</si>
  <si>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</si>
  <si>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</si>
  <si>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</si>
  <si>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</si>
  <si>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</si>
  <si>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</si>
  <si>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</si>
  <si>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</si>
  <si>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</si>
  <si>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</si>
  <si>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</si>
  <si>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</si>
  <si>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</si>
  <si>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</si>
  <si>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</si>
  <si>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</si>
  <si>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</si>
  <si>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</si>
  <si>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</si>
  <si>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</si>
  <si>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</si>
  <si>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</si>
  <si>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</si>
  <si>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</si>
  <si>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</si>
  <si>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</si>
  <si>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</si>
  <si>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</si>
  <si>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</si>
  <si>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</si>
  <si>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</si>
  <si>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</si>
  <si>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</si>
  <si>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</si>
  <si>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</si>
  <si>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</si>
  <si>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</si>
  <si>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</si>
  <si>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</si>
  <si>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</si>
  <si>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</si>
  <si>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</si>
  <si>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</si>
  <si>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</si>
  <si>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</si>
  <si>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</si>
  <si>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</si>
  <si>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</si>
  <si>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</si>
  <si>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</si>
  <si>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</si>
  <si>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</si>
  <si>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</si>
  <si>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</si>
  <si>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</si>
  <si>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</si>
  <si>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</si>
  <si>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</si>
  <si>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</si>
  <si>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</si>
  <si>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</si>
  <si>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</si>
  <si>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</si>
  <si>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</si>
  <si>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</si>
  <si>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</si>
  <si>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</si>
  <si>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</si>
  <si>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</si>
  <si>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</si>
  <si>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</si>
  <si>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</si>
  <si>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</si>
  <si>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</si>
  <si>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</si>
  <si>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</si>
  <si>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IZMJENE I DOPUNE FINANCIJSKOG PLANA 2023.</t>
  </si>
  <si>
    <t>PLAN 2023.</t>
  </si>
  <si>
    <t>POVEĆANJE/SMANJENJE</t>
  </si>
  <si>
    <t>NOVI PLAN 2023.</t>
  </si>
  <si>
    <t>Sveučilišta i veleučilišta u Rebublici Hrvatskoj</t>
  </si>
  <si>
    <t>AGENCIJA ZA MOBILNOST I PROGRAME EUROPSKE UNIJE (43335)</t>
  </si>
  <si>
    <t>2452 SVEUČILIŠTE J. J. STROSSMAYERA U OSIJEKU</t>
  </si>
  <si>
    <t>7.11.2023.</t>
  </si>
  <si>
    <t>MARKO AREŽINA</t>
  </si>
  <si>
    <t>031/224-133</t>
  </si>
  <si>
    <t>marezina@unios.hr</t>
  </si>
  <si>
    <t>SVEUČILIŠTE J. J. STROSSMAYERA U OSIJEKU - FAKULTET AGROBIOTEHNIČKIH ZNANOSTI OSIJEK (2268)</t>
  </si>
  <si>
    <t>SVEUČILIŠTE J. J. STROSSMAYERA U OSIJEKU - FAKULTET ZA DENTALNU MEDICINU I ZDRAVSTVO (49796)</t>
  </si>
  <si>
    <t>SVEUČILIŠTE J. J. STROSSMAYERA U OSIJEKU - FAKULTET ELEKTROTEHNIKE, RAČUNARSTVA I INFORMACIJSKIH TEHNOLOGIJA OSIJEK (2313)</t>
  </si>
  <si>
    <t>SVEUČILIŠTE J. J. STROSSMAYERA U OSIJEKU - MEDICINSKI FAKULTET (22849)</t>
  </si>
  <si>
    <t>SVEUČILIŠTE J. J. STROSSMAYERA U OSIJEKU - PREHRAMBENO TEHNOLOŠKI FAKULTET (2276)</t>
  </si>
  <si>
    <t>RZC PAN</t>
  </si>
  <si>
    <t>Prihodi s naslova osiguranja, refundacije štete i totalne štete</t>
  </si>
  <si>
    <t>Ostali prihodi</t>
  </si>
  <si>
    <t>ZICER</t>
  </si>
  <si>
    <t>Prijevoz</t>
  </si>
  <si>
    <t>Rashodi za materijal i energiju</t>
  </si>
  <si>
    <t>Rashodi za usluge</t>
  </si>
  <si>
    <t>Pristojbe i nkanade</t>
  </si>
  <si>
    <t>Ostali financijski rashodi</t>
  </si>
  <si>
    <t>Neg. Tečajne razlike</t>
  </si>
  <si>
    <t>Ostale naknade građanima i kućanstvima iz proračuna</t>
  </si>
  <si>
    <t>Tekuće donacije</t>
  </si>
  <si>
    <t>tekuće donacije u naravi</t>
  </si>
  <si>
    <t>Prijenosi između proračunskih korisnika istog proračuna</t>
  </si>
  <si>
    <t>Subvencije trgovačkim društvima, zadrugama, poljoprivrednicima i obrtnicima iz EU sredstava</t>
  </si>
  <si>
    <t>Pomoći temeljem prijenosa EU sredstava</t>
  </si>
  <si>
    <t>ZCI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</si>
</sst>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9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7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3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4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4" applyNumberFormat="0" applyProtection="0">
      <alignment horizontal="left" vertical="top" indent="1"/>
    </xf>
    <xf numFmtId="0" fontId="13" fillId="7" borderId="14" applyNumberFormat="0" applyProtection="0">
      <alignment horizontal="left" vertical="top" indent="1"/>
    </xf>
    <xf numFmtId="0" fontId="13" fillId="2" borderId="14" applyNumberFormat="0" applyProtection="0">
      <alignment horizontal="left" vertical="top" indent="1"/>
    </xf>
    <xf numFmtId="0" fontId="13" fillId="9" borderId="14" applyNumberFormat="0" applyProtection="0">
      <alignment horizontal="left" vertical="top" indent="1"/>
    </xf>
    <xf numFmtId="0" fontId="13" fillId="49" borderId="15" applyNumberFormat="0">
      <protection locked="0"/>
    </xf>
    <xf numFmtId="4" fontId="40" fillId="50" borderId="14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4" applyNumberFormat="0" applyProtection="0">
      <alignment horizontal="left" vertical="center" indent="1"/>
    </xf>
    <xf numFmtId="0" fontId="40" fillId="50" borderId="14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4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0" applyNumberFormat="0" applyFill="0" applyAlignment="0" applyProtection="0"/>
    <xf numFmtId="0" fontId="24" fillId="21" borderId="0"/>
    <xf numFmtId="4" fontId="68" fillId="6" borderId="31" applyNumberFormat="0" applyProtection="0">
      <alignment vertical="center"/>
    </xf>
    <xf numFmtId="4" fontId="69" fillId="6" borderId="31" applyNumberFormat="0" applyProtection="0">
      <alignment vertical="center"/>
    </xf>
    <xf numFmtId="4" fontId="68" fillId="6" borderId="31" applyNumberFormat="0" applyProtection="0">
      <alignment horizontal="left" vertical="center" indent="1"/>
    </xf>
    <xf numFmtId="4" fontId="68" fillId="6" borderId="31" applyNumberFormat="0" applyProtection="0">
      <alignment horizontal="left" vertical="center" indent="1"/>
    </xf>
    <xf numFmtId="0" fontId="26" fillId="2" borderId="31" applyNumberFormat="0" applyProtection="0">
      <alignment horizontal="left" vertical="center" indent="1"/>
    </xf>
    <xf numFmtId="4" fontId="68" fillId="56" borderId="31" applyNumberFormat="0" applyProtection="0">
      <alignment horizontal="right" vertical="center"/>
    </xf>
    <xf numFmtId="4" fontId="68" fillId="57" borderId="31" applyNumberFormat="0" applyProtection="0">
      <alignment horizontal="right" vertical="center"/>
    </xf>
    <xf numFmtId="4" fontId="68" fillId="58" borderId="31" applyNumberFormat="0" applyProtection="0">
      <alignment horizontal="right" vertical="center"/>
    </xf>
    <xf numFmtId="4" fontId="68" fillId="16" borderId="31" applyNumberFormat="0" applyProtection="0">
      <alignment horizontal="right" vertical="center"/>
    </xf>
    <xf numFmtId="4" fontId="68" fillId="59" borderId="31" applyNumberFormat="0" applyProtection="0">
      <alignment horizontal="right" vertical="center"/>
    </xf>
    <xf numFmtId="4" fontId="68" fillId="60" borderId="31" applyNumberFormat="0" applyProtection="0">
      <alignment horizontal="right" vertical="center"/>
    </xf>
    <xf numFmtId="4" fontId="68" fillId="61" borderId="31" applyNumberFormat="0" applyProtection="0">
      <alignment horizontal="right" vertical="center"/>
    </xf>
    <xf numFmtId="4" fontId="68" fillId="62" borderId="31" applyNumberFormat="0" applyProtection="0">
      <alignment horizontal="right" vertical="center"/>
    </xf>
    <xf numFmtId="4" fontId="68" fillId="63" borderId="31" applyNumberFormat="0" applyProtection="0">
      <alignment horizontal="right" vertical="center"/>
    </xf>
    <xf numFmtId="4" fontId="70" fillId="64" borderId="31" applyNumberFormat="0" applyProtection="0">
      <alignment horizontal="left" vertical="center" indent="1"/>
    </xf>
    <xf numFmtId="4" fontId="68" fillId="65" borderId="32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1" applyNumberFormat="0" applyProtection="0">
      <alignment horizontal="center" vertical="center"/>
    </xf>
    <xf numFmtId="4" fontId="17" fillId="65" borderId="31" applyNumberFormat="0" applyProtection="0">
      <alignment horizontal="left" vertical="center" indent="1"/>
    </xf>
    <xf numFmtId="4" fontId="17" fillId="67" borderId="31" applyNumberFormat="0" applyProtection="0">
      <alignment horizontal="left" vertical="center" indent="1"/>
    </xf>
    <xf numFmtId="0" fontId="22" fillId="67" borderId="31" applyNumberFormat="0" applyProtection="0">
      <alignment horizontal="left" vertical="center" wrapText="1" indent="1"/>
    </xf>
    <xf numFmtId="0" fontId="22" fillId="67" borderId="31" applyNumberFormat="0" applyProtection="0">
      <alignment horizontal="left" vertical="center" indent="1"/>
    </xf>
    <xf numFmtId="0" fontId="22" fillId="68" borderId="31" applyNumberFormat="0" applyProtection="0">
      <alignment horizontal="left" vertical="center" wrapText="1" indent="1"/>
    </xf>
    <xf numFmtId="0" fontId="22" fillId="68" borderId="31" applyNumberFormat="0" applyProtection="0">
      <alignment horizontal="left" vertical="center" indent="1"/>
    </xf>
    <xf numFmtId="0" fontId="22" fillId="69" borderId="31" applyNumberFormat="0" applyProtection="0">
      <alignment horizontal="left" vertical="center" wrapText="1" indent="1"/>
    </xf>
    <xf numFmtId="0" fontId="22" fillId="69" borderId="31" applyNumberFormat="0" applyProtection="0">
      <alignment horizontal="left" vertical="center" indent="1"/>
    </xf>
    <xf numFmtId="0" fontId="22" fillId="14" borderId="31" applyNumberFormat="0" applyProtection="0">
      <alignment horizontal="left" vertical="center" wrapText="1" indent="1"/>
    </xf>
    <xf numFmtId="0" fontId="22" fillId="14" borderId="31" applyNumberFormat="0" applyProtection="0">
      <alignment horizontal="left" vertical="center" indent="1"/>
    </xf>
    <xf numFmtId="0" fontId="22" fillId="0" borderId="0"/>
    <xf numFmtId="4" fontId="68" fillId="13" borderId="31" applyNumberFormat="0" applyProtection="0">
      <alignment vertical="center"/>
    </xf>
    <xf numFmtId="4" fontId="69" fillId="13" borderId="31" applyNumberFormat="0" applyProtection="0">
      <alignment vertical="center"/>
    </xf>
    <xf numFmtId="4" fontId="68" fillId="13" borderId="31" applyNumberFormat="0" applyProtection="0">
      <alignment horizontal="left" vertical="center" indent="1"/>
    </xf>
    <xf numFmtId="4" fontId="68" fillId="13" borderId="31" applyNumberFormat="0" applyProtection="0">
      <alignment horizontal="left" vertical="center" indent="1"/>
    </xf>
    <xf numFmtId="4" fontId="68" fillId="65" borderId="31" applyNumberFormat="0" applyProtection="0">
      <alignment horizontal="right" vertical="center"/>
    </xf>
    <xf numFmtId="4" fontId="69" fillId="65" borderId="31" applyNumberFormat="0" applyProtection="0">
      <alignment horizontal="right" vertical="center"/>
    </xf>
    <xf numFmtId="0" fontId="22" fillId="14" borderId="31" applyNumberFormat="0" applyProtection="0">
      <alignment horizontal="left" vertical="center" indent="1"/>
    </xf>
    <xf numFmtId="0" fontId="26" fillId="2" borderId="31" applyNumberFormat="0" applyProtection="0">
      <alignment horizontal="center" vertical="top" wrapText="1"/>
    </xf>
    <xf numFmtId="0" fontId="73" fillId="0" borderId="0" applyNumberFormat="0" applyProtection="0"/>
    <xf numFmtId="4" fontId="72" fillId="65" borderId="31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/>
    <xf numFmtId="4" fontId="13" fillId="0" borderId="1" applyNumberFormat="0" applyProtection="0">
      <alignment horizontal="right" vertical="center"/>
    </xf>
    <xf numFmtId="0" fontId="88" fillId="0" borderId="0" applyNumberFormat="0" applyFill="0" applyBorder="0" applyAlignment="0" applyProtection="0"/>
  </cellStyleXfs>
  <cellXfs count="413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7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8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0" xfId="4" applyFont="1" applyFill="1" applyBorder="1" applyAlignment="1" applyProtection="1">
      <alignment horizontal="left" vertical="center" wrapText="1"/>
    </xf>
    <xf numFmtId="0" fontId="2" fillId="53" borderId="26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29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8" xfId="0" applyNumberFormat="1" applyFont="1" applyFill="1" applyBorder="1" applyAlignment="1">
      <alignment horizontal="right" vertical="center"/>
    </xf>
    <xf numFmtId="167" fontId="53" fillId="0" borderId="28" xfId="0" applyNumberFormat="1" applyFont="1" applyFill="1" applyBorder="1" applyAlignment="1">
      <alignment horizontal="center" vertical="center"/>
    </xf>
    <xf numFmtId="166" fontId="53" fillId="0" borderId="27" xfId="0" applyNumberFormat="1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left" vertical="center"/>
    </xf>
    <xf numFmtId="0" fontId="53" fillId="0" borderId="28" xfId="0" applyFont="1" applyFill="1" applyBorder="1" applyAlignment="1">
      <alignment vertical="center"/>
    </xf>
    <xf numFmtId="0" fontId="53" fillId="0" borderId="28" xfId="74" applyFont="1" applyFill="1" applyBorder="1" applyAlignment="1">
      <alignment horizontal="left" vertical="center"/>
    </xf>
    <xf numFmtId="167" fontId="53" fillId="0" borderId="28" xfId="74" applyNumberFormat="1" applyFont="1" applyFill="1" applyBorder="1" applyAlignment="1">
      <alignment horizontal="center" vertical="center"/>
    </xf>
    <xf numFmtId="167" fontId="53" fillId="0" borderId="28" xfId="0" quotePrefix="1" applyNumberFormat="1" applyFont="1" applyFill="1" applyBorder="1" applyAlignment="1">
      <alignment horizontal="center" vertical="center"/>
    </xf>
    <xf numFmtId="0" fontId="53" fillId="0" borderId="28" xfId="0" applyFont="1" applyFill="1" applyBorder="1" applyAlignment="1"/>
    <xf numFmtId="167" fontId="53" fillId="0" borderId="28" xfId="0" applyNumberFormat="1" applyFont="1" applyFill="1" applyBorder="1" applyAlignment="1">
      <alignment horizontal="left" vertical="center"/>
    </xf>
    <xf numFmtId="0" fontId="53" fillId="52" borderId="28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0" xfId="76" applyNumberFormat="1" applyFill="1" applyAlignment="1">
      <alignment horizontal="left"/>
    </xf>
    <xf numFmtId="0" fontId="63" fillId="55" borderId="30" xfId="76" applyNumberFormat="1" applyFill="1" applyAlignment="1">
      <alignment horizontal="center"/>
    </xf>
    <xf numFmtId="49" fontId="64" fillId="55" borderId="30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1" xfId="100" quotePrefix="1" applyFill="1">
      <alignment horizontal="left" vertical="center" wrapText="1" indent="1"/>
    </xf>
    <xf numFmtId="0" fontId="22" fillId="70" borderId="31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5" xfId="73" applyFont="1" applyFill="1" applyBorder="1" applyAlignment="1">
      <alignment horizontal="center" vertical="center" wrapText="1"/>
    </xf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49" fontId="25" fillId="0" borderId="38" xfId="73" applyNumberFormat="1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0" fontId="25" fillId="0" borderId="39" xfId="73" applyNumberFormat="1" applyFont="1" applyFill="1" applyBorder="1" applyAlignment="1">
      <alignment horizontal="center" vertical="center" wrapText="1"/>
    </xf>
    <xf numFmtId="0" fontId="25" fillId="0" borderId="39" xfId="132" applyNumberFormat="1" applyFont="1" applyFill="1" applyBorder="1" applyAlignment="1">
      <alignment horizontal="center" vertical="center"/>
    </xf>
    <xf numFmtId="0" fontId="25" fillId="0" borderId="40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7" xfId="132" applyNumberFormat="1" applyFont="1" applyFill="1" applyBorder="1" applyAlignment="1">
      <alignment horizontal="center" vertical="center" wrapText="1"/>
    </xf>
    <xf numFmtId="0" fontId="75" fillId="0" borderId="36" xfId="132" applyNumberFormat="1" applyFont="1" applyFill="1" applyBorder="1" applyAlignment="1">
      <alignment horizontal="center" vertical="center" wrapText="1"/>
    </xf>
    <xf numFmtId="0" fontId="75" fillId="0" borderId="41" xfId="132" applyFont="1" applyFill="1" applyBorder="1" applyAlignment="1">
      <alignment horizontal="left" vertical="center" wrapText="1" indent="1"/>
    </xf>
    <xf numFmtId="167" fontId="75" fillId="0" borderId="41" xfId="132" applyNumberFormat="1" applyFont="1" applyFill="1" applyBorder="1" applyAlignment="1">
      <alignment horizontal="center" vertical="center" wrapText="1"/>
    </xf>
    <xf numFmtId="49" fontId="75" fillId="0" borderId="42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1" xfId="132" applyNumberFormat="1" applyFont="1" applyFill="1" applyBorder="1" applyAlignment="1">
      <alignment horizontal="center" vertical="center" wrapText="1"/>
    </xf>
    <xf numFmtId="0" fontId="75" fillId="0" borderId="28" xfId="132" applyNumberFormat="1" applyFont="1" applyFill="1" applyBorder="1" applyAlignment="1">
      <alignment horizontal="center" vertical="center" wrapText="1"/>
    </xf>
    <xf numFmtId="0" fontId="75" fillId="0" borderId="28" xfId="132" applyFont="1" applyFill="1" applyBorder="1" applyAlignment="1">
      <alignment horizontal="left" vertical="center" wrapText="1" indent="1"/>
    </xf>
    <xf numFmtId="167" fontId="75" fillId="0" borderId="28" xfId="132" applyNumberFormat="1" applyFont="1" applyFill="1" applyBorder="1" applyAlignment="1">
      <alignment horizontal="center" vertical="center" wrapText="1"/>
    </xf>
    <xf numFmtId="49" fontId="75" fillId="0" borderId="29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7" xfId="132" applyNumberFormat="1" applyFont="1" applyFill="1" applyBorder="1" applyAlignment="1">
      <alignment horizontal="center" vertical="center" wrapText="1"/>
    </xf>
    <xf numFmtId="0" fontId="53" fillId="0" borderId="28" xfId="132" applyNumberFormat="1" applyFont="1" applyFill="1" applyBorder="1" applyAlignment="1">
      <alignment horizontal="center" vertical="center" wrapText="1"/>
    </xf>
    <xf numFmtId="0" fontId="53" fillId="0" borderId="28" xfId="132" applyFont="1" applyFill="1" applyBorder="1" applyAlignment="1">
      <alignment horizontal="left" vertical="center" wrapText="1" indent="1"/>
    </xf>
    <xf numFmtId="167" fontId="53" fillId="0" borderId="28" xfId="132" applyNumberFormat="1" applyFont="1" applyFill="1" applyBorder="1" applyAlignment="1">
      <alignment horizontal="center" vertical="center" wrapText="1"/>
    </xf>
    <xf numFmtId="49" fontId="53" fillId="0" borderId="29" xfId="132" applyNumberFormat="1" applyFont="1" applyFill="1" applyBorder="1" applyAlignment="1">
      <alignment horizontal="center" vertical="center"/>
    </xf>
    <xf numFmtId="167" fontId="53" fillId="0" borderId="28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8" xfId="132" quotePrefix="1" applyNumberFormat="1" applyFont="1" applyFill="1" applyBorder="1" applyAlignment="1">
      <alignment horizontal="center" vertical="center" wrapText="1"/>
    </xf>
    <xf numFmtId="0" fontId="75" fillId="0" borderId="28" xfId="132" applyFont="1" applyFill="1" applyBorder="1" applyAlignment="1">
      <alignment horizontal="left" vertical="center" indent="1"/>
    </xf>
    <xf numFmtId="0" fontId="53" fillId="0" borderId="28" xfId="133" applyFont="1" applyFill="1" applyBorder="1" applyAlignment="1">
      <alignment horizontal="left" vertical="center" wrapText="1" indent="1"/>
    </xf>
    <xf numFmtId="167" fontId="53" fillId="0" borderId="28" xfId="132" applyNumberFormat="1" applyFont="1" applyFill="1" applyBorder="1" applyAlignment="1">
      <alignment horizontal="center" vertical="center"/>
    </xf>
    <xf numFmtId="167" fontId="53" fillId="0" borderId="28" xfId="132" applyNumberFormat="1" applyFont="1" applyFill="1" applyBorder="1" applyAlignment="1">
      <alignment horizontal="left" vertical="center" wrapText="1" indent="1"/>
    </xf>
    <xf numFmtId="0" fontId="53" fillId="0" borderId="28" xfId="132" applyFont="1" applyFill="1" applyBorder="1" applyAlignment="1">
      <alignment horizontal="left" vertical="center" indent="1"/>
    </xf>
    <xf numFmtId="0" fontId="53" fillId="0" borderId="43" xfId="132" applyFont="1" applyFill="1" applyBorder="1" applyAlignment="1">
      <alignment horizontal="left" vertical="center" wrapText="1" indent="1"/>
    </xf>
    <xf numFmtId="49" fontId="53" fillId="0" borderId="28" xfId="132" applyNumberFormat="1" applyFont="1" applyFill="1" applyBorder="1" applyAlignment="1">
      <alignment horizontal="center" vertical="center" wrapText="1"/>
    </xf>
    <xf numFmtId="49" fontId="53" fillId="0" borderId="43" xfId="132" applyNumberFormat="1" applyFont="1" applyFill="1" applyBorder="1" applyAlignment="1">
      <alignment horizontal="center" vertical="center" wrapText="1"/>
    </xf>
    <xf numFmtId="0" fontId="53" fillId="0" borderId="28" xfId="74" applyFont="1" applyFill="1" applyBorder="1" applyAlignment="1">
      <alignment horizontal="left" vertical="center" wrapText="1" indent="1"/>
    </xf>
    <xf numFmtId="167" fontId="53" fillId="0" borderId="28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8" xfId="73" applyNumberFormat="1" applyFont="1" applyFill="1" applyBorder="1" applyAlignment="1">
      <alignment horizontal="left" vertical="center" wrapText="1" indent="1"/>
    </xf>
    <xf numFmtId="0" fontId="53" fillId="0" borderId="29" xfId="132" applyNumberFormat="1" applyFont="1" applyFill="1" applyBorder="1" applyAlignment="1">
      <alignment horizontal="right" vertical="center" wrapText="1"/>
    </xf>
    <xf numFmtId="49" fontId="53" fillId="0" borderId="28" xfId="132" quotePrefix="1" applyNumberFormat="1" applyFont="1" applyFill="1" applyBorder="1" applyAlignment="1">
      <alignment horizontal="center" vertical="center" wrapText="1"/>
    </xf>
    <xf numFmtId="0" fontId="53" fillId="0" borderId="29" xfId="132" quotePrefix="1" applyNumberFormat="1" applyFont="1" applyFill="1" applyBorder="1" applyAlignment="1">
      <alignment horizontal="center" vertical="center" wrapText="1"/>
    </xf>
    <xf numFmtId="49" fontId="53" fillId="0" borderId="29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center" vertical="center" wrapText="1"/>
    </xf>
    <xf numFmtId="1" fontId="53" fillId="0" borderId="28" xfId="132" applyNumberFormat="1" applyFont="1" applyFill="1" applyBorder="1" applyAlignment="1">
      <alignment horizontal="left" vertical="center" wrapText="1" indent="1"/>
    </xf>
    <xf numFmtId="0" fontId="75" fillId="0" borderId="39" xfId="132" applyFont="1" applyFill="1" applyBorder="1" applyAlignment="1">
      <alignment horizontal="left" vertical="center" wrapText="1" indent="1"/>
    </xf>
    <xf numFmtId="167" fontId="75" fillId="0" borderId="39" xfId="132" applyNumberFormat="1" applyFont="1" applyFill="1" applyBorder="1" applyAlignment="1">
      <alignment horizontal="center" vertical="center" wrapText="1"/>
    </xf>
    <xf numFmtId="49" fontId="75" fillId="0" borderId="40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3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8" xfId="0" applyNumberFormat="1" applyFont="1" applyFill="1" applyBorder="1" applyAlignment="1">
      <alignment horizontal="right" vertical="center"/>
    </xf>
    <xf numFmtId="0" fontId="81" fillId="0" borderId="28" xfId="0" applyFont="1" applyFill="1" applyBorder="1" applyAlignment="1">
      <alignment horizontal="left" vertical="center"/>
    </xf>
    <xf numFmtId="0" fontId="81" fillId="52" borderId="28" xfId="2" applyFont="1" applyFill="1" applyBorder="1" applyAlignment="1" applyProtection="1">
      <alignment horizontal="left" vertical="center"/>
    </xf>
    <xf numFmtId="167" fontId="81" fillId="0" borderId="28" xfId="0" applyNumberFormat="1" applyFont="1" applyFill="1" applyBorder="1" applyAlignment="1">
      <alignment horizontal="center" vertical="center"/>
    </xf>
    <xf numFmtId="49" fontId="81" fillId="0" borderId="29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3" fontId="86" fillId="52" borderId="46" xfId="134" applyNumberFormat="1" applyFont="1" applyFill="1" applyBorder="1" applyAlignment="1" applyProtection="1">
      <alignment horizontal="right" vertical="center"/>
      <protection locked="0"/>
    </xf>
    <xf numFmtId="3" fontId="86" fillId="0" borderId="7" xfId="134" applyNumberFormat="1" applyFont="1" applyFill="1" applyBorder="1" applyAlignment="1" applyProtection="1">
      <alignment horizontal="right" vertical="center"/>
      <protection locked="0"/>
    </xf>
    <xf numFmtId="3" fontId="87" fillId="0" borderId="7" xfId="134" applyNumberFormat="1" applyFont="1" applyFill="1" applyBorder="1" applyAlignment="1" applyProtection="1">
      <alignment horizontal="right" vertical="center"/>
      <protection locked="0"/>
    </xf>
    <xf numFmtId="3" fontId="24" fillId="0" borderId="7" xfId="135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2" fontId="9" fillId="73" borderId="5" xfId="4" applyNumberFormat="1" applyFont="1" applyFill="1" applyBorder="1" applyAlignment="1" applyProtection="1">
      <alignment horizontal="center" vertical="center" wrapText="1"/>
    </xf>
    <xf numFmtId="2" fontId="24" fillId="0" borderId="1" xfId="18" applyNumberFormat="1" applyFont="1" applyFill="1" applyProtection="1">
      <alignment horizontal="right" vertical="center"/>
      <protection locked="0"/>
    </xf>
    <xf numFmtId="3" fontId="9" fillId="73" borderId="5" xfId="4" applyNumberFormat="1" applyFont="1" applyFill="1" applyBorder="1" applyAlignment="1" applyProtection="1">
      <alignment horizontal="center" vertical="center" wrapText="1"/>
    </xf>
    <xf numFmtId="0" fontId="24" fillId="53" borderId="48" xfId="19" quotePrefix="1" applyNumberFormat="1" applyFont="1" applyFill="1" applyBorder="1" applyProtection="1">
      <alignment horizontal="left" vertical="center" indent="1" justifyLastLine="1"/>
    </xf>
    <xf numFmtId="3" fontId="24" fillId="0" borderId="49" xfId="18" applyNumberFormat="1" applyFont="1" applyFill="1" applyBorder="1" applyProtection="1">
      <alignment horizontal="right" vertical="center"/>
      <protection locked="0"/>
    </xf>
    <xf numFmtId="3" fontId="24" fillId="0" borderId="50" xfId="18" applyNumberFormat="1" applyFont="1" applyFill="1" applyBorder="1" applyProtection="1">
      <alignment horizontal="right" vertical="center"/>
      <protection locked="0"/>
    </xf>
    <xf numFmtId="3" fontId="86" fillId="52" borderId="6" xfId="134" applyNumberFormat="1" applyFont="1" applyFill="1" applyBorder="1" applyAlignment="1" applyProtection="1">
      <alignment horizontal="right" vertical="center"/>
      <protection locked="0"/>
    </xf>
    <xf numFmtId="3" fontId="86" fillId="0" borderId="0" xfId="134" applyNumberFormat="1" applyFont="1" applyFill="1" applyBorder="1" applyAlignment="1" applyProtection="1">
      <alignment horizontal="right" vertical="center"/>
      <protection locked="0"/>
    </xf>
    <xf numFmtId="0" fontId="24" fillId="53" borderId="48" xfId="0" applyFont="1" applyFill="1" applyBorder="1" applyAlignment="1"/>
    <xf numFmtId="3" fontId="87" fillId="0" borderId="6" xfId="134" applyNumberFormat="1" applyFont="1" applyFill="1" applyBorder="1" applyAlignment="1" applyProtection="1">
      <alignment horizontal="right" vertical="center"/>
      <protection locked="0"/>
    </xf>
    <xf numFmtId="3" fontId="89" fillId="12" borderId="5" xfId="2" applyNumberFormat="1" applyFont="1" applyFill="1" applyBorder="1" applyAlignment="1" applyProtection="1">
      <alignment horizontal="right"/>
    </xf>
    <xf numFmtId="3" fontId="89" fillId="20" borderId="6" xfId="2" applyNumberFormat="1" applyFont="1" applyFill="1" applyBorder="1" applyAlignment="1" applyProtection="1">
      <alignment vertical="center"/>
    </xf>
    <xf numFmtId="0" fontId="24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5" fillId="76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3" fontId="87" fillId="52" borderId="7" xfId="134" applyNumberFormat="1" applyFont="1" applyFill="1" applyBorder="1" applyAlignment="1" applyProtection="1">
      <alignment horizontal="right" vertical="center"/>
      <protection locked="0"/>
    </xf>
    <xf numFmtId="3" fontId="24" fillId="52" borderId="1" xfId="18" applyNumberFormat="1" applyFont="1" applyFill="1" applyProtection="1">
      <alignment horizontal="right" vertical="center"/>
      <protection locked="0"/>
    </xf>
    <xf numFmtId="3" fontId="87" fillId="52" borderId="47" xfId="134" applyNumberFormat="1" applyFont="1" applyFill="1" applyBorder="1" applyAlignment="1" applyProtection="1">
      <alignment horizontal="right" vertical="center"/>
      <protection locked="0"/>
    </xf>
    <xf numFmtId="0" fontId="24" fillId="52" borderId="1" xfId="18" applyNumberFormat="1" applyFont="1" applyFill="1" applyProtection="1">
      <alignment horizontal="right" vertical="center"/>
      <protection locked="0"/>
    </xf>
    <xf numFmtId="3" fontId="9" fillId="11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/>
    </xf>
    <xf numFmtId="3" fontId="9" fillId="11" borderId="4" xfId="4" applyNumberFormat="1" applyFont="1" applyFill="1" applyBorder="1" applyAlignment="1" applyProtection="1">
      <alignment horizontal="right" vertical="center"/>
    </xf>
    <xf numFmtId="3" fontId="91" fillId="20" borderId="6" xfId="2" applyNumberFormat="1" applyFont="1" applyFill="1" applyBorder="1" applyAlignment="1" applyProtection="1">
      <alignment vertical="center"/>
    </xf>
    <xf numFmtId="3" fontId="35" fillId="77" borderId="6" xfId="2" applyNumberFormat="1" applyFont="1" applyFill="1" applyBorder="1" applyAlignment="1" applyProtection="1">
      <alignment vertical="center"/>
    </xf>
    <xf numFmtId="3" fontId="35" fillId="77" borderId="6" xfId="2" applyNumberFormat="1" applyFont="1" applyFill="1" applyBorder="1" applyAlignment="1" applyProtection="1">
      <alignment vertical="center" wrapText="1"/>
    </xf>
    <xf numFmtId="3" fontId="11" fillId="52" borderId="6" xfId="2" applyNumberFormat="1" applyFont="1" applyFill="1" applyBorder="1" applyAlignment="1" applyProtection="1">
      <alignment vertical="center"/>
    </xf>
    <xf numFmtId="3" fontId="90" fillId="52" borderId="6" xfId="2" applyNumberFormat="1" applyFont="1" applyFill="1" applyBorder="1" applyAlignment="1" applyProtection="1">
      <alignment vertical="center"/>
    </xf>
    <xf numFmtId="3" fontId="11" fillId="52" borderId="10" xfId="2" applyNumberFormat="1" applyFont="1" applyFill="1" applyBorder="1" applyAlignment="1" applyProtection="1">
      <alignment vertical="center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21" xfId="4" applyFont="1" applyBorder="1" applyAlignment="1" applyProtection="1">
      <alignment horizontal="center" vertical="center" wrapText="1"/>
      <protection locked="0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36" fillId="0" borderId="24" xfId="4" applyFont="1" applyBorder="1" applyAlignment="1" applyProtection="1">
      <alignment horizontal="left" vertical="center" wrapText="1"/>
      <protection locked="0"/>
    </xf>
    <xf numFmtId="0" fontId="36" fillId="0" borderId="19" xfId="4" applyFont="1" applyBorder="1" applyAlignment="1" applyProtection="1">
      <alignment horizontal="left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8" fillId="0" borderId="24" xfId="136" applyBorder="1" applyAlignment="1" applyProtection="1">
      <alignment horizontal="left" vertical="center" wrapText="1"/>
      <protection locked="0"/>
    </xf>
    <xf numFmtId="0" fontId="54" fillId="0" borderId="16" xfId="0" applyFont="1" applyBorder="1"/>
    <xf numFmtId="0" fontId="54" fillId="0" borderId="16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2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84" fillId="54" borderId="12" xfId="2" applyFont="1" applyFill="1" applyBorder="1" applyAlignment="1" applyProtection="1">
      <alignment horizontal="center" vertical="center"/>
    </xf>
    <xf numFmtId="0" fontId="26" fillId="0" borderId="34" xfId="132" applyFont="1" applyFill="1" applyBorder="1" applyAlignment="1">
      <alignment horizontal="center" vertical="center"/>
    </xf>
    <xf numFmtId="0" fontId="53" fillId="0" borderId="44" xfId="132" applyFont="1" applyFill="1" applyBorder="1" applyAlignment="1">
      <alignment horizontal="left" vertical="center" wrapText="1"/>
    </xf>
    <xf numFmtId="3" fontId="86" fillId="52" borderId="45" xfId="134" applyNumberFormat="1" applyFont="1" applyFill="1" applyBorder="1" applyAlignment="1" applyProtection="1">
      <alignment horizontal="right" vertical="center"/>
      <protection locked="0"/>
    </xf>
    <xf numFmtId="3" fontId="24" fillId="52" borderId="49" xfId="18" applyNumberFormat="1" applyFont="1" applyFill="1" applyBorder="1" applyProtection="1">
      <alignment horizontal="right" vertical="center"/>
      <protection locked="0"/>
    </xf>
    <xf numFmtId="3" fontId="24" fillId="52" borderId="50" xfId="18" applyNumberFormat="1" applyFont="1" applyFill="1" applyBorder="1" applyProtection="1">
      <alignment horizontal="right" vertical="center"/>
      <protection locked="0"/>
    </xf>
    <xf numFmtId="3" fontId="86" fillId="52" borderId="7" xfId="134" applyNumberFormat="1" applyFont="1" applyFill="1" applyBorder="1" applyAlignment="1" applyProtection="1">
      <alignment horizontal="right" vertical="center"/>
      <protection locked="0"/>
    </xf>
  </cellXfs>
  <cellStyles count="13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iperveza" xfId="136" builtinId="8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Normalno 2" xfId="134" xr:uid="{51846809-3A2B-4481-80B3-51CEA00AA683}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 3" xfId="135" xr:uid="{782E3B29-B234-43BB-B61E-18701F9CACDF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20</xdr:row>
      <xdr:rowOff>0</xdr:rowOff>
    </xdr:from>
    <xdr:to>
      <xdr:col>0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ezina@unios.h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Z996"/>
  <sheetViews>
    <sheetView showGridLines="0" topLeftCell="A13" workbookViewId="0">
      <selection activeCell="C33" sqref="C33"/>
    </sheetView>
  </sheetViews>
  <sheetFormatPr defaultColWidth="14.42578125" defaultRowHeight="12.75"/>
  <cols>
    <col min="1" max="1" width="7.5703125" style="83" customWidth="1"/>
    <col min="2" max="2" width="36.140625" style="83" bestFit="1" customWidth="1"/>
    <col min="3" max="3" width="21.42578125" style="83" customWidth="1"/>
    <col min="4" max="4" width="24.140625" style="83" customWidth="1"/>
    <col min="5" max="5" width="21.7109375" style="83" customWidth="1"/>
    <col min="6" max="11" width="11.42578125" style="83" customWidth="1"/>
    <col min="12" max="12" width="16.42578125" style="83" customWidth="1"/>
    <col min="13" max="13" width="7.85546875" style="83" customWidth="1"/>
    <col min="14" max="14" width="97.5703125" style="83" customWidth="1"/>
    <col min="15" max="15" width="19.5703125" style="83" customWidth="1"/>
    <col min="16" max="18" width="11.42578125" style="83" customWidth="1"/>
    <col min="19" max="19" width="12.85546875" style="83" customWidth="1"/>
    <col min="20" max="26" width="11.42578125" style="83" customWidth="1"/>
    <col min="27" max="16384" width="14.42578125" style="83"/>
  </cols>
  <sheetData>
    <row r="1" spans="1:26">
      <c r="A1" s="155"/>
    </row>
    <row r="3" spans="1:26" ht="36.75" customHeight="1" thickBot="1">
      <c r="A3" s="84"/>
      <c r="B3" s="119" t="s">
        <v>263</v>
      </c>
      <c r="C3" s="389" t="s">
        <v>5270</v>
      </c>
      <c r="D3" s="390"/>
      <c r="E3" s="391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ht="15.75" thickBot="1">
      <c r="A4" s="84"/>
      <c r="B4" s="120" t="s">
        <v>0</v>
      </c>
      <c r="C4" s="392" t="s">
        <v>5271</v>
      </c>
      <c r="D4" s="393"/>
      <c r="E4" s="39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5.75" thickBot="1">
      <c r="A5" s="85"/>
      <c r="B5" s="120" t="s">
        <v>1</v>
      </c>
      <c r="C5" s="392" t="s">
        <v>5272</v>
      </c>
      <c r="D5" s="393"/>
      <c r="E5" s="394"/>
      <c r="F5" s="84"/>
      <c r="G5" s="84"/>
      <c r="H5" s="84"/>
      <c r="I5" s="84"/>
      <c r="J5" s="84"/>
      <c r="K5" s="86" t="s">
        <v>266</v>
      </c>
      <c r="L5" s="86" t="s">
        <v>634</v>
      </c>
      <c r="M5" s="86" t="s">
        <v>267</v>
      </c>
      <c r="N5" s="86" t="s">
        <v>268</v>
      </c>
      <c r="O5" s="86" t="s">
        <v>269</v>
      </c>
      <c r="P5" s="86" t="s">
        <v>270</v>
      </c>
      <c r="Q5" s="86" t="s">
        <v>271</v>
      </c>
      <c r="R5" s="86" t="s">
        <v>272</v>
      </c>
      <c r="S5" s="86" t="s">
        <v>273</v>
      </c>
      <c r="T5" s="86" t="s">
        <v>632</v>
      </c>
      <c r="U5" s="87" t="s">
        <v>205</v>
      </c>
      <c r="V5" s="84"/>
      <c r="W5" s="84"/>
      <c r="X5" s="84"/>
      <c r="Y5" s="84"/>
      <c r="Z5" s="84"/>
    </row>
    <row r="6" spans="1:26" ht="15.75" thickBot="1">
      <c r="A6" s="88"/>
      <c r="B6" s="120" t="s">
        <v>2</v>
      </c>
      <c r="C6" s="392" t="s">
        <v>5273</v>
      </c>
      <c r="D6" s="393"/>
      <c r="E6" s="394"/>
      <c r="F6" s="84"/>
      <c r="G6" s="84"/>
      <c r="H6" s="84"/>
      <c r="I6" s="84"/>
      <c r="J6" s="84"/>
      <c r="K6" s="83">
        <v>0</v>
      </c>
      <c r="L6" s="83" t="s">
        <v>635</v>
      </c>
      <c r="T6" s="83" t="s">
        <v>655</v>
      </c>
      <c r="U6" s="83" t="s">
        <v>655</v>
      </c>
      <c r="V6" s="84"/>
      <c r="W6" s="84"/>
      <c r="X6" s="84"/>
      <c r="Y6" s="84"/>
      <c r="Z6" s="84"/>
    </row>
    <row r="7" spans="1:26" ht="15.75" thickBot="1">
      <c r="A7" s="88"/>
      <c r="B7" s="120" t="s">
        <v>262</v>
      </c>
      <c r="C7" s="397" t="s">
        <v>5274</v>
      </c>
      <c r="D7" s="393"/>
      <c r="E7" s="394"/>
      <c r="F7" s="84"/>
      <c r="G7" s="84"/>
      <c r="H7" s="84"/>
      <c r="I7" s="84"/>
      <c r="J7" s="84"/>
      <c r="K7" s="146">
        <f t="shared" ref="K7:K71" si="0">+K6+1</f>
        <v>1</v>
      </c>
      <c r="L7" s="144" t="str">
        <f>M7&amp;" "&amp;N7</f>
        <v xml:space="preserve">1222 MINISTARSTVO ZNANOSTI I OBRAZOVANJA </v>
      </c>
      <c r="M7" s="144">
        <v>1222</v>
      </c>
      <c r="N7" s="147" t="s">
        <v>1748</v>
      </c>
      <c r="O7" s="148"/>
      <c r="P7" s="153" t="s">
        <v>274</v>
      </c>
      <c r="Q7" s="147" t="s">
        <v>275</v>
      </c>
      <c r="R7" s="145">
        <v>3271030</v>
      </c>
      <c r="S7" s="141" t="s">
        <v>1749</v>
      </c>
      <c r="T7" s="142" t="s">
        <v>1207</v>
      </c>
      <c r="U7" s="143" t="s">
        <v>940</v>
      </c>
      <c r="V7" s="84"/>
      <c r="W7" s="84"/>
      <c r="X7" s="84"/>
      <c r="Y7" s="84"/>
      <c r="Z7" s="84"/>
    </row>
    <row r="8" spans="1:26" ht="15">
      <c r="A8" s="88"/>
      <c r="B8" s="88"/>
      <c r="C8" s="84"/>
      <c r="D8" s="84"/>
      <c r="E8" s="84"/>
      <c r="F8" s="84"/>
      <c r="G8" s="84"/>
      <c r="H8" s="84"/>
      <c r="I8" s="84"/>
      <c r="J8" s="84"/>
      <c r="K8" s="146">
        <f t="shared" si="0"/>
        <v>2</v>
      </c>
      <c r="L8" s="144" t="str">
        <f t="shared" ref="L8:L72" si="1">M8&amp;" "&amp;N8</f>
        <v>2063 FAKULTET ORGANIZACIJE I INFORMATIKE U VARAŽDINU</v>
      </c>
      <c r="M8" s="144">
        <v>2063</v>
      </c>
      <c r="N8" s="147" t="s">
        <v>488</v>
      </c>
      <c r="O8" s="148" t="s">
        <v>397</v>
      </c>
      <c r="P8" s="147" t="s">
        <v>489</v>
      </c>
      <c r="Q8" s="147" t="s">
        <v>445</v>
      </c>
      <c r="R8" s="145">
        <v>3006107</v>
      </c>
      <c r="S8" s="141" t="s">
        <v>490</v>
      </c>
      <c r="T8" s="142" t="s">
        <v>45</v>
      </c>
      <c r="U8" s="143" t="s">
        <v>44</v>
      </c>
      <c r="V8" s="84"/>
      <c r="W8" s="84"/>
      <c r="X8" s="84"/>
      <c r="Y8" s="84"/>
      <c r="Z8" s="84"/>
    </row>
    <row r="9" spans="1:26" ht="28.5" customHeight="1">
      <c r="B9" s="388" t="s">
        <v>5264</v>
      </c>
      <c r="C9" s="387"/>
      <c r="D9" s="387"/>
      <c r="E9" s="387"/>
      <c r="F9" s="84"/>
      <c r="G9" s="84"/>
      <c r="H9" s="84"/>
      <c r="I9" s="84"/>
      <c r="J9" s="84"/>
      <c r="K9" s="146">
        <f t="shared" si="0"/>
        <v>3</v>
      </c>
      <c r="L9" s="144" t="str">
        <f t="shared" si="1"/>
        <v>43749 MEĐIMURSKO VELEUČILIŠTE U ČAKOVCU</v>
      </c>
      <c r="M9" s="144">
        <v>43749</v>
      </c>
      <c r="N9" s="147" t="s">
        <v>491</v>
      </c>
      <c r="O9" s="148" t="s">
        <v>492</v>
      </c>
      <c r="P9" s="147" t="s">
        <v>493</v>
      </c>
      <c r="Q9" s="147" t="s">
        <v>494</v>
      </c>
      <c r="R9" s="145">
        <v>2382512</v>
      </c>
      <c r="S9" s="141" t="s">
        <v>495</v>
      </c>
      <c r="T9" s="142" t="s">
        <v>45</v>
      </c>
      <c r="U9" s="143" t="s">
        <v>44</v>
      </c>
      <c r="V9" s="84"/>
      <c r="W9" s="84"/>
      <c r="X9" s="84"/>
      <c r="Y9" s="84"/>
      <c r="Z9" s="84"/>
    </row>
    <row r="10" spans="1:26" ht="18.75" customHeight="1">
      <c r="A10" s="282"/>
      <c r="B10" s="283"/>
      <c r="C10" s="282"/>
      <c r="D10" s="282"/>
      <c r="E10" s="282"/>
      <c r="F10" s="84"/>
      <c r="G10" s="84"/>
      <c r="H10" s="84"/>
      <c r="I10" s="84"/>
      <c r="J10" s="84"/>
      <c r="K10" s="146">
        <f t="shared" si="0"/>
        <v>4</v>
      </c>
      <c r="L10" s="144" t="str">
        <f t="shared" si="1"/>
        <v>2452 SVEUČILIŠTE J. J. STROSSMAYERA U OSIJEKU</v>
      </c>
      <c r="M10" s="144">
        <v>2452</v>
      </c>
      <c r="N10" s="147" t="s">
        <v>1750</v>
      </c>
      <c r="O10" s="154" t="s">
        <v>276</v>
      </c>
      <c r="P10" s="147" t="s">
        <v>277</v>
      </c>
      <c r="Q10" s="147" t="s">
        <v>278</v>
      </c>
      <c r="R10" s="145">
        <v>3049779</v>
      </c>
      <c r="S10" s="141" t="s">
        <v>279</v>
      </c>
      <c r="T10" s="142" t="s">
        <v>45</v>
      </c>
      <c r="U10" s="143" t="s">
        <v>44</v>
      </c>
      <c r="V10" s="84"/>
      <c r="W10" s="84"/>
      <c r="X10" s="84"/>
      <c r="Y10" s="84"/>
      <c r="Z10" s="84"/>
    </row>
    <row r="11" spans="1:26" ht="12" customHeight="1">
      <c r="B11" s="388" t="s">
        <v>3</v>
      </c>
      <c r="C11" s="387"/>
      <c r="D11" s="387"/>
      <c r="E11" s="387"/>
      <c r="F11" s="84"/>
      <c r="G11" s="84"/>
      <c r="H11" s="84"/>
      <c r="I11" s="84"/>
      <c r="J11" s="84"/>
      <c r="K11" s="146">
        <f t="shared" si="0"/>
        <v>5</v>
      </c>
      <c r="L11" s="144" t="str">
        <f t="shared" si="1"/>
        <v>50215 SVEUČILIŠTE J. J. STROSSMAYERA U OSIJEKU - AKADEMIJA ZA UMJETNOST I KULTURU U OSIJEKU</v>
      </c>
      <c r="M11" s="144">
        <v>50215</v>
      </c>
      <c r="N11" s="147" t="s">
        <v>1751</v>
      </c>
      <c r="O11" s="154" t="s">
        <v>276</v>
      </c>
      <c r="P11" s="147" t="s">
        <v>303</v>
      </c>
      <c r="Q11" s="147" t="s">
        <v>278</v>
      </c>
      <c r="R11" s="145">
        <v>4907361</v>
      </c>
      <c r="S11" s="141" t="s">
        <v>1710</v>
      </c>
      <c r="T11" s="142" t="s">
        <v>45</v>
      </c>
      <c r="U11" s="143" t="s">
        <v>44</v>
      </c>
      <c r="V11" s="84"/>
      <c r="W11" s="84"/>
      <c r="X11" s="84"/>
      <c r="Y11" s="84"/>
      <c r="Z11" s="84"/>
    </row>
    <row r="12" spans="1:26" ht="12" customHeight="1">
      <c r="A12" s="282"/>
      <c r="B12" s="283"/>
      <c r="C12" s="282"/>
      <c r="D12" s="282"/>
      <c r="E12" s="282"/>
      <c r="F12" s="84"/>
      <c r="G12" s="84"/>
      <c r="H12" s="84"/>
      <c r="I12" s="84"/>
      <c r="J12" s="84"/>
      <c r="K12" s="146">
        <f t="shared" si="0"/>
        <v>6</v>
      </c>
      <c r="L12" s="144" t="str">
        <f t="shared" si="1"/>
        <v>2284 SVEUČILIŠTE J. J. STROSSMAYERA U OSIJEKU - EKONOMSKI FAKULTET</v>
      </c>
      <c r="M12" s="144">
        <v>2284</v>
      </c>
      <c r="N12" s="147" t="s">
        <v>1752</v>
      </c>
      <c r="O12" s="154" t="s">
        <v>276</v>
      </c>
      <c r="P12" s="147" t="s">
        <v>280</v>
      </c>
      <c r="Q12" s="147" t="s">
        <v>278</v>
      </c>
      <c r="R12" s="145">
        <v>3021645</v>
      </c>
      <c r="S12" s="141" t="s">
        <v>281</v>
      </c>
      <c r="T12" s="142" t="s">
        <v>45</v>
      </c>
      <c r="U12" s="143" t="s">
        <v>44</v>
      </c>
      <c r="V12" s="84"/>
      <c r="W12" s="84"/>
      <c r="X12" s="84"/>
      <c r="Y12" s="84"/>
      <c r="Z12" s="84"/>
    </row>
    <row r="13" spans="1:26" ht="33" customHeight="1">
      <c r="B13" s="395" t="s">
        <v>5073</v>
      </c>
      <c r="C13" s="396"/>
      <c r="D13" s="396"/>
      <c r="E13" s="396"/>
      <c r="F13" s="321"/>
      <c r="G13" s="84"/>
      <c r="H13" s="84"/>
      <c r="I13" s="84"/>
      <c r="J13" s="84"/>
      <c r="K13" s="146">
        <f t="shared" si="0"/>
        <v>7</v>
      </c>
      <c r="L13" s="144" t="str">
        <f t="shared" si="1"/>
        <v>2268 SVEUČILIŠTE J. J. STROSSMAYERA U OSIJEKU - FAKULTET AGROBIOTEHNIČKIH ZNANOSTI OSIJEK</v>
      </c>
      <c r="M13" s="144">
        <v>2268</v>
      </c>
      <c r="N13" s="147" t="s">
        <v>1753</v>
      </c>
      <c r="O13" s="154" t="s">
        <v>276</v>
      </c>
      <c r="P13" s="147" t="s">
        <v>291</v>
      </c>
      <c r="Q13" s="147" t="s">
        <v>278</v>
      </c>
      <c r="R13" s="145">
        <v>3058212</v>
      </c>
      <c r="S13" s="141" t="s">
        <v>292</v>
      </c>
      <c r="T13" s="142" t="s">
        <v>45</v>
      </c>
      <c r="U13" s="143" t="s">
        <v>44</v>
      </c>
      <c r="V13" s="84"/>
      <c r="W13" s="84"/>
      <c r="X13" s="84"/>
      <c r="Y13" s="84"/>
      <c r="Z13" s="84"/>
    </row>
    <row r="14" spans="1:26" ht="19.5" customHeight="1">
      <c r="A14" s="90"/>
      <c r="B14" s="90"/>
      <c r="C14" s="84"/>
      <c r="D14" s="84"/>
      <c r="E14" s="294" t="s">
        <v>5251</v>
      </c>
      <c r="F14" s="93"/>
      <c r="G14" s="84"/>
      <c r="H14" s="84"/>
      <c r="I14" s="84"/>
      <c r="J14" s="84"/>
      <c r="K14" s="146">
        <f t="shared" si="0"/>
        <v>8</v>
      </c>
      <c r="L14" s="144" t="str">
        <f t="shared" si="1"/>
        <v>2313 SVEUČILIŠTE J. J. STROSSMAYERA U OSIJEKU - FAKULTET ELEKTROTEHNIKE, RAČUNARSTVA I INFORMACIJSKIH TEHNOLOGIJA OSIJEK</v>
      </c>
      <c r="M14" s="144">
        <v>2313</v>
      </c>
      <c r="N14" s="147" t="s">
        <v>1754</v>
      </c>
      <c r="O14" s="154" t="s">
        <v>276</v>
      </c>
      <c r="P14" s="147" t="s">
        <v>282</v>
      </c>
      <c r="Q14" s="147" t="s">
        <v>278</v>
      </c>
      <c r="R14" s="145">
        <v>3392589</v>
      </c>
      <c r="S14" s="141" t="s">
        <v>283</v>
      </c>
      <c r="T14" s="142" t="s">
        <v>45</v>
      </c>
      <c r="U14" s="143" t="s">
        <v>44</v>
      </c>
      <c r="V14" s="84"/>
      <c r="W14" s="84"/>
      <c r="X14" s="84"/>
      <c r="Y14" s="84"/>
      <c r="Z14" s="84"/>
    </row>
    <row r="15" spans="1:26" ht="26.25" customHeight="1">
      <c r="A15" s="91"/>
      <c r="B15" s="91"/>
      <c r="C15" s="326" t="s">
        <v>5265</v>
      </c>
      <c r="D15" s="326" t="s">
        <v>5266</v>
      </c>
      <c r="E15" s="326" t="s">
        <v>5267</v>
      </c>
      <c r="F15" s="84"/>
      <c r="G15" s="84"/>
      <c r="H15" s="84"/>
      <c r="I15" s="84"/>
      <c r="J15" s="84"/>
      <c r="K15" s="146">
        <f t="shared" si="0"/>
        <v>9</v>
      </c>
      <c r="L15" s="144" t="str">
        <f t="shared" si="1"/>
        <v>49796 SVEUČILIŠTE J. J. STROSSMAYERA U OSIJEKU - FAKULTET ZA DENTALNU MEDICINU I ZDRAVSTVO</v>
      </c>
      <c r="M15" s="144">
        <v>49796</v>
      </c>
      <c r="N15" s="147" t="s">
        <v>1755</v>
      </c>
      <c r="O15" s="154" t="s">
        <v>276</v>
      </c>
      <c r="P15" s="147" t="s">
        <v>301</v>
      </c>
      <c r="Q15" s="147" t="s">
        <v>278</v>
      </c>
      <c r="R15" s="145">
        <v>4748875</v>
      </c>
      <c r="S15" s="141" t="s">
        <v>302</v>
      </c>
      <c r="T15" s="142" t="s">
        <v>45</v>
      </c>
      <c r="U15" s="143" t="s">
        <v>44</v>
      </c>
      <c r="V15" s="84"/>
      <c r="W15" s="84"/>
      <c r="X15" s="84"/>
      <c r="Y15" s="84"/>
      <c r="Z15" s="84"/>
    </row>
    <row r="16" spans="1:26" ht="19.5" customHeight="1">
      <c r="A16" s="92"/>
      <c r="B16" s="92" t="s">
        <v>4</v>
      </c>
      <c r="C16" s="374">
        <f>SUM(C17:C18)</f>
        <v>8996228</v>
      </c>
      <c r="D16" s="374">
        <f>+D17+D18</f>
        <v>-2082686</v>
      </c>
      <c r="E16" s="374">
        <f>+E17+E18</f>
        <v>6913542</v>
      </c>
      <c r="F16" s="84"/>
      <c r="G16" s="97"/>
      <c r="H16" s="84"/>
      <c r="I16" s="84"/>
      <c r="J16" s="84"/>
      <c r="K16" s="146">
        <f t="shared" si="0"/>
        <v>10</v>
      </c>
      <c r="L16" s="144" t="str">
        <f t="shared" si="1"/>
        <v>22486 SVEUČILIŠTE J. J. STROSSMAYERA U OSIJEKU - FAKULTET ZA ODGOJNE I OBRAZOVNE ZNANOSTI</v>
      </c>
      <c r="M16" s="144">
        <v>22486</v>
      </c>
      <c r="N16" s="147" t="s">
        <v>1756</v>
      </c>
      <c r="O16" s="154" t="s">
        <v>276</v>
      </c>
      <c r="P16" s="147" t="s">
        <v>296</v>
      </c>
      <c r="Q16" s="147" t="s">
        <v>278</v>
      </c>
      <c r="R16" s="145">
        <v>1404881</v>
      </c>
      <c r="S16" s="141" t="s">
        <v>297</v>
      </c>
      <c r="T16" s="142" t="s">
        <v>45</v>
      </c>
      <c r="U16" s="143" t="s">
        <v>44</v>
      </c>
      <c r="V16" s="84"/>
      <c r="W16" s="84"/>
      <c r="X16" s="84"/>
      <c r="Y16" s="84"/>
      <c r="Z16" s="84"/>
    </row>
    <row r="17" spans="1:26" ht="19.5" customHeight="1">
      <c r="A17" s="94">
        <v>6</v>
      </c>
      <c r="B17" s="92" t="s">
        <v>5</v>
      </c>
      <c r="C17" s="375">
        <f>SUM('Unos prihoda i primitaka'!G3:G22)</f>
        <v>8996228</v>
      </c>
      <c r="D17" s="375">
        <f>SUM('Unos prihoda i primitaka'!H3:H22)</f>
        <v>-2082686</v>
      </c>
      <c r="E17" s="375">
        <f>SUM('Unos prihoda i primitaka'!I3:I22)</f>
        <v>6913542</v>
      </c>
      <c r="F17" s="84"/>
      <c r="G17" s="84"/>
      <c r="H17" s="84"/>
      <c r="I17" s="84"/>
      <c r="J17" s="84"/>
      <c r="K17" s="146">
        <f t="shared" si="0"/>
        <v>11</v>
      </c>
      <c r="L17" s="144" t="str">
        <f t="shared" si="1"/>
        <v>2321 SVEUČILIŠTE J. J. STROSSMAYERA U OSIJEKU - FILOZOFSKI FAKULTET</v>
      </c>
      <c r="M17" s="144">
        <v>2321</v>
      </c>
      <c r="N17" s="147" t="s">
        <v>1757</v>
      </c>
      <c r="O17" s="154" t="s">
        <v>276</v>
      </c>
      <c r="P17" s="147" t="s">
        <v>284</v>
      </c>
      <c r="Q17" s="147" t="s">
        <v>278</v>
      </c>
      <c r="R17" s="145">
        <v>3014185</v>
      </c>
      <c r="S17" s="141" t="s">
        <v>285</v>
      </c>
      <c r="T17" s="142" t="s">
        <v>45</v>
      </c>
      <c r="U17" s="143" t="s">
        <v>44</v>
      </c>
      <c r="V17" s="84"/>
      <c r="W17" s="84"/>
      <c r="X17" s="84"/>
      <c r="Y17" s="84"/>
      <c r="Z17" s="84"/>
    </row>
    <row r="18" spans="1:26" ht="19.5" customHeight="1">
      <c r="A18" s="94">
        <v>7</v>
      </c>
      <c r="B18" s="96" t="s">
        <v>6</v>
      </c>
      <c r="C18" s="375">
        <f>+'A.1 PRIHODI'!C19</f>
        <v>0</v>
      </c>
      <c r="D18" s="375">
        <f>+'A.1 PRIHODI'!C33</f>
        <v>0</v>
      </c>
      <c r="E18" s="375">
        <f>+'A.1 PRIHODI'!C47</f>
        <v>0</v>
      </c>
      <c r="F18" s="84"/>
      <c r="G18" s="84"/>
      <c r="H18" s="84"/>
      <c r="I18" s="84"/>
      <c r="J18" s="84"/>
      <c r="K18" s="146">
        <f t="shared" si="0"/>
        <v>12</v>
      </c>
      <c r="L18" s="144" t="str">
        <f t="shared" si="1"/>
        <v>2508 SVEUČILIŠTE J. J. STROSSMAYERA U OSIJEKU - GRADSKA I SVEUČILIŠNA KNJIŽNICA</v>
      </c>
      <c r="M18" s="144">
        <v>2508</v>
      </c>
      <c r="N18" s="147" t="s">
        <v>1758</v>
      </c>
      <c r="O18" s="154" t="s">
        <v>276</v>
      </c>
      <c r="P18" s="147" t="s">
        <v>286</v>
      </c>
      <c r="Q18" s="147" t="s">
        <v>278</v>
      </c>
      <c r="R18" s="145">
        <v>3014347</v>
      </c>
      <c r="S18" s="141" t="s">
        <v>287</v>
      </c>
      <c r="T18" s="142" t="s">
        <v>45</v>
      </c>
      <c r="U18" s="143" t="s">
        <v>44</v>
      </c>
      <c r="V18" s="84"/>
      <c r="W18" s="84"/>
      <c r="X18" s="84"/>
      <c r="Y18" s="84"/>
      <c r="Z18" s="84"/>
    </row>
    <row r="19" spans="1:26" ht="19.5" customHeight="1">
      <c r="A19" s="98"/>
      <c r="B19" s="96" t="s">
        <v>7</v>
      </c>
      <c r="C19" s="376">
        <f>SUM(C20:C21)</f>
        <v>8452779</v>
      </c>
      <c r="D19" s="376">
        <f>+D20+D21</f>
        <v>-1712758</v>
      </c>
      <c r="E19" s="376">
        <f>+E20+E21</f>
        <v>6740021</v>
      </c>
      <c r="F19" s="84"/>
      <c r="G19" s="84"/>
      <c r="H19" s="84"/>
      <c r="I19" s="84"/>
      <c r="J19" s="84"/>
      <c r="K19" s="146">
        <f t="shared" si="0"/>
        <v>13</v>
      </c>
      <c r="L19" s="144" t="str">
        <f t="shared" si="1"/>
        <v>2250 SVEUČILIŠTE J. J. STROSSMAYERA U OSIJEKU - GRAĐEVINSKI I ARHITEKTONSKI FAKULTET OSIJEK</v>
      </c>
      <c r="M19" s="144">
        <v>2250</v>
      </c>
      <c r="N19" s="147" t="s">
        <v>1759</v>
      </c>
      <c r="O19" s="154" t="s">
        <v>276</v>
      </c>
      <c r="P19" s="147" t="s">
        <v>1709</v>
      </c>
      <c r="Q19" s="147" t="s">
        <v>278</v>
      </c>
      <c r="R19" s="145">
        <v>3397335</v>
      </c>
      <c r="S19" s="141" t="s">
        <v>288</v>
      </c>
      <c r="T19" s="142" t="s">
        <v>45</v>
      </c>
      <c r="U19" s="143" t="s">
        <v>44</v>
      </c>
      <c r="V19" s="84"/>
      <c r="W19" s="84"/>
      <c r="X19" s="84"/>
      <c r="Y19" s="84"/>
      <c r="Z19" s="84"/>
    </row>
    <row r="20" spans="1:26" ht="19.5" customHeight="1">
      <c r="A20" s="98">
        <v>3</v>
      </c>
      <c r="B20" s="92" t="s">
        <v>8</v>
      </c>
      <c r="C20" s="101">
        <f>+'A.2 RASHODI'!C5</f>
        <v>7483061</v>
      </c>
      <c r="D20" s="101">
        <f>E20-C20</f>
        <v>-1211740</v>
      </c>
      <c r="E20" s="101">
        <v>6271321</v>
      </c>
      <c r="F20" s="84"/>
      <c r="G20" s="84"/>
      <c r="H20" s="84"/>
      <c r="I20" s="84"/>
      <c r="J20" s="84"/>
      <c r="K20" s="146">
        <f t="shared" si="0"/>
        <v>14</v>
      </c>
      <c r="L20" s="144" t="str">
        <f t="shared" si="1"/>
        <v>38479 SVEUČILIŠTE J. J. STROSSMAYERA U OSIJEKU - KATOLIČKI BOGOSLOVNI FAKULTET U ĐAKOVU</v>
      </c>
      <c r="M20" s="144">
        <v>38479</v>
      </c>
      <c r="N20" s="147" t="s">
        <v>1760</v>
      </c>
      <c r="O20" s="154" t="s">
        <v>276</v>
      </c>
      <c r="P20" s="147" t="s">
        <v>298</v>
      </c>
      <c r="Q20" s="147" t="s">
        <v>299</v>
      </c>
      <c r="R20" s="145">
        <v>1986490</v>
      </c>
      <c r="S20" s="141" t="s">
        <v>300</v>
      </c>
      <c r="T20" s="142" t="s">
        <v>45</v>
      </c>
      <c r="U20" s="143" t="s">
        <v>44</v>
      </c>
      <c r="V20" s="84"/>
      <c r="W20" s="84"/>
      <c r="X20" s="84"/>
      <c r="Y20" s="84"/>
      <c r="Z20" s="84"/>
    </row>
    <row r="21" spans="1:26" ht="19.5" customHeight="1">
      <c r="A21" s="94">
        <v>4</v>
      </c>
      <c r="B21" s="96" t="s">
        <v>9</v>
      </c>
      <c r="C21" s="101">
        <f>+'A.2 RASHODI'!C70</f>
        <v>969718</v>
      </c>
      <c r="D21" s="101">
        <f>E21-C21</f>
        <v>-501018</v>
      </c>
      <c r="E21" s="101">
        <f>+'A.2 RASHODI'!C218</f>
        <v>468700</v>
      </c>
      <c r="F21" s="84"/>
      <c r="G21" s="84"/>
      <c r="H21" s="84"/>
      <c r="I21" s="84"/>
      <c r="J21" s="84"/>
      <c r="K21" s="146">
        <f t="shared" si="0"/>
        <v>15</v>
      </c>
      <c r="L21" s="144" t="str">
        <f t="shared" si="1"/>
        <v>51450 SVEUČILIŠTE J. J. STROSSMAYERA U OSIJEKU - KINEZIOLOŠKI FAKULTET OSIJEK</v>
      </c>
      <c r="M21" s="144">
        <v>51450</v>
      </c>
      <c r="N21" s="147" t="s">
        <v>1761</v>
      </c>
      <c r="O21" s="154" t="s">
        <v>276</v>
      </c>
      <c r="P21" s="147" t="s">
        <v>1762</v>
      </c>
      <c r="Q21" s="147" t="s">
        <v>278</v>
      </c>
      <c r="R21" s="145">
        <v>5302099</v>
      </c>
      <c r="S21" s="141" t="s">
        <v>1763</v>
      </c>
      <c r="T21" s="142" t="s">
        <v>45</v>
      </c>
      <c r="U21" s="143" t="s">
        <v>44</v>
      </c>
      <c r="V21" s="84"/>
      <c r="W21" s="84"/>
      <c r="X21" s="84"/>
      <c r="Y21" s="84"/>
      <c r="Z21" s="84"/>
    </row>
    <row r="22" spans="1:26" ht="15">
      <c r="A22" s="92"/>
      <c r="B22" s="92" t="s">
        <v>10</v>
      </c>
      <c r="C22" s="374">
        <f>+C16-C19</f>
        <v>543449</v>
      </c>
      <c r="D22" s="374">
        <f>+D16-D19</f>
        <v>-369928</v>
      </c>
      <c r="E22" s="374">
        <f>+E16-E19</f>
        <v>173521</v>
      </c>
      <c r="F22" s="84"/>
      <c r="G22" s="84"/>
      <c r="H22" s="97"/>
      <c r="I22" s="84"/>
      <c r="J22" s="84"/>
      <c r="K22" s="146">
        <f t="shared" si="0"/>
        <v>16</v>
      </c>
      <c r="L22" s="144" t="str">
        <f t="shared" si="1"/>
        <v>22849 SVEUČILIŠTE J. J. STROSSMAYERA U OSIJEKU - MEDICINSKI FAKULTET</v>
      </c>
      <c r="M22" s="144">
        <v>22849</v>
      </c>
      <c r="N22" s="147" t="s">
        <v>1764</v>
      </c>
      <c r="O22" s="154" t="s">
        <v>276</v>
      </c>
      <c r="P22" s="147" t="s">
        <v>289</v>
      </c>
      <c r="Q22" s="147" t="s">
        <v>278</v>
      </c>
      <c r="R22" s="145">
        <v>1388142</v>
      </c>
      <c r="S22" s="141" t="s">
        <v>290</v>
      </c>
      <c r="T22" s="142" t="s">
        <v>45</v>
      </c>
      <c r="U22" s="143" t="s">
        <v>44</v>
      </c>
      <c r="V22" s="84"/>
      <c r="W22" s="84"/>
      <c r="X22" s="84"/>
      <c r="Y22" s="84"/>
      <c r="Z22" s="84"/>
    </row>
    <row r="23" spans="1:26" ht="11.25" customHeight="1">
      <c r="B23" s="386"/>
      <c r="C23" s="387"/>
      <c r="D23" s="387"/>
      <c r="E23" s="387"/>
      <c r="F23" s="84"/>
      <c r="G23" s="84"/>
      <c r="H23" s="103"/>
      <c r="I23" s="84"/>
      <c r="J23" s="84"/>
      <c r="K23" s="146">
        <f t="shared" si="0"/>
        <v>17</v>
      </c>
      <c r="L23" s="144" t="str">
        <f t="shared" si="1"/>
        <v>2292 SVEUČILIŠTE J. J. STROSSMAYERA U OSIJEKU - PRAVNI FAKULTET</v>
      </c>
      <c r="M23" s="144">
        <v>2292</v>
      </c>
      <c r="N23" s="147" t="s">
        <v>1765</v>
      </c>
      <c r="O23" s="154" t="s">
        <v>276</v>
      </c>
      <c r="P23" s="147" t="s">
        <v>293</v>
      </c>
      <c r="Q23" s="147" t="s">
        <v>278</v>
      </c>
      <c r="R23" s="145">
        <v>3014193</v>
      </c>
      <c r="S23" s="141" t="s">
        <v>294</v>
      </c>
      <c r="T23" s="142" t="s">
        <v>45</v>
      </c>
      <c r="U23" s="143" t="s">
        <v>44</v>
      </c>
      <c r="V23" s="84"/>
      <c r="W23" s="84"/>
      <c r="X23" s="84"/>
      <c r="Y23" s="84"/>
      <c r="Z23" s="84"/>
    </row>
    <row r="24" spans="1:26" ht="15">
      <c r="A24" s="220"/>
      <c r="B24" s="388" t="s">
        <v>5076</v>
      </c>
      <c r="C24" s="387"/>
      <c r="D24" s="387"/>
      <c r="E24" s="387"/>
      <c r="F24" s="84"/>
      <c r="G24" s="84"/>
      <c r="H24" s="103"/>
      <c r="I24" s="84"/>
      <c r="J24" s="84"/>
      <c r="K24" s="146">
        <f t="shared" si="0"/>
        <v>18</v>
      </c>
      <c r="L24" s="144" t="str">
        <f t="shared" si="1"/>
        <v>2276 SVEUČILIŠTE J. J. STROSSMAYERA U OSIJEKU - PREHRAMBENO TEHNOLOŠKI FAKULTET</v>
      </c>
      <c r="M24" s="144">
        <v>2276</v>
      </c>
      <c r="N24" s="147" t="s">
        <v>1766</v>
      </c>
      <c r="O24" s="154" t="s">
        <v>276</v>
      </c>
      <c r="P24" s="147" t="s">
        <v>1767</v>
      </c>
      <c r="Q24" s="147" t="s">
        <v>278</v>
      </c>
      <c r="R24" s="145">
        <v>3058204</v>
      </c>
      <c r="S24" s="141" t="s">
        <v>295</v>
      </c>
      <c r="T24" s="142" t="s">
        <v>45</v>
      </c>
      <c r="U24" s="143" t="s">
        <v>44</v>
      </c>
      <c r="V24" s="84"/>
      <c r="W24" s="84"/>
      <c r="X24" s="84"/>
      <c r="Y24" s="84"/>
      <c r="Z24" s="84"/>
    </row>
    <row r="25" spans="1:26" ht="15">
      <c r="A25" s="90"/>
      <c r="B25" s="90"/>
      <c r="C25" s="84"/>
      <c r="D25" s="84"/>
      <c r="E25" s="294" t="s">
        <v>5251</v>
      </c>
      <c r="F25" s="84"/>
      <c r="G25" s="84"/>
      <c r="H25" s="84"/>
      <c r="I25" s="84"/>
      <c r="J25" s="84"/>
      <c r="K25" s="146">
        <f t="shared" si="0"/>
        <v>19</v>
      </c>
      <c r="L25" s="144" t="str">
        <f t="shared" si="1"/>
        <v>52565 SVEUČILIŠTE J. J. STROSSMAYERA U OSIJEKU - FAKULTET TURIZMA I RURALNOG RAZVOJA U POŽEGI</v>
      </c>
      <c r="M25" s="304">
        <v>52565</v>
      </c>
      <c r="N25" s="305" t="s">
        <v>5181</v>
      </c>
      <c r="O25" s="306" t="s">
        <v>276</v>
      </c>
      <c r="P25" s="305" t="s">
        <v>516</v>
      </c>
      <c r="Q25" s="147" t="s">
        <v>278</v>
      </c>
      <c r="R25" s="307">
        <v>5619696</v>
      </c>
      <c r="S25" s="308" t="s">
        <v>5182</v>
      </c>
      <c r="T25" s="142" t="s">
        <v>45</v>
      </c>
      <c r="U25" s="143" t="s">
        <v>44</v>
      </c>
      <c r="V25" s="84"/>
      <c r="W25" s="84"/>
      <c r="X25" s="84"/>
      <c r="Y25" s="84"/>
      <c r="Z25" s="84"/>
    </row>
    <row r="26" spans="1:26" ht="30.75" customHeight="1">
      <c r="A26" s="91"/>
      <c r="B26" s="91"/>
      <c r="C26" s="326" t="s">
        <v>5265</v>
      </c>
      <c r="D26" s="326" t="s">
        <v>5266</v>
      </c>
      <c r="E26" s="326" t="s">
        <v>5267</v>
      </c>
      <c r="F26" s="84"/>
      <c r="G26" s="84"/>
      <c r="H26" s="106"/>
      <c r="I26" s="84"/>
      <c r="J26" s="84"/>
      <c r="K26" s="146">
        <f t="shared" si="0"/>
        <v>20</v>
      </c>
      <c r="L26" s="144" t="str">
        <f t="shared" si="1"/>
        <v>42024 SVEUČILIŠTE JURJA DOBRILE U PULI</v>
      </c>
      <c r="M26" s="144">
        <v>42024</v>
      </c>
      <c r="N26" s="147" t="s">
        <v>304</v>
      </c>
      <c r="O26" s="148" t="s">
        <v>1776</v>
      </c>
      <c r="P26" s="147" t="s">
        <v>305</v>
      </c>
      <c r="Q26" s="147" t="s">
        <v>306</v>
      </c>
      <c r="R26" s="145">
        <v>2161753</v>
      </c>
      <c r="S26" s="141" t="s">
        <v>307</v>
      </c>
      <c r="T26" s="142" t="s">
        <v>45</v>
      </c>
      <c r="U26" s="143" t="s">
        <v>44</v>
      </c>
      <c r="V26" s="84"/>
      <c r="W26" s="84"/>
      <c r="X26" s="84"/>
      <c r="Y26" s="84"/>
      <c r="Z26" s="84"/>
    </row>
    <row r="27" spans="1:26" ht="30">
      <c r="A27" s="94">
        <v>8</v>
      </c>
      <c r="B27" s="92" t="s">
        <v>13</v>
      </c>
      <c r="C27" s="95">
        <f>+'B. RAČUN FIN'!C6</f>
        <v>0</v>
      </c>
      <c r="D27" s="95">
        <f>+'B. RAČUN FIN'!C17</f>
        <v>0</v>
      </c>
      <c r="E27" s="95">
        <f>+'B. RAČUN FIN'!C28</f>
        <v>0</v>
      </c>
      <c r="F27" s="84"/>
      <c r="G27" s="84"/>
      <c r="H27" s="84"/>
      <c r="I27" s="84"/>
      <c r="J27" s="84"/>
      <c r="K27" s="146">
        <f t="shared" si="0"/>
        <v>21</v>
      </c>
      <c r="L27" s="144" t="str">
        <f t="shared" si="1"/>
        <v>48267 SVEUČILIŠTE SJEVER</v>
      </c>
      <c r="M27" s="144">
        <v>48267</v>
      </c>
      <c r="N27" s="147" t="s">
        <v>308</v>
      </c>
      <c r="O27" s="148" t="s">
        <v>308</v>
      </c>
      <c r="P27" s="147" t="s">
        <v>1712</v>
      </c>
      <c r="Q27" s="147" t="s">
        <v>309</v>
      </c>
      <c r="R27" s="145">
        <v>2752298</v>
      </c>
      <c r="S27" s="141" t="s">
        <v>310</v>
      </c>
      <c r="T27" s="142" t="s">
        <v>45</v>
      </c>
      <c r="U27" s="143" t="s">
        <v>44</v>
      </c>
      <c r="V27" s="84"/>
      <c r="W27" s="84"/>
      <c r="X27" s="84"/>
      <c r="Y27" s="84"/>
      <c r="Z27" s="84"/>
    </row>
    <row r="28" spans="1:26" ht="30">
      <c r="A28" s="94">
        <v>5</v>
      </c>
      <c r="B28" s="92" t="s">
        <v>14</v>
      </c>
      <c r="C28" s="95">
        <f>+'B. RAČUN FIN'!C11</f>
        <v>0</v>
      </c>
      <c r="D28" s="95">
        <v>150000</v>
      </c>
      <c r="E28" s="95">
        <v>150000</v>
      </c>
      <c r="F28" s="107"/>
      <c r="G28" s="84"/>
      <c r="H28" s="84"/>
      <c r="I28" s="84"/>
      <c r="J28" s="84"/>
      <c r="K28" s="146">
        <f t="shared" si="0"/>
        <v>22</v>
      </c>
      <c r="L28" s="144" t="str">
        <f t="shared" si="1"/>
        <v>24141 SVEUČILIŠTE U DUBROVNIKU</v>
      </c>
      <c r="M28" s="144">
        <v>24141</v>
      </c>
      <c r="N28" s="147" t="s">
        <v>311</v>
      </c>
      <c r="O28" s="148" t="s">
        <v>311</v>
      </c>
      <c r="P28" s="147" t="s">
        <v>312</v>
      </c>
      <c r="Q28" s="147" t="s">
        <v>313</v>
      </c>
      <c r="R28" s="145">
        <v>1787578</v>
      </c>
      <c r="S28" s="141" t="s">
        <v>314</v>
      </c>
      <c r="T28" s="142" t="s">
        <v>45</v>
      </c>
      <c r="U28" s="143" t="s">
        <v>44</v>
      </c>
      <c r="V28" s="84"/>
      <c r="W28" s="84"/>
      <c r="X28" s="84"/>
      <c r="Y28" s="84"/>
      <c r="Z28" s="84"/>
    </row>
    <row r="29" spans="1:26" ht="30">
      <c r="A29" s="102" t="s">
        <v>11</v>
      </c>
      <c r="B29" s="281" t="s">
        <v>5074</v>
      </c>
      <c r="C29" s="100">
        <v>968010</v>
      </c>
      <c r="D29" s="100">
        <v>1511459</v>
      </c>
      <c r="E29" s="100">
        <f>1172617-181086</f>
        <v>991531</v>
      </c>
      <c r="F29" s="84"/>
      <c r="G29" s="84"/>
      <c r="H29" s="84"/>
      <c r="I29" s="84"/>
      <c r="J29" s="84"/>
      <c r="K29" s="146">
        <f t="shared" si="0"/>
        <v>23</v>
      </c>
      <c r="L29" s="144" t="str">
        <f t="shared" si="1"/>
        <v>2444 SVEUČILIŠTE U RIJECI</v>
      </c>
      <c r="M29" s="144">
        <v>2444</v>
      </c>
      <c r="N29" s="147" t="s">
        <v>318</v>
      </c>
      <c r="O29" s="89" t="s">
        <v>318</v>
      </c>
      <c r="P29" s="147" t="s">
        <v>319</v>
      </c>
      <c r="Q29" s="147" t="s">
        <v>320</v>
      </c>
      <c r="R29" s="145">
        <v>3337413</v>
      </c>
      <c r="S29" s="141" t="s">
        <v>321</v>
      </c>
      <c r="T29" s="142" t="s">
        <v>45</v>
      </c>
      <c r="U29" s="143" t="s">
        <v>44</v>
      </c>
      <c r="V29" s="84"/>
      <c r="W29" s="84"/>
      <c r="X29" s="84"/>
      <c r="Y29" s="84"/>
      <c r="Z29" s="84"/>
    </row>
    <row r="30" spans="1:26" ht="30">
      <c r="A30" s="102" t="s">
        <v>12</v>
      </c>
      <c r="B30" s="281" t="s">
        <v>5075</v>
      </c>
      <c r="C30" s="104">
        <v>-1511459</v>
      </c>
      <c r="D30" s="104">
        <f>-871117-301500+181086</f>
        <v>-991531</v>
      </c>
      <c r="E30" s="105">
        <f>-774224-603000+362172</f>
        <v>-1015052</v>
      </c>
      <c r="F30" s="84"/>
      <c r="G30" s="84"/>
      <c r="H30" s="84"/>
      <c r="I30" s="84"/>
      <c r="J30" s="84"/>
      <c r="K30" s="146">
        <f t="shared" si="0"/>
        <v>24</v>
      </c>
      <c r="L30" s="144" t="str">
        <f t="shared" si="1"/>
        <v>38454 SVEUČILIŠTE U RIJECI - AKADEMIJA PRIMJENJENIH UMJETNOSTI</v>
      </c>
      <c r="M30" s="144">
        <v>38454</v>
      </c>
      <c r="N30" s="147" t="s">
        <v>322</v>
      </c>
      <c r="O30" s="89" t="s">
        <v>318</v>
      </c>
      <c r="P30" s="147" t="s">
        <v>323</v>
      </c>
      <c r="Q30" s="147" t="s">
        <v>320</v>
      </c>
      <c r="R30" s="145">
        <v>1954253</v>
      </c>
      <c r="S30" s="141" t="s">
        <v>324</v>
      </c>
      <c r="T30" s="142" t="s">
        <v>45</v>
      </c>
      <c r="U30" s="143" t="s">
        <v>44</v>
      </c>
      <c r="V30" s="84"/>
      <c r="W30" s="84"/>
      <c r="X30" s="84"/>
      <c r="Y30" s="84"/>
      <c r="Z30" s="84"/>
    </row>
    <row r="31" spans="1:26" ht="15">
      <c r="A31" s="92"/>
      <c r="B31" s="92" t="s">
        <v>15</v>
      </c>
      <c r="C31" s="99">
        <f>+C27-C28+C29+C30</f>
        <v>-543449</v>
      </c>
      <c r="D31" s="99">
        <f>+D27-D28+D29+D30</f>
        <v>369928</v>
      </c>
      <c r="E31" s="99">
        <f t="shared" ref="E31" si="2">+E27-E28+E29+E30</f>
        <v>-173521</v>
      </c>
      <c r="F31" s="84"/>
      <c r="G31" s="110"/>
      <c r="H31" s="84"/>
      <c r="I31" s="84"/>
      <c r="J31" s="84"/>
      <c r="K31" s="146">
        <f t="shared" si="0"/>
        <v>25</v>
      </c>
      <c r="L31" s="144" t="str">
        <f t="shared" si="1"/>
        <v>2186 SVEUČILIŠTE U RIJECI - EKONOMSKI FAKULTET</v>
      </c>
      <c r="M31" s="144">
        <v>2186</v>
      </c>
      <c r="N31" s="147" t="s">
        <v>325</v>
      </c>
      <c r="O31" s="89" t="s">
        <v>318</v>
      </c>
      <c r="P31" s="147" t="s">
        <v>326</v>
      </c>
      <c r="Q31" s="147" t="s">
        <v>320</v>
      </c>
      <c r="R31" s="145">
        <v>3328627</v>
      </c>
      <c r="S31" s="141" t="s">
        <v>327</v>
      </c>
      <c r="T31" s="142" t="s">
        <v>45</v>
      </c>
      <c r="U31" s="143" t="s">
        <v>44</v>
      </c>
      <c r="V31" s="84"/>
      <c r="W31" s="84"/>
      <c r="X31" s="84"/>
      <c r="Y31" s="84"/>
      <c r="Z31" s="84"/>
    </row>
    <row r="32" spans="1:26" ht="18.75" customHeight="1">
      <c r="B32" s="386"/>
      <c r="C32" s="387"/>
      <c r="D32" s="387"/>
      <c r="E32" s="387"/>
      <c r="F32" s="84"/>
      <c r="G32" s="84"/>
      <c r="H32" s="84"/>
      <c r="I32" s="84"/>
      <c r="J32" s="84"/>
      <c r="K32" s="146">
        <f t="shared" si="0"/>
        <v>26</v>
      </c>
      <c r="L32" s="144" t="str">
        <f t="shared" si="1"/>
        <v>2194 SVEUČILIŠTE U RIJECI - FAKULTET ZA MENADŽMENT U TURIZMU I UGOSTITELJSTVU</v>
      </c>
      <c r="M32" s="144">
        <v>2194</v>
      </c>
      <c r="N32" s="147" t="s">
        <v>328</v>
      </c>
      <c r="O32" s="89" t="s">
        <v>318</v>
      </c>
      <c r="P32" s="147" t="s">
        <v>329</v>
      </c>
      <c r="Q32" s="147" t="s">
        <v>330</v>
      </c>
      <c r="R32" s="145">
        <v>3091732</v>
      </c>
      <c r="S32" s="141" t="s">
        <v>331</v>
      </c>
      <c r="T32" s="142" t="s">
        <v>45</v>
      </c>
      <c r="U32" s="143" t="s">
        <v>44</v>
      </c>
      <c r="V32" s="84"/>
      <c r="W32" s="84"/>
      <c r="X32" s="84"/>
      <c r="Y32" s="84"/>
      <c r="Z32" s="84"/>
    </row>
    <row r="33" spans="1:26" ht="30">
      <c r="A33" s="108"/>
      <c r="B33" s="108" t="s">
        <v>5077</v>
      </c>
      <c r="C33" s="109">
        <f>+C22+C31</f>
        <v>0</v>
      </c>
      <c r="D33" s="109">
        <f>+D22+D31</f>
        <v>0</v>
      </c>
      <c r="E33" s="109">
        <f>+E22+E31</f>
        <v>0</v>
      </c>
      <c r="F33" s="111"/>
      <c r="G33" s="112"/>
      <c r="H33" s="112"/>
      <c r="I33" s="112"/>
      <c r="J33" s="112"/>
      <c r="K33" s="146">
        <f t="shared" si="0"/>
        <v>27</v>
      </c>
      <c r="L33" s="144" t="str">
        <f t="shared" si="1"/>
        <v>48023 SVEUČILIŠTE U RIJECI - FAKULTET ZDRAVSTVENIH STUDIJA U RIJECI</v>
      </c>
      <c r="M33" s="144">
        <v>48023</v>
      </c>
      <c r="N33" s="147" t="s">
        <v>355</v>
      </c>
      <c r="O33" s="89" t="s">
        <v>318</v>
      </c>
      <c r="P33" s="147" t="s">
        <v>356</v>
      </c>
      <c r="Q33" s="147" t="s">
        <v>320</v>
      </c>
      <c r="R33" s="145" t="s">
        <v>357</v>
      </c>
      <c r="S33" s="141" t="s">
        <v>358</v>
      </c>
      <c r="T33" s="142" t="s">
        <v>45</v>
      </c>
      <c r="U33" s="143" t="s">
        <v>44</v>
      </c>
      <c r="V33" s="112"/>
      <c r="W33" s="112"/>
      <c r="X33" s="112"/>
      <c r="Y33" s="112"/>
      <c r="Z33" s="112"/>
    </row>
    <row r="34" spans="1:26" ht="15">
      <c r="A34" s="90"/>
      <c r="B34" s="90"/>
      <c r="C34" s="84"/>
      <c r="D34" s="84"/>
      <c r="E34" s="84"/>
      <c r="F34" s="84"/>
      <c r="G34" s="84"/>
      <c r="H34" s="84"/>
      <c r="I34" s="84"/>
      <c r="J34" s="84"/>
      <c r="K34" s="146">
        <f t="shared" si="0"/>
        <v>28</v>
      </c>
      <c r="L34" s="144" t="str">
        <f t="shared" si="1"/>
        <v>22857 SVEUČILIŠTE U RIJECI - FILOZOFSKI FAKULTET</v>
      </c>
      <c r="M34" s="144">
        <v>22857</v>
      </c>
      <c r="N34" s="147" t="s">
        <v>332</v>
      </c>
      <c r="O34" s="89" t="s">
        <v>318</v>
      </c>
      <c r="P34" s="147" t="s">
        <v>333</v>
      </c>
      <c r="Q34" s="147" t="s">
        <v>320</v>
      </c>
      <c r="R34" s="145">
        <v>3368491</v>
      </c>
      <c r="S34" s="141" t="s">
        <v>334</v>
      </c>
      <c r="T34" s="142" t="s">
        <v>45</v>
      </c>
      <c r="U34" s="143" t="s">
        <v>44</v>
      </c>
      <c r="V34" s="84"/>
      <c r="W34" s="84"/>
      <c r="X34" s="84"/>
      <c r="Y34" s="84"/>
      <c r="Z34" s="84"/>
    </row>
    <row r="35" spans="1:26" ht="1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146">
        <f t="shared" si="0"/>
        <v>29</v>
      </c>
      <c r="L35" s="144" t="str">
        <f t="shared" si="1"/>
        <v>2160 SVEUČILIŠTE U RIJECI - GRAĐEVINSKI FAKULTET</v>
      </c>
      <c r="M35" s="144">
        <v>2160</v>
      </c>
      <c r="N35" s="147" t="s">
        <v>1713</v>
      </c>
      <c r="O35" s="89" t="s">
        <v>318</v>
      </c>
      <c r="P35" s="147" t="s">
        <v>335</v>
      </c>
      <c r="Q35" s="147" t="s">
        <v>320</v>
      </c>
      <c r="R35" s="145">
        <v>3395855</v>
      </c>
      <c r="S35" s="141" t="s">
        <v>336</v>
      </c>
      <c r="T35" s="142" t="s">
        <v>45</v>
      </c>
      <c r="U35" s="143" t="s">
        <v>44</v>
      </c>
      <c r="V35" s="84"/>
      <c r="W35" s="84"/>
      <c r="X35" s="84"/>
      <c r="Y35" s="84"/>
      <c r="Z35" s="84"/>
    </row>
    <row r="36" spans="1:26" ht="1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146">
        <f t="shared" si="0"/>
        <v>30</v>
      </c>
      <c r="L36" s="144" t="str">
        <f t="shared" si="1"/>
        <v>2225 SVEUČILIŠTE U RIJECI - MEDICINSKI FAKULTET</v>
      </c>
      <c r="M36" s="144">
        <v>2225</v>
      </c>
      <c r="N36" s="147" t="s">
        <v>337</v>
      </c>
      <c r="O36" s="89" t="s">
        <v>318</v>
      </c>
      <c r="P36" s="147" t="s">
        <v>338</v>
      </c>
      <c r="Q36" s="147" t="s">
        <v>320</v>
      </c>
      <c r="R36" s="145">
        <v>3328554</v>
      </c>
      <c r="S36" s="141" t="s">
        <v>339</v>
      </c>
      <c r="T36" s="142" t="s">
        <v>45</v>
      </c>
      <c r="U36" s="143" t="s">
        <v>44</v>
      </c>
      <c r="V36" s="84"/>
      <c r="W36" s="84"/>
      <c r="X36" s="84"/>
      <c r="Y36" s="84"/>
      <c r="Z36" s="84"/>
    </row>
    <row r="37" spans="1:26" ht="1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146">
        <f t="shared" si="0"/>
        <v>31</v>
      </c>
      <c r="L37" s="144" t="str">
        <f t="shared" si="1"/>
        <v>22568 SVEUČILIŠTE U RIJECI - POMORSKI FAKULTET</v>
      </c>
      <c r="M37" s="144">
        <v>22568</v>
      </c>
      <c r="N37" s="147" t="s">
        <v>340</v>
      </c>
      <c r="O37" s="89" t="s">
        <v>318</v>
      </c>
      <c r="P37" s="147" t="s">
        <v>341</v>
      </c>
      <c r="Q37" s="147" t="s">
        <v>320</v>
      </c>
      <c r="R37" s="145">
        <v>1580485</v>
      </c>
      <c r="S37" s="141" t="s">
        <v>342</v>
      </c>
      <c r="T37" s="142" t="s">
        <v>45</v>
      </c>
      <c r="U37" s="143" t="s">
        <v>44</v>
      </c>
      <c r="V37" s="84"/>
      <c r="W37" s="84"/>
      <c r="X37" s="84"/>
      <c r="Y37" s="84"/>
      <c r="Z37" s="84"/>
    </row>
    <row r="38" spans="1:26" ht="1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146">
        <f t="shared" si="0"/>
        <v>32</v>
      </c>
      <c r="L38" s="144" t="str">
        <f t="shared" si="1"/>
        <v>2217 SVEUČILIŠTE U RIJECI - PRAVNI FAKULTET</v>
      </c>
      <c r="M38" s="144">
        <v>2217</v>
      </c>
      <c r="N38" s="147" t="s">
        <v>343</v>
      </c>
      <c r="O38" s="89" t="s">
        <v>318</v>
      </c>
      <c r="P38" s="147" t="s">
        <v>344</v>
      </c>
      <c r="Q38" s="147" t="s">
        <v>320</v>
      </c>
      <c r="R38" s="145">
        <v>3328562</v>
      </c>
      <c r="S38" s="141" t="s">
        <v>345</v>
      </c>
      <c r="T38" s="142" t="s">
        <v>45</v>
      </c>
      <c r="U38" s="143" t="s">
        <v>44</v>
      </c>
      <c r="V38" s="84"/>
      <c r="W38" s="84"/>
      <c r="X38" s="84"/>
      <c r="Y38" s="84"/>
      <c r="Z38" s="84"/>
    </row>
    <row r="39" spans="1:26" ht="1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146">
        <f t="shared" si="0"/>
        <v>33</v>
      </c>
      <c r="L39" s="144" t="str">
        <f t="shared" si="1"/>
        <v>2493 SVEUČILIŠTE U RIJECI - SVEUČILIŠNA KNJIŽNICA</v>
      </c>
      <c r="M39" s="144">
        <v>2493</v>
      </c>
      <c r="N39" s="147" t="s">
        <v>346</v>
      </c>
      <c r="O39" s="89" t="s">
        <v>318</v>
      </c>
      <c r="P39" s="147" t="s">
        <v>347</v>
      </c>
      <c r="Q39" s="147" t="s">
        <v>320</v>
      </c>
      <c r="R39" s="145">
        <v>3328686</v>
      </c>
      <c r="S39" s="141" t="s">
        <v>348</v>
      </c>
      <c r="T39" s="142" t="s">
        <v>45</v>
      </c>
      <c r="U39" s="143" t="s">
        <v>44</v>
      </c>
      <c r="V39" s="84"/>
      <c r="W39" s="84"/>
      <c r="X39" s="84"/>
      <c r="Y39" s="84"/>
      <c r="Z39" s="84"/>
    </row>
    <row r="40" spans="1:26" ht="1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146">
        <f t="shared" si="0"/>
        <v>34</v>
      </c>
      <c r="L40" s="144" t="str">
        <f t="shared" si="1"/>
        <v>2151 SVEUČILIŠTE U RIJECI - TEHNIČKI FAKULTET</v>
      </c>
      <c r="M40" s="144">
        <v>2151</v>
      </c>
      <c r="N40" s="147" t="s">
        <v>349</v>
      </c>
      <c r="O40" s="89" t="s">
        <v>318</v>
      </c>
      <c r="P40" s="147" t="s">
        <v>350</v>
      </c>
      <c r="Q40" s="147" t="s">
        <v>320</v>
      </c>
      <c r="R40" s="145">
        <v>3334317</v>
      </c>
      <c r="S40" s="141" t="s">
        <v>351</v>
      </c>
      <c r="T40" s="142" t="s">
        <v>45</v>
      </c>
      <c r="U40" s="143" t="s">
        <v>44</v>
      </c>
      <c r="V40" s="84"/>
      <c r="W40" s="84"/>
      <c r="X40" s="84"/>
      <c r="Y40" s="84"/>
      <c r="Z40" s="84"/>
    </row>
    <row r="41" spans="1:26" ht="1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146">
        <f t="shared" si="0"/>
        <v>35</v>
      </c>
      <c r="L41" s="144" t="str">
        <f t="shared" si="1"/>
        <v>40947 SVEUČILIŠTE U RIJECI - UČITELJSKI FAKULTET</v>
      </c>
      <c r="M41" s="144">
        <v>40947</v>
      </c>
      <c r="N41" s="147" t="s">
        <v>352</v>
      </c>
      <c r="O41" s="89" t="s">
        <v>318</v>
      </c>
      <c r="P41" s="147" t="s">
        <v>353</v>
      </c>
      <c r="Q41" s="147" t="s">
        <v>320</v>
      </c>
      <c r="R41" s="145">
        <v>2116073</v>
      </c>
      <c r="S41" s="141" t="s">
        <v>354</v>
      </c>
      <c r="T41" s="142" t="s">
        <v>45</v>
      </c>
      <c r="U41" s="143" t="s">
        <v>44</v>
      </c>
      <c r="V41" s="84"/>
      <c r="W41" s="84"/>
      <c r="X41" s="84"/>
      <c r="Y41" s="84"/>
      <c r="Z41" s="84"/>
    </row>
    <row r="42" spans="1:26" ht="1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146">
        <f t="shared" si="0"/>
        <v>36</v>
      </c>
      <c r="L42" s="144" t="str">
        <f t="shared" si="1"/>
        <v>51360 SVEUČILIŠTE U SLAVONSKOM BRODU</v>
      </c>
      <c r="M42" s="144">
        <v>51360</v>
      </c>
      <c r="N42" s="147" t="s">
        <v>1711</v>
      </c>
      <c r="O42" s="154" t="s">
        <v>1711</v>
      </c>
      <c r="P42" s="147" t="s">
        <v>1768</v>
      </c>
      <c r="Q42" s="147" t="s">
        <v>1769</v>
      </c>
      <c r="R42" s="145">
        <v>5290538</v>
      </c>
      <c r="S42" s="141" t="s">
        <v>1770</v>
      </c>
      <c r="T42" s="142" t="s">
        <v>45</v>
      </c>
      <c r="U42" s="143" t="s">
        <v>44</v>
      </c>
      <c r="V42" s="84"/>
      <c r="W42" s="84"/>
      <c r="X42" s="84"/>
      <c r="Y42" s="84"/>
      <c r="Z42" s="84"/>
    </row>
    <row r="43" spans="1:26" ht="1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146">
        <f t="shared" si="0"/>
        <v>37</v>
      </c>
      <c r="L43" s="144" t="str">
        <f t="shared" si="1"/>
        <v>2469 SVEUČILIŠTE U SPLITU</v>
      </c>
      <c r="M43" s="144">
        <v>2469</v>
      </c>
      <c r="N43" s="147" t="s">
        <v>359</v>
      </c>
      <c r="O43" s="148" t="s">
        <v>359</v>
      </c>
      <c r="P43" s="147" t="s">
        <v>369</v>
      </c>
      <c r="Q43" s="147" t="s">
        <v>360</v>
      </c>
      <c r="R43" s="145">
        <v>3129306</v>
      </c>
      <c r="S43" s="141" t="s">
        <v>361</v>
      </c>
      <c r="T43" s="142" t="s">
        <v>45</v>
      </c>
      <c r="U43" s="143" t="s">
        <v>44</v>
      </c>
      <c r="V43" s="84"/>
      <c r="W43" s="84"/>
      <c r="X43" s="84"/>
      <c r="Y43" s="84"/>
      <c r="Z43" s="84"/>
    </row>
    <row r="44" spans="1:26" ht="1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146">
        <f t="shared" si="0"/>
        <v>38</v>
      </c>
      <c r="L44" s="144" t="str">
        <f t="shared" si="1"/>
        <v>2372 SVEUČILIŠTE U SPLITU - EKONOMSKI FAKULTET</v>
      </c>
      <c r="M44" s="144">
        <v>2372</v>
      </c>
      <c r="N44" s="147" t="s">
        <v>362</v>
      </c>
      <c r="O44" s="148" t="s">
        <v>359</v>
      </c>
      <c r="P44" s="147" t="s">
        <v>363</v>
      </c>
      <c r="Q44" s="147" t="s">
        <v>360</v>
      </c>
      <c r="R44" s="145">
        <v>3119076</v>
      </c>
      <c r="S44" s="141" t="s">
        <v>364</v>
      </c>
      <c r="T44" s="142" t="s">
        <v>45</v>
      </c>
      <c r="U44" s="143" t="s">
        <v>44</v>
      </c>
      <c r="V44" s="84"/>
      <c r="W44" s="84"/>
      <c r="X44" s="84"/>
      <c r="Y44" s="84"/>
      <c r="Z44" s="84"/>
    </row>
    <row r="45" spans="1:26" ht="1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146">
        <f t="shared" si="0"/>
        <v>39</v>
      </c>
      <c r="L45" s="144" t="str">
        <f t="shared" si="1"/>
        <v>2330 SVEUČILIŠTE U SPLITU - FAKULTET ELEKTROTEHNIKE, STROJARSTVA I BRODOGRADNJE</v>
      </c>
      <c r="M45" s="144">
        <v>2330</v>
      </c>
      <c r="N45" s="147" t="s">
        <v>365</v>
      </c>
      <c r="O45" s="148" t="s">
        <v>359</v>
      </c>
      <c r="P45" s="147" t="s">
        <v>366</v>
      </c>
      <c r="Q45" s="147" t="s">
        <v>360</v>
      </c>
      <c r="R45" s="145">
        <v>3118339</v>
      </c>
      <c r="S45" s="141" t="s">
        <v>367</v>
      </c>
      <c r="T45" s="142" t="s">
        <v>45</v>
      </c>
      <c r="U45" s="143" t="s">
        <v>44</v>
      </c>
      <c r="V45" s="84"/>
      <c r="W45" s="84"/>
      <c r="X45" s="84"/>
      <c r="Y45" s="84"/>
      <c r="Z45" s="84"/>
    </row>
    <row r="46" spans="1:26" ht="1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146">
        <f t="shared" si="0"/>
        <v>40</v>
      </c>
      <c r="L46" s="144" t="str">
        <f t="shared" si="1"/>
        <v>2348 SVEUČILIŠTE U SPLITU - FAKULTET GRAĐEVINARSTVA, ARHITEKTURE I GEODEZIJE</v>
      </c>
      <c r="M46" s="144">
        <v>2348</v>
      </c>
      <c r="N46" s="147" t="s">
        <v>371</v>
      </c>
      <c r="O46" s="148" t="s">
        <v>359</v>
      </c>
      <c r="P46" s="147" t="s">
        <v>372</v>
      </c>
      <c r="Q46" s="147" t="s">
        <v>360</v>
      </c>
      <c r="R46" s="145">
        <v>3149463</v>
      </c>
      <c r="S46" s="141" t="s">
        <v>373</v>
      </c>
      <c r="T46" s="142" t="s">
        <v>45</v>
      </c>
      <c r="U46" s="143" t="s">
        <v>44</v>
      </c>
      <c r="V46" s="84"/>
      <c r="W46" s="84"/>
      <c r="X46" s="84"/>
      <c r="Y46" s="84"/>
      <c r="Z46" s="84"/>
    </row>
    <row r="47" spans="1:26" ht="1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146">
        <f t="shared" si="0"/>
        <v>41</v>
      </c>
      <c r="L47" s="144" t="str">
        <f t="shared" si="1"/>
        <v>22435 SVEUČILIŠTE U SPLITU - FILOZOFSKI FAKULTET</v>
      </c>
      <c r="M47" s="144">
        <v>22435</v>
      </c>
      <c r="N47" s="147" t="s">
        <v>368</v>
      </c>
      <c r="O47" s="148" t="s">
        <v>359</v>
      </c>
      <c r="P47" s="147" t="s">
        <v>369</v>
      </c>
      <c r="Q47" s="147" t="s">
        <v>360</v>
      </c>
      <c r="R47" s="145">
        <v>1413236</v>
      </c>
      <c r="S47" s="141" t="s">
        <v>370</v>
      </c>
      <c r="T47" s="142" t="s">
        <v>45</v>
      </c>
      <c r="U47" s="143" t="s">
        <v>44</v>
      </c>
      <c r="V47" s="84"/>
      <c r="W47" s="84"/>
      <c r="X47" s="84"/>
      <c r="Y47" s="84"/>
      <c r="Z47" s="84"/>
    </row>
    <row r="48" spans="1:26" ht="1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146">
        <f t="shared" si="0"/>
        <v>42</v>
      </c>
      <c r="L48" s="144" t="str">
        <f t="shared" si="1"/>
        <v>23368 SVEUČILIŠTE U SPLITU - KATOLIČKI BOGOSLOVNI FAKULTET</v>
      </c>
      <c r="M48" s="144">
        <v>23368</v>
      </c>
      <c r="N48" s="147" t="s">
        <v>379</v>
      </c>
      <c r="O48" s="148" t="s">
        <v>359</v>
      </c>
      <c r="P48" s="147" t="s">
        <v>380</v>
      </c>
      <c r="Q48" s="147" t="s">
        <v>360</v>
      </c>
      <c r="R48" s="145">
        <v>1465643</v>
      </c>
      <c r="S48" s="141">
        <v>36149548625</v>
      </c>
      <c r="T48" s="142" t="s">
        <v>45</v>
      </c>
      <c r="U48" s="143" t="s">
        <v>44</v>
      </c>
      <c r="V48" s="84"/>
      <c r="W48" s="84"/>
      <c r="X48" s="84"/>
      <c r="Y48" s="84"/>
      <c r="Z48" s="84"/>
    </row>
    <row r="49" spans="1:26" ht="15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146">
        <f t="shared" si="0"/>
        <v>43</v>
      </c>
      <c r="L49" s="144" t="str">
        <f t="shared" si="1"/>
        <v>2356 SVEUČILIŠTE U SPLITU - KEMIJSKO-TEHNOLOŠKI FAKULTET</v>
      </c>
      <c r="M49" s="144">
        <v>2356</v>
      </c>
      <c r="N49" s="147" t="s">
        <v>374</v>
      </c>
      <c r="O49" s="148" t="s">
        <v>359</v>
      </c>
      <c r="P49" s="147" t="s">
        <v>1714</v>
      </c>
      <c r="Q49" s="147" t="s">
        <v>360</v>
      </c>
      <c r="R49" s="145">
        <v>3119068</v>
      </c>
      <c r="S49" s="141" t="s">
        <v>375</v>
      </c>
      <c r="T49" s="142" t="s">
        <v>45</v>
      </c>
      <c r="U49" s="143" t="s">
        <v>44</v>
      </c>
      <c r="V49" s="84"/>
      <c r="W49" s="84"/>
      <c r="X49" s="84"/>
      <c r="Y49" s="84"/>
      <c r="Z49" s="84"/>
    </row>
    <row r="50" spans="1:26" ht="15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146">
        <f t="shared" si="0"/>
        <v>44</v>
      </c>
      <c r="L50" s="144" t="str">
        <f t="shared" si="1"/>
        <v>43773 SVEUČILIŠTE U SPLITU - KINEZIOLOŠKI FAKULTET</v>
      </c>
      <c r="M50" s="144">
        <v>43773</v>
      </c>
      <c r="N50" s="147" t="s">
        <v>376</v>
      </c>
      <c r="O50" s="148" t="s">
        <v>359</v>
      </c>
      <c r="P50" s="147" t="s">
        <v>377</v>
      </c>
      <c r="Q50" s="147" t="s">
        <v>360</v>
      </c>
      <c r="R50" s="145">
        <v>2393255</v>
      </c>
      <c r="S50" s="141" t="s">
        <v>378</v>
      </c>
      <c r="T50" s="142" t="s">
        <v>45</v>
      </c>
      <c r="U50" s="143" t="s">
        <v>44</v>
      </c>
      <c r="V50" s="84"/>
      <c r="W50" s="84"/>
      <c r="X50" s="84"/>
      <c r="Y50" s="84"/>
      <c r="Z50" s="84"/>
    </row>
    <row r="51" spans="1:26" ht="1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146">
        <f t="shared" si="0"/>
        <v>45</v>
      </c>
      <c r="L51" s="144" t="str">
        <f t="shared" si="1"/>
        <v>22451 SVEUČILIŠTE U SPLITU - MEDICINSKI FAKULTET</v>
      </c>
      <c r="M51" s="144">
        <v>22451</v>
      </c>
      <c r="N51" s="147" t="s">
        <v>381</v>
      </c>
      <c r="O51" s="148" t="s">
        <v>359</v>
      </c>
      <c r="P51" s="147" t="s">
        <v>382</v>
      </c>
      <c r="Q51" s="147" t="s">
        <v>360</v>
      </c>
      <c r="R51" s="145">
        <v>1315366</v>
      </c>
      <c r="S51" s="141" t="s">
        <v>383</v>
      </c>
      <c r="T51" s="142" t="s">
        <v>45</v>
      </c>
      <c r="U51" s="143" t="s">
        <v>44</v>
      </c>
      <c r="V51" s="84"/>
      <c r="W51" s="84"/>
      <c r="X51" s="84"/>
      <c r="Y51" s="84"/>
      <c r="Z51" s="84"/>
    </row>
    <row r="52" spans="1:26" ht="1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146">
        <f t="shared" si="0"/>
        <v>46</v>
      </c>
      <c r="L52" s="144" t="str">
        <f t="shared" si="1"/>
        <v>22460 SVEUČILIŠTE U SPLITU - POMORSKI FAKULTET</v>
      </c>
      <c r="M52" s="144">
        <v>22460</v>
      </c>
      <c r="N52" s="147" t="s">
        <v>384</v>
      </c>
      <c r="O52" s="148" t="s">
        <v>359</v>
      </c>
      <c r="P52" s="147" t="s">
        <v>1715</v>
      </c>
      <c r="Q52" s="147" t="s">
        <v>360</v>
      </c>
      <c r="R52" s="145">
        <v>1406043</v>
      </c>
      <c r="S52" s="141" t="s">
        <v>385</v>
      </c>
      <c r="T52" s="142" t="s">
        <v>45</v>
      </c>
      <c r="U52" s="143" t="s">
        <v>44</v>
      </c>
      <c r="V52" s="84"/>
      <c r="W52" s="84"/>
      <c r="X52" s="84"/>
      <c r="Y52" s="84"/>
      <c r="Z52" s="84"/>
    </row>
    <row r="53" spans="1:26" ht="1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146">
        <f t="shared" si="0"/>
        <v>47</v>
      </c>
      <c r="L53" s="144" t="str">
        <f t="shared" si="1"/>
        <v>2397 SVEUČILIŠTE U SPLITU - PRAVNI FAKULTET</v>
      </c>
      <c r="M53" s="144">
        <v>2397</v>
      </c>
      <c r="N53" s="147" t="s">
        <v>386</v>
      </c>
      <c r="O53" s="148" t="s">
        <v>359</v>
      </c>
      <c r="P53" s="147" t="s">
        <v>387</v>
      </c>
      <c r="Q53" s="147" t="s">
        <v>360</v>
      </c>
      <c r="R53" s="145">
        <v>3118347</v>
      </c>
      <c r="S53" s="141" t="s">
        <v>388</v>
      </c>
      <c r="T53" s="142" t="s">
        <v>45</v>
      </c>
      <c r="U53" s="143" t="s">
        <v>44</v>
      </c>
      <c r="V53" s="84"/>
      <c r="W53" s="84"/>
      <c r="X53" s="84"/>
      <c r="Y53" s="84"/>
      <c r="Z53" s="84"/>
    </row>
    <row r="54" spans="1:26" ht="1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146">
        <f t="shared" si="0"/>
        <v>48</v>
      </c>
      <c r="L54" s="144" t="str">
        <f t="shared" si="1"/>
        <v>2410 SVEUČILIŠTE U SPLITU - PRIRODOSLOVNO - MATEMATIČKI FAKULTET</v>
      </c>
      <c r="M54" s="144">
        <v>2410</v>
      </c>
      <c r="N54" s="147" t="s">
        <v>389</v>
      </c>
      <c r="O54" s="148" t="s">
        <v>359</v>
      </c>
      <c r="P54" s="147" t="s">
        <v>1716</v>
      </c>
      <c r="Q54" s="147" t="s">
        <v>360</v>
      </c>
      <c r="R54" s="145">
        <v>3199622</v>
      </c>
      <c r="S54" s="141" t="s">
        <v>390</v>
      </c>
      <c r="T54" s="142" t="s">
        <v>45</v>
      </c>
      <c r="U54" s="143" t="s">
        <v>44</v>
      </c>
      <c r="V54" s="84"/>
      <c r="W54" s="84"/>
      <c r="X54" s="84"/>
      <c r="Y54" s="84"/>
      <c r="Z54" s="84"/>
    </row>
    <row r="55" spans="1:26" ht="15.75">
      <c r="A55" s="334"/>
      <c r="B55" s="383"/>
      <c r="C55" s="384"/>
      <c r="D55" s="384"/>
      <c r="E55" s="384"/>
      <c r="F55" s="84"/>
      <c r="G55" s="84"/>
      <c r="H55" s="84"/>
      <c r="I55" s="84"/>
      <c r="J55" s="84"/>
      <c r="K55" s="146">
        <f t="shared" si="0"/>
        <v>49</v>
      </c>
      <c r="L55" s="144" t="str">
        <f t="shared" si="1"/>
        <v>2524 SVEUČILIŠTE U SPLITU - SVEUČILIŠNA KNJIŽNICA</v>
      </c>
      <c r="M55" s="144">
        <v>2524</v>
      </c>
      <c r="N55" s="147" t="s">
        <v>391</v>
      </c>
      <c r="O55" s="148" t="s">
        <v>359</v>
      </c>
      <c r="P55" s="147" t="s">
        <v>392</v>
      </c>
      <c r="Q55" s="147" t="s">
        <v>360</v>
      </c>
      <c r="R55" s="145">
        <v>3118436</v>
      </c>
      <c r="S55" s="141" t="s">
        <v>393</v>
      </c>
      <c r="T55" s="142" t="s">
        <v>45</v>
      </c>
      <c r="U55" s="143" t="s">
        <v>44</v>
      </c>
      <c r="V55" s="84"/>
      <c r="W55" s="84"/>
      <c r="X55" s="84"/>
      <c r="Y55" s="84"/>
      <c r="Z55" s="84"/>
    </row>
    <row r="56" spans="1:26" ht="15.75">
      <c r="A56" s="334"/>
      <c r="B56" s="335"/>
      <c r="C56" s="334"/>
      <c r="D56" s="334"/>
      <c r="E56" s="334"/>
      <c r="F56" s="84"/>
      <c r="G56" s="84"/>
      <c r="H56" s="84"/>
      <c r="I56" s="84"/>
      <c r="J56" s="84"/>
      <c r="K56" s="146">
        <f t="shared" si="0"/>
        <v>50</v>
      </c>
      <c r="L56" s="144" t="str">
        <f t="shared" si="1"/>
        <v>22478 SVEUČILIŠTE U SPLITU - UMJETNIČKA AKADEMIJA</v>
      </c>
      <c r="M56" s="144">
        <v>22478</v>
      </c>
      <c r="N56" s="147" t="s">
        <v>394</v>
      </c>
      <c r="O56" s="148" t="s">
        <v>359</v>
      </c>
      <c r="P56" s="147" t="s">
        <v>395</v>
      </c>
      <c r="Q56" s="147" t="s">
        <v>360</v>
      </c>
      <c r="R56" s="145">
        <v>1321358</v>
      </c>
      <c r="S56" s="141" t="s">
        <v>396</v>
      </c>
      <c r="T56" s="142" t="s">
        <v>45</v>
      </c>
      <c r="U56" s="143" t="s">
        <v>44</v>
      </c>
      <c r="V56" s="84"/>
      <c r="W56" s="84"/>
      <c r="X56" s="84"/>
      <c r="Y56" s="84"/>
      <c r="Z56" s="84"/>
    </row>
    <row r="57" spans="1:26" ht="15.75">
      <c r="A57" s="334"/>
      <c r="B57" s="383"/>
      <c r="C57" s="384"/>
      <c r="D57" s="384"/>
      <c r="E57" s="384"/>
      <c r="F57" s="84"/>
      <c r="G57" s="84"/>
      <c r="H57" s="84"/>
      <c r="I57" s="84"/>
      <c r="J57" s="84"/>
      <c r="K57" s="146">
        <f t="shared" si="0"/>
        <v>51</v>
      </c>
      <c r="L57" s="144" t="str">
        <f t="shared" si="1"/>
        <v>23815 SVEUČILIŠTE U ZADRU</v>
      </c>
      <c r="M57" s="144">
        <v>23815</v>
      </c>
      <c r="N57" s="147" t="s">
        <v>315</v>
      </c>
      <c r="O57" s="148" t="s">
        <v>315</v>
      </c>
      <c r="P57" s="147" t="s">
        <v>1717</v>
      </c>
      <c r="Q57" s="147" t="s">
        <v>316</v>
      </c>
      <c r="R57" s="145">
        <v>1695525</v>
      </c>
      <c r="S57" s="141" t="s">
        <v>317</v>
      </c>
      <c r="T57" s="142" t="s">
        <v>45</v>
      </c>
      <c r="U57" s="143" t="s">
        <v>44</v>
      </c>
      <c r="V57" s="84"/>
      <c r="W57" s="84"/>
      <c r="X57" s="84"/>
      <c r="Y57" s="84"/>
      <c r="Z57" s="84"/>
    </row>
    <row r="58" spans="1:26" ht="15.75">
      <c r="A58" s="334"/>
      <c r="B58" s="335"/>
      <c r="C58" s="334"/>
      <c r="D58" s="334"/>
      <c r="E58" s="334"/>
      <c r="F58" s="84"/>
      <c r="G58" s="84"/>
      <c r="H58" s="84"/>
      <c r="I58" s="84"/>
      <c r="J58" s="84"/>
      <c r="K58" s="146">
        <f t="shared" si="0"/>
        <v>52</v>
      </c>
      <c r="L58" s="144" t="str">
        <f t="shared" si="1"/>
        <v>2436 SVEUČILIŠTE U ZAGREBU</v>
      </c>
      <c r="M58" s="144">
        <v>2436</v>
      </c>
      <c r="N58" s="147" t="s">
        <v>397</v>
      </c>
      <c r="O58" s="148" t="s">
        <v>397</v>
      </c>
      <c r="P58" s="147" t="s">
        <v>465</v>
      </c>
      <c r="Q58" s="147" t="s">
        <v>275</v>
      </c>
      <c r="R58" s="145">
        <v>3211592</v>
      </c>
      <c r="S58" s="141" t="s">
        <v>398</v>
      </c>
      <c r="T58" s="142" t="s">
        <v>45</v>
      </c>
      <c r="U58" s="143" t="s">
        <v>44</v>
      </c>
      <c r="V58" s="84"/>
      <c r="W58" s="84"/>
      <c r="X58" s="84"/>
      <c r="Y58" s="84"/>
      <c r="Z58" s="84"/>
    </row>
    <row r="59" spans="1:26" ht="15.75">
      <c r="A59" s="334"/>
      <c r="B59" s="383"/>
      <c r="C59" s="384"/>
      <c r="D59" s="384"/>
      <c r="E59" s="384"/>
      <c r="F59" s="84"/>
      <c r="G59" s="84"/>
      <c r="H59" s="84"/>
      <c r="I59" s="84"/>
      <c r="J59" s="84"/>
      <c r="K59" s="146">
        <f t="shared" si="0"/>
        <v>53</v>
      </c>
      <c r="L59" s="144" t="str">
        <f t="shared" si="1"/>
        <v>1923 SVEUČILIŠTE U ZAGREBU - AGRONOMSKI FAKULTET</v>
      </c>
      <c r="M59" s="144">
        <v>1923</v>
      </c>
      <c r="N59" s="147" t="s">
        <v>399</v>
      </c>
      <c r="O59" s="148" t="s">
        <v>397</v>
      </c>
      <c r="P59" s="147" t="s">
        <v>400</v>
      </c>
      <c r="Q59" s="147" t="s">
        <v>275</v>
      </c>
      <c r="R59" s="145">
        <v>3283097</v>
      </c>
      <c r="S59" s="141" t="s">
        <v>401</v>
      </c>
      <c r="T59" s="142" t="s">
        <v>45</v>
      </c>
      <c r="U59" s="143" t="s">
        <v>44</v>
      </c>
      <c r="V59" s="84"/>
      <c r="W59" s="84"/>
      <c r="X59" s="84"/>
      <c r="Y59" s="84"/>
      <c r="Z59" s="84"/>
    </row>
    <row r="60" spans="1:26" ht="15">
      <c r="A60" s="336"/>
      <c r="B60" s="336"/>
      <c r="C60" s="337"/>
      <c r="D60" s="337"/>
      <c r="E60" s="338"/>
      <c r="F60" s="84"/>
      <c r="G60" s="84"/>
      <c r="H60" s="84"/>
      <c r="I60" s="84"/>
      <c r="J60" s="84"/>
      <c r="K60" s="146">
        <f t="shared" si="0"/>
        <v>54</v>
      </c>
      <c r="L60" s="144" t="str">
        <f t="shared" si="1"/>
        <v>1974 SVEUČILIŠTE U ZAGREBU - AKADEMIJA DRAMSKE UMJETNOSTI</v>
      </c>
      <c r="M60" s="144">
        <v>1974</v>
      </c>
      <c r="N60" s="147" t="s">
        <v>402</v>
      </c>
      <c r="O60" s="148" t="s">
        <v>397</v>
      </c>
      <c r="P60" s="147" t="s">
        <v>403</v>
      </c>
      <c r="Q60" s="147" t="s">
        <v>275</v>
      </c>
      <c r="R60" s="145">
        <v>3205029</v>
      </c>
      <c r="S60" s="141" t="s">
        <v>404</v>
      </c>
      <c r="T60" s="142" t="s">
        <v>45</v>
      </c>
      <c r="U60" s="143" t="s">
        <v>44</v>
      </c>
      <c r="V60" s="84"/>
      <c r="W60" s="84"/>
      <c r="X60" s="84"/>
      <c r="Y60" s="84"/>
      <c r="Z60" s="84"/>
    </row>
    <row r="61" spans="1:26" ht="15" customHeight="1">
      <c r="A61" s="339"/>
      <c r="B61" s="339"/>
      <c r="C61" s="339"/>
      <c r="D61" s="339"/>
      <c r="E61" s="339"/>
      <c r="F61" s="84"/>
      <c r="G61" s="84"/>
      <c r="H61" s="84"/>
      <c r="I61" s="84"/>
      <c r="J61" s="84"/>
      <c r="K61" s="146">
        <f t="shared" si="0"/>
        <v>55</v>
      </c>
      <c r="L61" s="144" t="str">
        <f t="shared" si="1"/>
        <v>1982 SVEUČILIŠTE U ZAGREBU - AKADEMIJA LIKOVNIH UMJETNOSTI</v>
      </c>
      <c r="M61" s="144">
        <v>1982</v>
      </c>
      <c r="N61" s="147" t="s">
        <v>405</v>
      </c>
      <c r="O61" s="148" t="s">
        <v>397</v>
      </c>
      <c r="P61" s="147" t="s">
        <v>406</v>
      </c>
      <c r="Q61" s="147" t="s">
        <v>275</v>
      </c>
      <c r="R61" s="145">
        <v>3207919</v>
      </c>
      <c r="S61" s="141" t="s">
        <v>407</v>
      </c>
      <c r="T61" s="142" t="s">
        <v>45</v>
      </c>
      <c r="U61" s="143" t="s">
        <v>44</v>
      </c>
      <c r="V61" s="84"/>
      <c r="W61" s="84"/>
      <c r="X61" s="84"/>
      <c r="Y61" s="84"/>
      <c r="Z61" s="84"/>
    </row>
    <row r="62" spans="1:26" ht="15">
      <c r="A62" s="340"/>
      <c r="B62" s="340"/>
      <c r="C62" s="341"/>
      <c r="D62" s="341"/>
      <c r="E62" s="341"/>
      <c r="F62" s="84"/>
      <c r="G62" s="84"/>
      <c r="H62" s="84"/>
      <c r="I62" s="84"/>
      <c r="J62" s="84"/>
      <c r="K62" s="146">
        <f t="shared" si="0"/>
        <v>56</v>
      </c>
      <c r="L62" s="144" t="str">
        <f t="shared" si="1"/>
        <v xml:space="preserve">1861 SVEUČILIŠTE U ZAGREBU - ARHITEKTONSKI FAKULTET </v>
      </c>
      <c r="M62" s="144">
        <v>1861</v>
      </c>
      <c r="N62" s="147" t="s">
        <v>408</v>
      </c>
      <c r="O62" s="148" t="s">
        <v>397</v>
      </c>
      <c r="P62" s="147" t="s">
        <v>409</v>
      </c>
      <c r="Q62" s="147" t="s">
        <v>275</v>
      </c>
      <c r="R62" s="145">
        <v>3204952</v>
      </c>
      <c r="S62" s="141" t="s">
        <v>410</v>
      </c>
      <c r="T62" s="142" t="s">
        <v>45</v>
      </c>
      <c r="U62" s="143" t="s">
        <v>44</v>
      </c>
      <c r="V62" s="84"/>
      <c r="W62" s="84"/>
      <c r="X62" s="84"/>
      <c r="Y62" s="84"/>
      <c r="Z62" s="84"/>
    </row>
    <row r="63" spans="1:26" ht="15" customHeight="1">
      <c r="A63" s="342"/>
      <c r="B63" s="340"/>
      <c r="C63" s="343"/>
      <c r="D63" s="343"/>
      <c r="E63" s="343"/>
      <c r="F63" s="84"/>
      <c r="G63" s="84"/>
      <c r="H63" s="84"/>
      <c r="I63" s="84"/>
      <c r="J63" s="84"/>
      <c r="K63" s="146">
        <f t="shared" si="0"/>
        <v>57</v>
      </c>
      <c r="L63" s="144" t="str">
        <f t="shared" si="1"/>
        <v xml:space="preserve">1966 SVEUČILIŠTE U ZAGREBU - EDUKACIJSKO-REHABILITACIJSKI FAKULTET </v>
      </c>
      <c r="M63" s="144">
        <v>1966</v>
      </c>
      <c r="N63" s="147" t="s">
        <v>411</v>
      </c>
      <c r="O63" s="148" t="s">
        <v>397</v>
      </c>
      <c r="P63" s="147" t="s">
        <v>412</v>
      </c>
      <c r="Q63" s="147" t="s">
        <v>275</v>
      </c>
      <c r="R63" s="145">
        <v>3219780</v>
      </c>
      <c r="S63" s="141" t="s">
        <v>413</v>
      </c>
      <c r="T63" s="142" t="s">
        <v>45</v>
      </c>
      <c r="U63" s="143" t="s">
        <v>44</v>
      </c>
      <c r="V63" s="84"/>
      <c r="W63" s="84"/>
      <c r="X63" s="84"/>
      <c r="Y63" s="84"/>
      <c r="Z63" s="84"/>
    </row>
    <row r="64" spans="1:26" ht="15">
      <c r="A64" s="342"/>
      <c r="B64" s="344"/>
      <c r="C64" s="343"/>
      <c r="D64" s="343"/>
      <c r="E64" s="343"/>
      <c r="F64" s="84"/>
      <c r="G64" s="84"/>
      <c r="H64" s="84"/>
      <c r="I64" s="84"/>
      <c r="J64" s="84"/>
      <c r="K64" s="146">
        <f t="shared" si="0"/>
        <v>58</v>
      </c>
      <c r="L64" s="144" t="str">
        <f t="shared" si="1"/>
        <v>1931 SVEUČILIŠTE U ZAGREBU - EKONOMSKI FAKULTET</v>
      </c>
      <c r="M64" s="144">
        <v>1931</v>
      </c>
      <c r="N64" s="147" t="s">
        <v>414</v>
      </c>
      <c r="O64" s="148" t="s">
        <v>397</v>
      </c>
      <c r="P64" s="147" t="s">
        <v>1718</v>
      </c>
      <c r="Q64" s="147" t="s">
        <v>275</v>
      </c>
      <c r="R64" s="145">
        <v>3272079</v>
      </c>
      <c r="S64" s="141" t="s">
        <v>415</v>
      </c>
      <c r="T64" s="142" t="s">
        <v>45</v>
      </c>
      <c r="U64" s="143" t="s">
        <v>44</v>
      </c>
      <c r="V64" s="84"/>
      <c r="W64" s="84"/>
      <c r="X64" s="84"/>
      <c r="Y64" s="84"/>
      <c r="Z64" s="84"/>
    </row>
    <row r="65" spans="1:26" ht="15" customHeight="1">
      <c r="A65" s="345"/>
      <c r="B65" s="344"/>
      <c r="C65" s="346"/>
      <c r="D65" s="346"/>
      <c r="E65" s="346"/>
      <c r="F65" s="84"/>
      <c r="G65" s="84"/>
      <c r="H65" s="84"/>
      <c r="I65" s="84"/>
      <c r="J65" s="84"/>
      <c r="K65" s="146">
        <f t="shared" si="0"/>
        <v>59</v>
      </c>
      <c r="L65" s="144" t="str">
        <f t="shared" si="1"/>
        <v>1757 SVEUČILIŠTE U ZAGREBU - FAKULTET ELEKTROTEHNIKE I RAČUNARSTVA</v>
      </c>
      <c r="M65" s="144">
        <v>1757</v>
      </c>
      <c r="N65" s="149" t="s">
        <v>416</v>
      </c>
      <c r="O65" s="148" t="s">
        <v>397</v>
      </c>
      <c r="P65" s="149" t="s">
        <v>417</v>
      </c>
      <c r="Q65" s="149" t="s">
        <v>275</v>
      </c>
      <c r="R65" s="150">
        <v>3276643</v>
      </c>
      <c r="S65" s="141" t="s">
        <v>418</v>
      </c>
      <c r="T65" s="142" t="s">
        <v>45</v>
      </c>
      <c r="U65" s="143" t="s">
        <v>44</v>
      </c>
      <c r="V65" s="84"/>
      <c r="W65" s="84"/>
      <c r="X65" s="84"/>
      <c r="Y65" s="84"/>
      <c r="Z65" s="84"/>
    </row>
    <row r="66" spans="1:26" ht="15">
      <c r="A66" s="345"/>
      <c r="B66" s="340"/>
      <c r="C66" s="343"/>
      <c r="D66" s="343"/>
      <c r="E66" s="343"/>
      <c r="F66" s="84"/>
      <c r="G66" s="84"/>
      <c r="H66" s="84"/>
      <c r="I66" s="84"/>
      <c r="J66" s="84"/>
      <c r="K66" s="146">
        <f t="shared" si="0"/>
        <v>60</v>
      </c>
      <c r="L66" s="144" t="str">
        <f t="shared" si="1"/>
        <v>6154 SVEUČILIŠTE U ZAGREBU - FAKULTET FILOZOFIJE I RELIGIJSKIH ZNANOSTI</v>
      </c>
      <c r="M66" s="144">
        <v>6154</v>
      </c>
      <c r="N66" s="147" t="s">
        <v>1719</v>
      </c>
      <c r="O66" s="148" t="s">
        <v>397</v>
      </c>
      <c r="P66" s="147" t="s">
        <v>419</v>
      </c>
      <c r="Q66" s="147" t="s">
        <v>275</v>
      </c>
      <c r="R66" s="145">
        <v>1235664</v>
      </c>
      <c r="S66" s="141" t="s">
        <v>420</v>
      </c>
      <c r="T66" s="142" t="s">
        <v>45</v>
      </c>
      <c r="U66" s="143" t="s">
        <v>44</v>
      </c>
      <c r="V66" s="84"/>
      <c r="W66" s="84"/>
      <c r="X66" s="84"/>
      <c r="Y66" s="84"/>
      <c r="Z66" s="84"/>
    </row>
    <row r="67" spans="1:26" ht="15">
      <c r="A67" s="342"/>
      <c r="B67" s="344"/>
      <c r="C67" s="343"/>
      <c r="D67" s="343"/>
      <c r="E67" s="343"/>
      <c r="F67" s="84"/>
      <c r="G67" s="84"/>
      <c r="H67" s="84"/>
      <c r="I67" s="84"/>
      <c r="J67" s="84"/>
      <c r="K67" s="146">
        <f t="shared" si="0"/>
        <v>61</v>
      </c>
      <c r="L67" s="144" t="str">
        <f t="shared" si="1"/>
        <v>51191 SVEUČILIŠTE U ZAGREBU - FAKULTET HRVATSKIH STUDIJA</v>
      </c>
      <c r="M67" s="144">
        <v>51191</v>
      </c>
      <c r="N67" s="147" t="s">
        <v>1720</v>
      </c>
      <c r="O67" s="148" t="s">
        <v>397</v>
      </c>
      <c r="P67" s="147" t="s">
        <v>1721</v>
      </c>
      <c r="Q67" s="147" t="s">
        <v>275</v>
      </c>
      <c r="R67" s="145">
        <v>5214068</v>
      </c>
      <c r="S67" s="141" t="s">
        <v>1722</v>
      </c>
      <c r="T67" s="142" t="s">
        <v>45</v>
      </c>
      <c r="U67" s="143" t="s">
        <v>44</v>
      </c>
      <c r="V67" s="84"/>
      <c r="W67" s="84"/>
      <c r="X67" s="84"/>
      <c r="Y67" s="84"/>
      <c r="Z67" s="84"/>
    </row>
    <row r="68" spans="1:26" ht="15">
      <c r="A68" s="340"/>
      <c r="B68" s="340"/>
      <c r="C68" s="341"/>
      <c r="D68" s="341"/>
      <c r="E68" s="341"/>
      <c r="F68" s="84"/>
      <c r="G68" s="84"/>
      <c r="H68" s="84"/>
      <c r="I68" s="84"/>
      <c r="J68" s="84"/>
      <c r="K68" s="146">
        <f t="shared" si="0"/>
        <v>62</v>
      </c>
      <c r="L68" s="144" t="str">
        <f t="shared" si="1"/>
        <v>1790 SVEUČILIŠTE U ZAGREBU - FAKULTET KEMIJSKOG INŽENJERSTVA I TEHNOLOGIJE</v>
      </c>
      <c r="M68" s="144">
        <v>1790</v>
      </c>
      <c r="N68" s="147" t="s">
        <v>423</v>
      </c>
      <c r="O68" s="148" t="s">
        <v>397</v>
      </c>
      <c r="P68" s="147" t="s">
        <v>424</v>
      </c>
      <c r="Q68" s="147" t="s">
        <v>275</v>
      </c>
      <c r="R68" s="145">
        <v>3250270</v>
      </c>
      <c r="S68" s="141" t="s">
        <v>425</v>
      </c>
      <c r="T68" s="142" t="s">
        <v>45</v>
      </c>
      <c r="U68" s="143" t="s">
        <v>44</v>
      </c>
      <c r="V68" s="84"/>
      <c r="W68" s="84"/>
      <c r="X68" s="84"/>
      <c r="Y68" s="84"/>
      <c r="Z68" s="84"/>
    </row>
    <row r="69" spans="1:26" ht="15">
      <c r="A69" s="334"/>
      <c r="B69" s="385"/>
      <c r="C69" s="384"/>
      <c r="D69" s="384"/>
      <c r="E69" s="384"/>
      <c r="F69" s="84"/>
      <c r="G69" s="84"/>
      <c r="H69" s="84"/>
      <c r="I69" s="84"/>
      <c r="J69" s="84"/>
      <c r="K69" s="146">
        <f t="shared" si="0"/>
        <v>63</v>
      </c>
      <c r="L69" s="144" t="str">
        <f t="shared" si="1"/>
        <v>1907 SVEUČILIŠTE U ZAGREBU - FAKULTET POLITIČKIH ZNANOSTI</v>
      </c>
      <c r="M69" s="144">
        <v>1907</v>
      </c>
      <c r="N69" s="147" t="s">
        <v>426</v>
      </c>
      <c r="O69" s="148" t="s">
        <v>397</v>
      </c>
      <c r="P69" s="147" t="s">
        <v>427</v>
      </c>
      <c r="Q69" s="147" t="s">
        <v>275</v>
      </c>
      <c r="R69" s="145">
        <v>3270262</v>
      </c>
      <c r="S69" s="141" t="s">
        <v>428</v>
      </c>
      <c r="T69" s="142" t="s">
        <v>45</v>
      </c>
      <c r="U69" s="143" t="s">
        <v>44</v>
      </c>
      <c r="V69" s="84"/>
      <c r="W69" s="84"/>
      <c r="X69" s="84"/>
      <c r="Y69" s="84"/>
      <c r="Z69" s="84"/>
    </row>
    <row r="70" spans="1:26" ht="15.75">
      <c r="A70" s="334"/>
      <c r="B70" s="383"/>
      <c r="C70" s="384"/>
      <c r="D70" s="384"/>
      <c r="E70" s="384"/>
      <c r="F70" s="84"/>
      <c r="G70" s="84"/>
      <c r="H70" s="84"/>
      <c r="I70" s="84"/>
      <c r="J70" s="84"/>
      <c r="K70" s="146">
        <f t="shared" si="0"/>
        <v>64</v>
      </c>
      <c r="L70" s="144" t="str">
        <f t="shared" si="1"/>
        <v>1812 SVEUČILIŠTE U ZAGREBU - FAKULTET PROMETNIH ZNANOSTI</v>
      </c>
      <c r="M70" s="144">
        <v>1812</v>
      </c>
      <c r="N70" s="147" t="s">
        <v>429</v>
      </c>
      <c r="O70" s="148" t="s">
        <v>397</v>
      </c>
      <c r="P70" s="147" t="s">
        <v>430</v>
      </c>
      <c r="Q70" s="147" t="s">
        <v>275</v>
      </c>
      <c r="R70" s="145">
        <v>3260771</v>
      </c>
      <c r="S70" s="141" t="s">
        <v>431</v>
      </c>
      <c r="T70" s="142" t="s">
        <v>45</v>
      </c>
      <c r="U70" s="143" t="s">
        <v>44</v>
      </c>
      <c r="V70" s="84"/>
      <c r="W70" s="84"/>
      <c r="X70" s="84"/>
      <c r="Y70" s="84"/>
      <c r="Z70" s="84"/>
    </row>
    <row r="71" spans="1:26" ht="15">
      <c r="A71" s="336"/>
      <c r="B71" s="336"/>
      <c r="C71" s="337"/>
      <c r="D71" s="337"/>
      <c r="E71" s="338"/>
      <c r="F71" s="84"/>
      <c r="G71" s="84"/>
      <c r="H71" s="84"/>
      <c r="I71" s="84"/>
      <c r="J71" s="84"/>
      <c r="K71" s="146">
        <f t="shared" si="0"/>
        <v>65</v>
      </c>
      <c r="L71" s="144" t="str">
        <f t="shared" si="1"/>
        <v>1829 SVEUČILIŠTE U ZAGREBU - FAKULTET STROJARSTVA I BRODOGRADNJE</v>
      </c>
      <c r="M71" s="144">
        <v>1829</v>
      </c>
      <c r="N71" s="147" t="s">
        <v>432</v>
      </c>
      <c r="O71" s="148" t="s">
        <v>397</v>
      </c>
      <c r="P71" s="147" t="s">
        <v>433</v>
      </c>
      <c r="Q71" s="147" t="s">
        <v>275</v>
      </c>
      <c r="R71" s="145">
        <v>3276546</v>
      </c>
      <c r="S71" s="141" t="s">
        <v>434</v>
      </c>
      <c r="T71" s="142" t="s">
        <v>45</v>
      </c>
      <c r="U71" s="143" t="s">
        <v>44</v>
      </c>
      <c r="V71" s="84"/>
      <c r="W71" s="84"/>
      <c r="X71" s="84"/>
      <c r="Y71" s="84"/>
      <c r="Z71" s="84"/>
    </row>
    <row r="72" spans="1:26" ht="15">
      <c r="A72" s="339"/>
      <c r="B72" s="339"/>
      <c r="C72" s="339"/>
      <c r="D72" s="339"/>
      <c r="E72" s="339"/>
      <c r="F72" s="84"/>
      <c r="G72" s="84"/>
      <c r="H72" s="84"/>
      <c r="I72" s="84"/>
      <c r="J72" s="84"/>
      <c r="K72" s="146">
        <f t="shared" ref="K72:K135" si="3">+K71+1</f>
        <v>66</v>
      </c>
      <c r="L72" s="144" t="str">
        <f t="shared" si="1"/>
        <v xml:space="preserve">2014 SVEUČILIŠTE U ZAGREBU - FARMACEUTSKO-BIOKEMIJSKI FAKULTET </v>
      </c>
      <c r="M72" s="144">
        <v>2014</v>
      </c>
      <c r="N72" s="147" t="s">
        <v>435</v>
      </c>
      <c r="O72" s="148" t="s">
        <v>397</v>
      </c>
      <c r="P72" s="147" t="s">
        <v>436</v>
      </c>
      <c r="Q72" s="147" t="s">
        <v>275</v>
      </c>
      <c r="R72" s="145">
        <v>3205037</v>
      </c>
      <c r="S72" s="141" t="s">
        <v>437</v>
      </c>
      <c r="T72" s="142" t="s">
        <v>45</v>
      </c>
      <c r="U72" s="143" t="s">
        <v>44</v>
      </c>
      <c r="V72" s="84"/>
      <c r="W72" s="84"/>
      <c r="X72" s="84"/>
      <c r="Y72" s="84"/>
      <c r="Z72" s="84"/>
    </row>
    <row r="73" spans="1:26" ht="15">
      <c r="A73" s="342"/>
      <c r="B73" s="340"/>
      <c r="C73" s="343"/>
      <c r="D73" s="343"/>
      <c r="E73" s="343"/>
      <c r="F73" s="84"/>
      <c r="G73" s="84"/>
      <c r="H73" s="84"/>
      <c r="I73" s="84"/>
      <c r="J73" s="84"/>
      <c r="K73" s="146">
        <f t="shared" si="3"/>
        <v>67</v>
      </c>
      <c r="L73" s="144" t="str">
        <f t="shared" ref="L73:L135" si="4">M73&amp;" "&amp;N73</f>
        <v>1958 SVEUČILIŠTE U ZAGREBU - FILOZOFSKI FAKULTET</v>
      </c>
      <c r="M73" s="144">
        <v>1958</v>
      </c>
      <c r="N73" s="147" t="s">
        <v>438</v>
      </c>
      <c r="O73" s="148" t="s">
        <v>397</v>
      </c>
      <c r="P73" s="147" t="s">
        <v>439</v>
      </c>
      <c r="Q73" s="147" t="s">
        <v>275</v>
      </c>
      <c r="R73" s="145">
        <v>3254852</v>
      </c>
      <c r="S73" s="141" t="s">
        <v>440</v>
      </c>
      <c r="T73" s="142" t="s">
        <v>45</v>
      </c>
      <c r="U73" s="143" t="s">
        <v>44</v>
      </c>
      <c r="V73" s="84"/>
      <c r="W73" s="84"/>
      <c r="X73" s="84"/>
      <c r="Y73" s="84"/>
      <c r="Z73" s="84"/>
    </row>
    <row r="74" spans="1:26" ht="15">
      <c r="A74" s="342"/>
      <c r="B74" s="340"/>
      <c r="C74" s="343"/>
      <c r="D74" s="343"/>
      <c r="E74" s="343"/>
      <c r="F74" s="84"/>
      <c r="G74" s="84"/>
      <c r="H74" s="84"/>
      <c r="I74" s="84"/>
      <c r="J74" s="84"/>
      <c r="K74" s="146">
        <f t="shared" si="3"/>
        <v>68</v>
      </c>
      <c r="L74" s="144" t="str">
        <f t="shared" si="4"/>
        <v>1853 SVEUČILIŠTE U ZAGREBU - GEODETSKI FAKULTET</v>
      </c>
      <c r="M74" s="144">
        <v>1853</v>
      </c>
      <c r="N74" s="147" t="s">
        <v>441</v>
      </c>
      <c r="O74" s="148" t="s">
        <v>397</v>
      </c>
      <c r="P74" s="147" t="s">
        <v>1723</v>
      </c>
      <c r="Q74" s="147" t="s">
        <v>275</v>
      </c>
      <c r="R74" s="145">
        <v>3204987</v>
      </c>
      <c r="S74" s="141" t="s">
        <v>442</v>
      </c>
      <c r="T74" s="142" t="s">
        <v>45</v>
      </c>
      <c r="U74" s="143" t="s">
        <v>44</v>
      </c>
      <c r="V74" s="84"/>
      <c r="W74" s="84"/>
      <c r="X74" s="84"/>
      <c r="Y74" s="84"/>
      <c r="Z74" s="84"/>
    </row>
    <row r="75" spans="1:26" ht="15">
      <c r="A75" s="336"/>
      <c r="B75" s="347"/>
      <c r="C75" s="343"/>
      <c r="D75" s="343"/>
      <c r="E75" s="343"/>
      <c r="F75" s="84"/>
      <c r="G75" s="84"/>
      <c r="H75" s="84"/>
      <c r="I75" s="84"/>
      <c r="J75" s="84"/>
      <c r="K75" s="146">
        <f t="shared" si="3"/>
        <v>69</v>
      </c>
      <c r="L75" s="144" t="str">
        <f t="shared" si="4"/>
        <v>2102 SVEUČILIŠTE U ZAGREBU - GEOTEHNIČKI FAKULTET</v>
      </c>
      <c r="M75" s="144">
        <v>2102</v>
      </c>
      <c r="N75" s="147" t="s">
        <v>443</v>
      </c>
      <c r="O75" s="148" t="s">
        <v>397</v>
      </c>
      <c r="P75" s="147" t="s">
        <v>444</v>
      </c>
      <c r="Q75" s="147" t="s">
        <v>445</v>
      </c>
      <c r="R75" s="145">
        <v>3042316</v>
      </c>
      <c r="S75" s="141" t="s">
        <v>446</v>
      </c>
      <c r="T75" s="142" t="s">
        <v>45</v>
      </c>
      <c r="U75" s="143" t="s">
        <v>44</v>
      </c>
      <c r="V75" s="84"/>
      <c r="W75" s="84"/>
      <c r="X75" s="84"/>
      <c r="Y75" s="84"/>
      <c r="Z75" s="84"/>
    </row>
    <row r="76" spans="1:26" ht="15" customHeight="1">
      <c r="A76" s="336"/>
      <c r="B76" s="347"/>
      <c r="C76" s="343"/>
      <c r="D76" s="343"/>
      <c r="E76" s="343"/>
      <c r="F76" s="84"/>
      <c r="G76" s="84"/>
      <c r="H76" s="84"/>
      <c r="I76" s="84"/>
      <c r="J76" s="84"/>
      <c r="K76" s="146">
        <f t="shared" si="3"/>
        <v>70</v>
      </c>
      <c r="L76" s="144" t="str">
        <f t="shared" si="4"/>
        <v>1837 SVEUČILIŠTE U ZAGREBU - GRAĐEVINSKI FAKULTET</v>
      </c>
      <c r="M76" s="144">
        <v>1837</v>
      </c>
      <c r="N76" s="147" t="s">
        <v>447</v>
      </c>
      <c r="O76" s="148" t="s">
        <v>397</v>
      </c>
      <c r="P76" s="147" t="s">
        <v>448</v>
      </c>
      <c r="Q76" s="147" t="s">
        <v>275</v>
      </c>
      <c r="R76" s="145">
        <v>3227120</v>
      </c>
      <c r="S76" s="141" t="s">
        <v>449</v>
      </c>
      <c r="T76" s="142" t="s">
        <v>45</v>
      </c>
      <c r="U76" s="143" t="s">
        <v>44</v>
      </c>
      <c r="V76" s="84"/>
      <c r="W76" s="84"/>
      <c r="X76" s="84"/>
      <c r="Y76" s="84"/>
      <c r="Z76" s="84"/>
    </row>
    <row r="77" spans="1:26" ht="15">
      <c r="A77" s="340"/>
      <c r="B77" s="340"/>
      <c r="C77" s="346"/>
      <c r="D77" s="346"/>
      <c r="E77" s="346"/>
      <c r="F77" s="84"/>
      <c r="G77" s="84"/>
      <c r="H77" s="84"/>
      <c r="I77" s="84"/>
      <c r="J77" s="84"/>
      <c r="K77" s="146">
        <f t="shared" si="3"/>
        <v>71</v>
      </c>
      <c r="L77" s="144" t="str">
        <f t="shared" si="4"/>
        <v>2080 SVEUČILIŠTE U ZAGREBU - GRAFIČKI FAKULTET</v>
      </c>
      <c r="M77" s="144">
        <v>2080</v>
      </c>
      <c r="N77" s="147" t="s">
        <v>450</v>
      </c>
      <c r="O77" s="148" t="s">
        <v>397</v>
      </c>
      <c r="P77" s="147" t="s">
        <v>451</v>
      </c>
      <c r="Q77" s="147" t="s">
        <v>275</v>
      </c>
      <c r="R77" s="145">
        <v>3219763</v>
      </c>
      <c r="S77" s="141" t="s">
        <v>452</v>
      </c>
      <c r="T77" s="142" t="s">
        <v>45</v>
      </c>
      <c r="U77" s="143" t="s">
        <v>44</v>
      </c>
      <c r="V77" s="84"/>
      <c r="W77" s="84"/>
      <c r="X77" s="84"/>
      <c r="Y77" s="84"/>
      <c r="Z77" s="84"/>
    </row>
    <row r="78" spans="1:26" ht="15">
      <c r="A78" s="334"/>
      <c r="B78" s="385"/>
      <c r="C78" s="384"/>
      <c r="D78" s="384"/>
      <c r="E78" s="384"/>
      <c r="F78" s="84"/>
      <c r="G78" s="84"/>
      <c r="H78" s="84"/>
      <c r="I78" s="84"/>
      <c r="J78" s="84"/>
      <c r="K78" s="146">
        <f t="shared" si="3"/>
        <v>72</v>
      </c>
      <c r="L78" s="144" t="str">
        <f t="shared" si="4"/>
        <v xml:space="preserve">2135 SVEUČILIŠTE U ZAGREBU - KATOLIČKI BOGOSLOVNI FAKULTET </v>
      </c>
      <c r="M78" s="144">
        <v>2135</v>
      </c>
      <c r="N78" s="147" t="s">
        <v>421</v>
      </c>
      <c r="O78" s="148" t="s">
        <v>397</v>
      </c>
      <c r="P78" s="147" t="s">
        <v>422</v>
      </c>
      <c r="Q78" s="147" t="s">
        <v>275</v>
      </c>
      <c r="R78" s="145">
        <v>3703088</v>
      </c>
      <c r="S78" s="141">
        <v>48987767944</v>
      </c>
      <c r="T78" s="142" t="s">
        <v>45</v>
      </c>
      <c r="U78" s="143" t="s">
        <v>44</v>
      </c>
      <c r="V78" s="84"/>
      <c r="W78" s="84"/>
      <c r="X78" s="84"/>
      <c r="Y78" s="84"/>
      <c r="Z78" s="84"/>
    </row>
    <row r="79" spans="1:26" ht="15">
      <c r="A79" s="348"/>
      <c r="B79" s="348"/>
      <c r="C79" s="349"/>
      <c r="D79" s="349"/>
      <c r="E79" s="349"/>
      <c r="F79" s="84"/>
      <c r="G79" s="84"/>
      <c r="H79" s="84"/>
      <c r="I79" s="84"/>
      <c r="J79" s="84"/>
      <c r="K79" s="146">
        <f t="shared" si="3"/>
        <v>73</v>
      </c>
      <c r="L79" s="144" t="str">
        <f t="shared" si="4"/>
        <v>2006 SVEUČILIŠTE U ZAGREBU - KINEZIOLOŠKI FAKULTET</v>
      </c>
      <c r="M79" s="144">
        <v>2006</v>
      </c>
      <c r="N79" s="147" t="s">
        <v>453</v>
      </c>
      <c r="O79" s="148" t="s">
        <v>397</v>
      </c>
      <c r="P79" s="147" t="s">
        <v>454</v>
      </c>
      <c r="Q79" s="147" t="s">
        <v>275</v>
      </c>
      <c r="R79" s="145">
        <v>3274080</v>
      </c>
      <c r="S79" s="141" t="s">
        <v>455</v>
      </c>
      <c r="T79" s="142" t="s">
        <v>45</v>
      </c>
      <c r="U79" s="143" t="s">
        <v>44</v>
      </c>
      <c r="V79" s="84"/>
      <c r="W79" s="84"/>
      <c r="X79" s="84"/>
      <c r="Y79" s="84"/>
      <c r="Z79" s="84"/>
    </row>
    <row r="80" spans="1:26" ht="15">
      <c r="A80" s="337"/>
      <c r="B80" s="337"/>
      <c r="C80" s="337"/>
      <c r="D80" s="337"/>
      <c r="E80" s="337"/>
      <c r="F80" s="84"/>
      <c r="G80" s="84"/>
      <c r="H80" s="84"/>
      <c r="I80" s="84"/>
      <c r="J80" s="84"/>
      <c r="K80" s="146">
        <f t="shared" si="3"/>
        <v>74</v>
      </c>
      <c r="L80" s="144" t="str">
        <f t="shared" si="4"/>
        <v>1888 SVEUČILIŠTE U ZAGREBU - MEDICINSKI FAKULTET</v>
      </c>
      <c r="M80" s="144">
        <v>1888</v>
      </c>
      <c r="N80" s="147" t="s">
        <v>456</v>
      </c>
      <c r="O80" s="148" t="s">
        <v>397</v>
      </c>
      <c r="P80" s="147" t="s">
        <v>457</v>
      </c>
      <c r="Q80" s="147" t="s">
        <v>275</v>
      </c>
      <c r="R80" s="145">
        <v>3270211</v>
      </c>
      <c r="S80" s="141" t="s">
        <v>458</v>
      </c>
      <c r="T80" s="142" t="s">
        <v>45</v>
      </c>
      <c r="U80" s="143" t="s">
        <v>44</v>
      </c>
      <c r="V80" s="84"/>
      <c r="W80" s="84"/>
      <c r="X80" s="84"/>
      <c r="Y80" s="84"/>
      <c r="Z80" s="84"/>
    </row>
    <row r="81" spans="1:26" ht="1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146">
        <f t="shared" si="3"/>
        <v>75</v>
      </c>
      <c r="L81" s="144" t="str">
        <f t="shared" si="4"/>
        <v>2071 SVEUČILIŠTE U ZAGREBU - METALURŠKI FAKULTET SISAK</v>
      </c>
      <c r="M81" s="144">
        <v>2071</v>
      </c>
      <c r="N81" s="147" t="s">
        <v>459</v>
      </c>
      <c r="O81" s="148" t="s">
        <v>397</v>
      </c>
      <c r="P81" s="147" t="s">
        <v>460</v>
      </c>
      <c r="Q81" s="147" t="s">
        <v>1724</v>
      </c>
      <c r="R81" s="145">
        <v>3313786</v>
      </c>
      <c r="S81" s="141" t="s">
        <v>461</v>
      </c>
      <c r="T81" s="142" t="s">
        <v>45</v>
      </c>
      <c r="U81" s="143" t="s">
        <v>44</v>
      </c>
      <c r="V81" s="84"/>
      <c r="W81" s="84"/>
      <c r="X81" s="84"/>
      <c r="Y81" s="84"/>
      <c r="Z81" s="84"/>
    </row>
    <row r="82" spans="1:26" ht="1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146">
        <f t="shared" si="3"/>
        <v>76</v>
      </c>
      <c r="L82" s="144" t="str">
        <f t="shared" si="4"/>
        <v>1999 SVEUČILIŠTE U ZAGREBU - MUZIČKA AKADEMIJA</v>
      </c>
      <c r="M82" s="144">
        <v>1999</v>
      </c>
      <c r="N82" s="147" t="s">
        <v>462</v>
      </c>
      <c r="O82" s="148" t="s">
        <v>397</v>
      </c>
      <c r="P82" s="147" t="s">
        <v>1725</v>
      </c>
      <c r="Q82" s="147" t="s">
        <v>275</v>
      </c>
      <c r="R82" s="145">
        <v>3205002</v>
      </c>
      <c r="S82" s="141" t="s">
        <v>463</v>
      </c>
      <c r="T82" s="142" t="s">
        <v>45</v>
      </c>
      <c r="U82" s="143" t="s">
        <v>44</v>
      </c>
      <c r="V82" s="84"/>
      <c r="W82" s="84"/>
      <c r="X82" s="84"/>
      <c r="Y82" s="84"/>
      <c r="Z82" s="84"/>
    </row>
    <row r="83" spans="1:26" ht="1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146">
        <f t="shared" si="3"/>
        <v>77</v>
      </c>
      <c r="L83" s="144" t="str">
        <f t="shared" si="4"/>
        <v>1915 SVEUČILIŠTE U ZAGREBU - PRAVNI FAKULTET</v>
      </c>
      <c r="M83" s="152">
        <v>1915</v>
      </c>
      <c r="N83" s="147" t="s">
        <v>464</v>
      </c>
      <c r="O83" s="148" t="s">
        <v>397</v>
      </c>
      <c r="P83" s="147" t="s">
        <v>465</v>
      </c>
      <c r="Q83" s="147" t="s">
        <v>275</v>
      </c>
      <c r="R83" s="145">
        <v>3225909</v>
      </c>
      <c r="S83" s="141" t="s">
        <v>466</v>
      </c>
      <c r="T83" s="142" t="s">
        <v>45</v>
      </c>
      <c r="U83" s="143" t="s">
        <v>44</v>
      </c>
      <c r="V83" s="84"/>
      <c r="W83" s="84"/>
      <c r="X83" s="84"/>
      <c r="Y83" s="84"/>
      <c r="Z83" s="84"/>
    </row>
    <row r="84" spans="1:26" ht="1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146">
        <f t="shared" si="3"/>
        <v>78</v>
      </c>
      <c r="L84" s="144" t="str">
        <f t="shared" si="4"/>
        <v>1845 SVEUČILIŠTE U ZAGREBU - PREHRAMBENO BIOTEHNOLOŠKI FAKULTET</v>
      </c>
      <c r="M84" s="144">
        <v>1845</v>
      </c>
      <c r="N84" s="147" t="s">
        <v>467</v>
      </c>
      <c r="O84" s="148" t="s">
        <v>397</v>
      </c>
      <c r="P84" s="147" t="s">
        <v>473</v>
      </c>
      <c r="Q84" s="147" t="s">
        <v>275</v>
      </c>
      <c r="R84" s="145">
        <v>3207102</v>
      </c>
      <c r="S84" s="141" t="s">
        <v>468</v>
      </c>
      <c r="T84" s="142" t="s">
        <v>45</v>
      </c>
      <c r="U84" s="143" t="s">
        <v>44</v>
      </c>
      <c r="V84" s="84"/>
      <c r="W84" s="84"/>
      <c r="X84" s="84"/>
      <c r="Y84" s="84"/>
      <c r="Z84" s="84"/>
    </row>
    <row r="85" spans="1:26" ht="1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146">
        <f t="shared" si="3"/>
        <v>79</v>
      </c>
      <c r="L85" s="144" t="str">
        <f t="shared" si="4"/>
        <v>1781 SVEUČILIŠTE U ZAGREBU - PRIRODOSLOVNO-MATEMATIČKI FAKULTET</v>
      </c>
      <c r="M85" s="144">
        <v>1781</v>
      </c>
      <c r="N85" s="147" t="s">
        <v>469</v>
      </c>
      <c r="O85" s="148" t="s">
        <v>397</v>
      </c>
      <c r="P85" s="147" t="s">
        <v>470</v>
      </c>
      <c r="Q85" s="147" t="s">
        <v>275</v>
      </c>
      <c r="R85" s="145">
        <v>3270149</v>
      </c>
      <c r="S85" s="141" t="s">
        <v>471</v>
      </c>
      <c r="T85" s="142" t="s">
        <v>45</v>
      </c>
      <c r="U85" s="143" t="s">
        <v>44</v>
      </c>
      <c r="V85" s="84"/>
      <c r="W85" s="84"/>
      <c r="X85" s="84"/>
      <c r="Y85" s="84"/>
      <c r="Z85" s="84"/>
    </row>
    <row r="86" spans="1:26" ht="1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146">
        <f t="shared" si="3"/>
        <v>80</v>
      </c>
      <c r="L86" s="144" t="str">
        <f t="shared" si="4"/>
        <v>2047 SVEUČILIŠTE U ZAGREBU - RUDARSKO-GEOLOŠKO-NAFTNI FAKULTET</v>
      </c>
      <c r="M86" s="144">
        <v>2047</v>
      </c>
      <c r="N86" s="147" t="s">
        <v>472</v>
      </c>
      <c r="O86" s="148" t="s">
        <v>397</v>
      </c>
      <c r="P86" s="153" t="s">
        <v>473</v>
      </c>
      <c r="Q86" s="153" t="s">
        <v>275</v>
      </c>
      <c r="R86" s="145">
        <v>3207005</v>
      </c>
      <c r="S86" s="141" t="s">
        <v>474</v>
      </c>
      <c r="T86" s="142" t="s">
        <v>45</v>
      </c>
      <c r="U86" s="143" t="s">
        <v>44</v>
      </c>
      <c r="V86" s="84"/>
      <c r="W86" s="84"/>
      <c r="X86" s="84"/>
      <c r="Y86" s="84"/>
      <c r="Z86" s="84"/>
    </row>
    <row r="87" spans="1:26" ht="1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146">
        <f t="shared" si="3"/>
        <v>81</v>
      </c>
      <c r="L87" s="144" t="str">
        <f t="shared" si="4"/>
        <v>1870 SVEUČILIŠTE U ZAGREBU - STOMATOLOŠKI FAKULTET</v>
      </c>
      <c r="M87" s="144">
        <v>1870</v>
      </c>
      <c r="N87" s="147" t="s">
        <v>475</v>
      </c>
      <c r="O87" s="148" t="s">
        <v>397</v>
      </c>
      <c r="P87" s="147" t="s">
        <v>476</v>
      </c>
      <c r="Q87" s="147" t="s">
        <v>275</v>
      </c>
      <c r="R87" s="145">
        <v>3204995</v>
      </c>
      <c r="S87" s="141" t="s">
        <v>477</v>
      </c>
      <c r="T87" s="142" t="s">
        <v>45</v>
      </c>
      <c r="U87" s="143" t="s">
        <v>44</v>
      </c>
      <c r="V87" s="84"/>
      <c r="W87" s="84"/>
      <c r="X87" s="84"/>
      <c r="Y87" s="84"/>
      <c r="Z87" s="84"/>
    </row>
    <row r="88" spans="1:26" ht="1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146">
        <f t="shared" si="3"/>
        <v>82</v>
      </c>
      <c r="L88" s="144" t="str">
        <f t="shared" si="4"/>
        <v>1896 SVEUČILIŠTE U ZAGREBU - FAKULTET ŠUMARSTVA I DRVNE TEHNOLOGIJE</v>
      </c>
      <c r="M88" s="144">
        <v>1896</v>
      </c>
      <c r="N88" s="147" t="s">
        <v>1771</v>
      </c>
      <c r="O88" s="148" t="s">
        <v>397</v>
      </c>
      <c r="P88" s="147" t="s">
        <v>400</v>
      </c>
      <c r="Q88" s="147" t="s">
        <v>275</v>
      </c>
      <c r="R88" s="145">
        <v>3281485</v>
      </c>
      <c r="S88" s="141" t="s">
        <v>478</v>
      </c>
      <c r="T88" s="142" t="s">
        <v>45</v>
      </c>
      <c r="U88" s="143" t="s">
        <v>44</v>
      </c>
      <c r="V88" s="84"/>
      <c r="W88" s="84"/>
      <c r="X88" s="84"/>
      <c r="Y88" s="84"/>
      <c r="Z88" s="84"/>
    </row>
    <row r="89" spans="1:26" ht="1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146">
        <f t="shared" si="3"/>
        <v>83</v>
      </c>
      <c r="L89" s="144" t="str">
        <f t="shared" si="4"/>
        <v>1804 SVEUČILIŠTE U ZAGREBU - TEKSTILNO TEHNOLOŠKI FAKULTET</v>
      </c>
      <c r="M89" s="144">
        <v>1804</v>
      </c>
      <c r="N89" s="147" t="s">
        <v>479</v>
      </c>
      <c r="O89" s="148" t="s">
        <v>397</v>
      </c>
      <c r="P89" s="147" t="s">
        <v>480</v>
      </c>
      <c r="Q89" s="147" t="s">
        <v>275</v>
      </c>
      <c r="R89" s="145">
        <v>3207064</v>
      </c>
      <c r="S89" s="141" t="s">
        <v>481</v>
      </c>
      <c r="T89" s="142" t="s">
        <v>45</v>
      </c>
      <c r="U89" s="143" t="s">
        <v>44</v>
      </c>
      <c r="V89" s="84"/>
      <c r="W89" s="84"/>
      <c r="X89" s="84"/>
      <c r="Y89" s="84"/>
      <c r="Z89" s="84"/>
    </row>
    <row r="90" spans="1:26" ht="1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146">
        <f t="shared" si="3"/>
        <v>84</v>
      </c>
      <c r="L90" s="144" t="str">
        <f t="shared" si="4"/>
        <v>1940 SVEUČILIŠTE U ZAGREBU - UČITELJSKI FAKULTET</v>
      </c>
      <c r="M90" s="144">
        <v>1940</v>
      </c>
      <c r="N90" s="147" t="s">
        <v>482</v>
      </c>
      <c r="O90" s="148" t="s">
        <v>397</v>
      </c>
      <c r="P90" s="147" t="s">
        <v>483</v>
      </c>
      <c r="Q90" s="147" t="s">
        <v>275</v>
      </c>
      <c r="R90" s="145">
        <v>1422545</v>
      </c>
      <c r="S90" s="141" t="s">
        <v>484</v>
      </c>
      <c r="T90" s="142" t="s">
        <v>45</v>
      </c>
      <c r="U90" s="143" t="s">
        <v>44</v>
      </c>
      <c r="V90" s="84"/>
      <c r="W90" s="84"/>
      <c r="X90" s="84"/>
      <c r="Y90" s="84"/>
      <c r="Z90" s="84"/>
    </row>
    <row r="91" spans="1:26" ht="1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146">
        <f t="shared" si="3"/>
        <v>85</v>
      </c>
      <c r="L91" s="144" t="str">
        <f t="shared" si="4"/>
        <v>2022 SVEUČILIŠTE U ZAGREBU - VETERINARSKI FAKULTET</v>
      </c>
      <c r="M91" s="144">
        <v>2022</v>
      </c>
      <c r="N91" s="147" t="s">
        <v>485</v>
      </c>
      <c r="O91" s="148" t="s">
        <v>397</v>
      </c>
      <c r="P91" s="147" t="s">
        <v>486</v>
      </c>
      <c r="Q91" s="147" t="s">
        <v>275</v>
      </c>
      <c r="R91" s="145">
        <v>3225755</v>
      </c>
      <c r="S91" s="141" t="s">
        <v>487</v>
      </c>
      <c r="T91" s="142" t="s">
        <v>45</v>
      </c>
      <c r="U91" s="143" t="s">
        <v>44</v>
      </c>
      <c r="V91" s="84"/>
      <c r="W91" s="84"/>
      <c r="X91" s="84"/>
      <c r="Y91" s="84"/>
      <c r="Z91" s="84"/>
    </row>
    <row r="92" spans="1:26" ht="1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146">
        <f t="shared" si="3"/>
        <v>86</v>
      </c>
      <c r="L92" s="144" t="str">
        <f t="shared" si="4"/>
        <v>22427 TEHNIČKO VELEUČILIŠTE U ZAGREBU</v>
      </c>
      <c r="M92" s="144">
        <v>22427</v>
      </c>
      <c r="N92" s="147" t="s">
        <v>496</v>
      </c>
      <c r="O92" s="148" t="s">
        <v>492</v>
      </c>
      <c r="P92" s="147" t="s">
        <v>497</v>
      </c>
      <c r="Q92" s="147" t="s">
        <v>275</v>
      </c>
      <c r="R92" s="145">
        <v>1398270</v>
      </c>
      <c r="S92" s="141" t="s">
        <v>498</v>
      </c>
      <c r="T92" s="142" t="s">
        <v>45</v>
      </c>
      <c r="U92" s="143" t="s">
        <v>44</v>
      </c>
      <c r="V92" s="84"/>
      <c r="W92" s="84"/>
      <c r="X92" s="84"/>
      <c r="Y92" s="84"/>
      <c r="Z92" s="84"/>
    </row>
    <row r="93" spans="1:26" ht="1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146">
        <f t="shared" si="3"/>
        <v>87</v>
      </c>
      <c r="L93" s="144" t="str">
        <f t="shared" si="4"/>
        <v>50848 VELEUČILIŠTE HRVATSKO ZAGORJE KRAPINA</v>
      </c>
      <c r="M93" s="144">
        <v>50848</v>
      </c>
      <c r="N93" s="147" t="s">
        <v>1726</v>
      </c>
      <c r="O93" s="148" t="s">
        <v>492</v>
      </c>
      <c r="P93" s="147" t="s">
        <v>1727</v>
      </c>
      <c r="Q93" s="147" t="s">
        <v>1728</v>
      </c>
      <c r="R93" s="145">
        <v>2271354</v>
      </c>
      <c r="S93" s="141" t="s">
        <v>1729</v>
      </c>
      <c r="T93" s="142" t="s">
        <v>45</v>
      </c>
      <c r="U93" s="143" t="s">
        <v>44</v>
      </c>
      <c r="V93" s="84"/>
      <c r="W93" s="84"/>
      <c r="X93" s="84"/>
      <c r="Y93" s="84"/>
      <c r="Z93" s="84"/>
    </row>
    <row r="94" spans="1:26" ht="1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146">
        <f t="shared" si="3"/>
        <v>88</v>
      </c>
      <c r="L94" s="144" t="str">
        <f t="shared" si="4"/>
        <v>38446 VELEUČILIŠTE LAVOSLAV RUŽIČKA U VUKOVARU</v>
      </c>
      <c r="M94" s="144">
        <v>38446</v>
      </c>
      <c r="N94" s="147" t="s">
        <v>499</v>
      </c>
      <c r="O94" s="148" t="s">
        <v>492</v>
      </c>
      <c r="P94" s="147" t="s">
        <v>500</v>
      </c>
      <c r="Q94" s="147" t="s">
        <v>501</v>
      </c>
      <c r="R94" s="145">
        <v>1970828</v>
      </c>
      <c r="S94" s="141" t="s">
        <v>502</v>
      </c>
      <c r="T94" s="142" t="s">
        <v>45</v>
      </c>
      <c r="U94" s="143" t="s">
        <v>44</v>
      </c>
      <c r="V94" s="84"/>
      <c r="W94" s="84"/>
      <c r="X94" s="84"/>
      <c r="Y94" s="84"/>
      <c r="Z94" s="84"/>
    </row>
    <row r="95" spans="1:26" ht="1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146">
        <f t="shared" si="3"/>
        <v>89</v>
      </c>
      <c r="L95" s="144" t="str">
        <f t="shared" si="4"/>
        <v>38438 VELEUČILIŠTE MARKO MARULIĆ U KNINU</v>
      </c>
      <c r="M95" s="144">
        <v>38438</v>
      </c>
      <c r="N95" s="147" t="s">
        <v>503</v>
      </c>
      <c r="O95" s="148" t="s">
        <v>492</v>
      </c>
      <c r="P95" s="147" t="s">
        <v>504</v>
      </c>
      <c r="Q95" s="147" t="s">
        <v>505</v>
      </c>
      <c r="R95" s="145">
        <v>1963813</v>
      </c>
      <c r="S95" s="141" t="s">
        <v>506</v>
      </c>
      <c r="T95" s="142" t="s">
        <v>45</v>
      </c>
      <c r="U95" s="143" t="s">
        <v>44</v>
      </c>
      <c r="V95" s="84"/>
      <c r="W95" s="84"/>
      <c r="X95" s="84"/>
      <c r="Y95" s="84"/>
      <c r="Z95" s="84"/>
    </row>
    <row r="96" spans="1:26" ht="1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146">
        <f t="shared" si="3"/>
        <v>90</v>
      </c>
      <c r="L96" s="144" t="str">
        <f t="shared" si="4"/>
        <v>41185 VELEUČILIŠTE NIKOLA TESLA U GOSPIĆU</v>
      </c>
      <c r="M96" s="144">
        <v>41185</v>
      </c>
      <c r="N96" s="147" t="s">
        <v>507</v>
      </c>
      <c r="O96" s="148" t="s">
        <v>492</v>
      </c>
      <c r="P96" s="147" t="s">
        <v>508</v>
      </c>
      <c r="Q96" s="147" t="s">
        <v>509</v>
      </c>
      <c r="R96" s="151">
        <v>2103133</v>
      </c>
      <c r="S96" s="141" t="s">
        <v>510</v>
      </c>
      <c r="T96" s="142" t="s">
        <v>45</v>
      </c>
      <c r="U96" s="143" t="s">
        <v>44</v>
      </c>
      <c r="V96" s="84"/>
      <c r="W96" s="84"/>
      <c r="X96" s="84"/>
      <c r="Y96" s="84"/>
      <c r="Z96" s="84"/>
    </row>
    <row r="97" spans="1:26" ht="1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146">
        <f t="shared" si="3"/>
        <v>91</v>
      </c>
      <c r="L97" s="144" t="str">
        <f t="shared" si="4"/>
        <v>21053 VELEUČILIŠTE U KARLOVCU</v>
      </c>
      <c r="M97" s="144">
        <v>21053</v>
      </c>
      <c r="N97" s="147" t="s">
        <v>511</v>
      </c>
      <c r="O97" s="148" t="s">
        <v>492</v>
      </c>
      <c r="P97" s="147" t="s">
        <v>512</v>
      </c>
      <c r="Q97" s="147" t="s">
        <v>513</v>
      </c>
      <c r="R97" s="145">
        <v>1286030</v>
      </c>
      <c r="S97" s="141" t="s">
        <v>514</v>
      </c>
      <c r="T97" s="142" t="s">
        <v>45</v>
      </c>
      <c r="U97" s="143" t="s">
        <v>44</v>
      </c>
      <c r="V97" s="84"/>
      <c r="W97" s="84"/>
      <c r="X97" s="84"/>
      <c r="Y97" s="84"/>
      <c r="Z97" s="84"/>
    </row>
    <row r="98" spans="1:26" ht="15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146">
        <f t="shared" si="3"/>
        <v>92</v>
      </c>
      <c r="L98" s="144" t="str">
        <f t="shared" si="4"/>
        <v>22494 VELEUČILIŠTE U RIJECI</v>
      </c>
      <c r="M98" s="144">
        <v>22494</v>
      </c>
      <c r="N98" s="147" t="s">
        <v>519</v>
      </c>
      <c r="O98" s="148" t="s">
        <v>492</v>
      </c>
      <c r="P98" s="147" t="s">
        <v>520</v>
      </c>
      <c r="Q98" s="147" t="s">
        <v>320</v>
      </c>
      <c r="R98" s="145">
        <v>1387332</v>
      </c>
      <c r="S98" s="141" t="s">
        <v>521</v>
      </c>
      <c r="T98" s="142" t="s">
        <v>45</v>
      </c>
      <c r="U98" s="143" t="s">
        <v>44</v>
      </c>
      <c r="V98" s="84"/>
      <c r="W98" s="84"/>
      <c r="X98" s="84"/>
      <c r="Y98" s="84"/>
      <c r="Z98" s="84"/>
    </row>
    <row r="99" spans="1:26" ht="15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146">
        <f t="shared" si="3"/>
        <v>93</v>
      </c>
      <c r="L99" s="144" t="str">
        <f t="shared" si="4"/>
        <v>22824 VELEUČILIŠTE U ŠIBENIKU</v>
      </c>
      <c r="M99" s="144">
        <v>22824</v>
      </c>
      <c r="N99" s="147" t="s">
        <v>522</v>
      </c>
      <c r="O99" s="148" t="s">
        <v>492</v>
      </c>
      <c r="P99" s="147" t="s">
        <v>523</v>
      </c>
      <c r="Q99" s="147" t="s">
        <v>524</v>
      </c>
      <c r="R99" s="145">
        <v>2100673</v>
      </c>
      <c r="S99" s="141" t="s">
        <v>525</v>
      </c>
      <c r="T99" s="142" t="s">
        <v>45</v>
      </c>
      <c r="U99" s="143" t="s">
        <v>44</v>
      </c>
      <c r="V99" s="84"/>
      <c r="W99" s="84"/>
      <c r="X99" s="84"/>
      <c r="Y99" s="84"/>
      <c r="Z99" s="84"/>
    </row>
    <row r="100" spans="1:26" ht="15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146">
        <f t="shared" si="3"/>
        <v>94</v>
      </c>
      <c r="L100" s="144" t="str">
        <f t="shared" si="4"/>
        <v>42993 VELEUČILIŠTE U VIROVITICI</v>
      </c>
      <c r="M100" s="144">
        <v>42993</v>
      </c>
      <c r="N100" s="147" t="s">
        <v>1772</v>
      </c>
      <c r="O100" s="148" t="s">
        <v>492</v>
      </c>
      <c r="P100" s="147" t="s">
        <v>526</v>
      </c>
      <c r="Q100" s="147" t="s">
        <v>527</v>
      </c>
      <c r="R100" s="145">
        <v>2282208</v>
      </c>
      <c r="S100" s="141" t="s">
        <v>528</v>
      </c>
      <c r="T100" s="142" t="s">
        <v>45</v>
      </c>
      <c r="U100" s="143" t="s">
        <v>44</v>
      </c>
      <c r="V100" s="84"/>
      <c r="W100" s="84"/>
      <c r="X100" s="84"/>
      <c r="Y100" s="84"/>
      <c r="Z100" s="84"/>
    </row>
    <row r="101" spans="1:26" ht="15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146">
        <f t="shared" si="3"/>
        <v>95</v>
      </c>
      <c r="L101" s="144" t="str">
        <f t="shared" si="4"/>
        <v>22371 VISOKO GOSPODARSKO UČILIŠTE U KRIŽEVCIMA</v>
      </c>
      <c r="M101" s="144">
        <v>22371</v>
      </c>
      <c r="N101" s="147" t="s">
        <v>529</v>
      </c>
      <c r="O101" s="148" t="s">
        <v>492</v>
      </c>
      <c r="P101" s="147" t="s">
        <v>530</v>
      </c>
      <c r="Q101" s="147" t="s">
        <v>531</v>
      </c>
      <c r="R101" s="145">
        <v>1411942</v>
      </c>
      <c r="S101" s="141" t="s">
        <v>532</v>
      </c>
      <c r="T101" s="142" t="s">
        <v>45</v>
      </c>
      <c r="U101" s="143" t="s">
        <v>44</v>
      </c>
      <c r="V101" s="84"/>
      <c r="W101" s="84"/>
      <c r="X101" s="84"/>
      <c r="Y101" s="84"/>
      <c r="Z101" s="84"/>
    </row>
    <row r="102" spans="1:26" ht="15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146">
        <f t="shared" si="3"/>
        <v>96</v>
      </c>
      <c r="L102" s="144" t="str">
        <f t="shared" si="4"/>
        <v>22832 ZDRAVSTVENO VELEUČILIŠTE</v>
      </c>
      <c r="M102" s="144">
        <v>22832</v>
      </c>
      <c r="N102" s="147" t="s">
        <v>533</v>
      </c>
      <c r="O102" s="148" t="s">
        <v>492</v>
      </c>
      <c r="P102" s="147" t="s">
        <v>534</v>
      </c>
      <c r="Q102" s="147" t="s">
        <v>275</v>
      </c>
      <c r="R102" s="145">
        <v>1274597</v>
      </c>
      <c r="S102" s="141" t="s">
        <v>535</v>
      </c>
      <c r="T102" s="142" t="s">
        <v>45</v>
      </c>
      <c r="U102" s="143" t="s">
        <v>44</v>
      </c>
      <c r="V102" s="84"/>
      <c r="W102" s="84"/>
      <c r="X102" s="84"/>
      <c r="Y102" s="84"/>
      <c r="Z102" s="84"/>
    </row>
    <row r="103" spans="1:26" ht="15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146">
        <f t="shared" si="3"/>
        <v>97</v>
      </c>
      <c r="L103" s="144" t="str">
        <f t="shared" si="4"/>
        <v>2918 EKONOMSKI INSTITUT ZAGREB</v>
      </c>
      <c r="M103" s="144">
        <v>2918</v>
      </c>
      <c r="N103" s="147" t="s">
        <v>537</v>
      </c>
      <c r="O103" s="148" t="s">
        <v>492</v>
      </c>
      <c r="P103" s="147" t="s">
        <v>538</v>
      </c>
      <c r="Q103" s="147" t="s">
        <v>275</v>
      </c>
      <c r="R103" s="145">
        <v>3219925</v>
      </c>
      <c r="S103" s="141" t="s">
        <v>539</v>
      </c>
      <c r="T103" s="142" t="s">
        <v>654</v>
      </c>
      <c r="U103" s="143" t="s">
        <v>536</v>
      </c>
      <c r="V103" s="84"/>
      <c r="W103" s="84"/>
      <c r="X103" s="84"/>
      <c r="Y103" s="84"/>
      <c r="Z103" s="84"/>
    </row>
    <row r="104" spans="1:26" ht="15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146">
        <f t="shared" si="3"/>
        <v>98</v>
      </c>
      <c r="L104" s="144" t="str">
        <f t="shared" si="4"/>
        <v xml:space="preserve">22525 HRVATSKI GEOLOŠKI INSTITUT </v>
      </c>
      <c r="M104" s="144">
        <v>22525</v>
      </c>
      <c r="N104" s="147" t="s">
        <v>567</v>
      </c>
      <c r="O104" s="148" t="s">
        <v>492</v>
      </c>
      <c r="P104" s="147" t="s">
        <v>568</v>
      </c>
      <c r="Q104" s="147" t="s">
        <v>275</v>
      </c>
      <c r="R104" s="145">
        <v>3219518</v>
      </c>
      <c r="S104" s="141" t="s">
        <v>569</v>
      </c>
      <c r="T104" s="142" t="s">
        <v>654</v>
      </c>
      <c r="U104" s="143" t="s">
        <v>536</v>
      </c>
      <c r="V104" s="84"/>
      <c r="W104" s="84"/>
      <c r="X104" s="84"/>
      <c r="Y104" s="84"/>
      <c r="Z104" s="84"/>
    </row>
    <row r="105" spans="1:26" ht="15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146">
        <f t="shared" si="3"/>
        <v>99</v>
      </c>
      <c r="L105" s="144" t="str">
        <f t="shared" si="4"/>
        <v>2934 HRVATSKI INSTITUT ZA POVIJEST</v>
      </c>
      <c r="M105" s="144">
        <v>2934</v>
      </c>
      <c r="N105" s="147" t="s">
        <v>540</v>
      </c>
      <c r="O105" s="148" t="s">
        <v>492</v>
      </c>
      <c r="P105" s="147" t="s">
        <v>541</v>
      </c>
      <c r="Q105" s="147" t="s">
        <v>275</v>
      </c>
      <c r="R105" s="145">
        <v>3207153</v>
      </c>
      <c r="S105" s="141" t="s">
        <v>542</v>
      </c>
      <c r="T105" s="142" t="s">
        <v>654</v>
      </c>
      <c r="U105" s="143" t="s">
        <v>536</v>
      </c>
      <c r="V105" s="84"/>
      <c r="W105" s="84"/>
      <c r="X105" s="84"/>
      <c r="Y105" s="84"/>
      <c r="Z105" s="84"/>
    </row>
    <row r="106" spans="1:26" ht="15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146">
        <f t="shared" si="3"/>
        <v>100</v>
      </c>
      <c r="L106" s="144" t="str">
        <f t="shared" si="4"/>
        <v>2967 HRVATSKI ŠUMARSKI INSTITUT</v>
      </c>
      <c r="M106" s="144">
        <v>2967</v>
      </c>
      <c r="N106" s="147" t="s">
        <v>602</v>
      </c>
      <c r="O106" s="148" t="s">
        <v>492</v>
      </c>
      <c r="P106" s="147" t="s">
        <v>603</v>
      </c>
      <c r="Q106" s="147" t="s">
        <v>604</v>
      </c>
      <c r="R106" s="145">
        <v>3115879</v>
      </c>
      <c r="S106" s="141" t="s">
        <v>605</v>
      </c>
      <c r="T106" s="142" t="s">
        <v>654</v>
      </c>
      <c r="U106" s="143" t="s">
        <v>536</v>
      </c>
      <c r="V106" s="84"/>
      <c r="W106" s="84"/>
      <c r="X106" s="84"/>
      <c r="Y106" s="84"/>
      <c r="Z106" s="84"/>
    </row>
    <row r="107" spans="1:26" ht="15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146">
        <f t="shared" si="3"/>
        <v>101</v>
      </c>
      <c r="L107" s="144" t="str">
        <f t="shared" si="4"/>
        <v>2983 HRVATSKI VETERINARSKI INSTITUT</v>
      </c>
      <c r="M107" s="144">
        <v>2983</v>
      </c>
      <c r="N107" s="147" t="s">
        <v>543</v>
      </c>
      <c r="O107" s="148" t="s">
        <v>492</v>
      </c>
      <c r="P107" s="147" t="s">
        <v>544</v>
      </c>
      <c r="Q107" s="147" t="s">
        <v>275</v>
      </c>
      <c r="R107" s="145">
        <v>3274098</v>
      </c>
      <c r="S107" s="141" t="s">
        <v>545</v>
      </c>
      <c r="T107" s="142" t="s">
        <v>654</v>
      </c>
      <c r="U107" s="143" t="s">
        <v>536</v>
      </c>
      <c r="V107" s="84"/>
      <c r="W107" s="84"/>
      <c r="X107" s="84"/>
      <c r="Y107" s="84"/>
      <c r="Z107" s="84"/>
    </row>
    <row r="108" spans="1:26" ht="15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146">
        <f t="shared" si="3"/>
        <v>102</v>
      </c>
      <c r="L108" s="144" t="str">
        <f t="shared" si="4"/>
        <v>3105 INSTITUT DRUŠTVENIH ZNANOSTI IVO PILAR</v>
      </c>
      <c r="M108" s="144">
        <v>3105</v>
      </c>
      <c r="N108" s="147" t="s">
        <v>546</v>
      </c>
      <c r="O108" s="148" t="s">
        <v>492</v>
      </c>
      <c r="P108" s="147" t="s">
        <v>547</v>
      </c>
      <c r="Q108" s="147" t="s">
        <v>275</v>
      </c>
      <c r="R108" s="145">
        <v>3793028</v>
      </c>
      <c r="S108" s="141" t="s">
        <v>548</v>
      </c>
      <c r="T108" s="142" t="s">
        <v>654</v>
      </c>
      <c r="U108" s="143" t="s">
        <v>536</v>
      </c>
      <c r="V108" s="84"/>
      <c r="W108" s="84"/>
      <c r="X108" s="84"/>
      <c r="Y108" s="84"/>
      <c r="Z108" s="84"/>
    </row>
    <row r="109" spans="1:26" ht="15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146">
        <f t="shared" si="3"/>
        <v>103</v>
      </c>
      <c r="L109" s="144" t="str">
        <f t="shared" si="4"/>
        <v>3041 INSTITUT RUĐER BOŠKOVIĆ</v>
      </c>
      <c r="M109" s="144">
        <v>3041</v>
      </c>
      <c r="N109" s="147" t="s">
        <v>549</v>
      </c>
      <c r="O109" s="148" t="s">
        <v>492</v>
      </c>
      <c r="P109" s="147" t="s">
        <v>550</v>
      </c>
      <c r="Q109" s="147" t="s">
        <v>275</v>
      </c>
      <c r="R109" s="145">
        <v>3270289</v>
      </c>
      <c r="S109" s="141" t="s">
        <v>551</v>
      </c>
      <c r="T109" s="142" t="s">
        <v>654</v>
      </c>
      <c r="U109" s="143" t="s">
        <v>536</v>
      </c>
      <c r="V109" s="84"/>
      <c r="W109" s="84"/>
      <c r="X109" s="84"/>
      <c r="Y109" s="84"/>
      <c r="Z109" s="84"/>
    </row>
    <row r="110" spans="1:26" ht="15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146">
        <f t="shared" si="3"/>
        <v>104</v>
      </c>
      <c r="L110" s="144" t="str">
        <f t="shared" si="4"/>
        <v>3113 INSTITUT ZA ANTROPOLOGIJU</v>
      </c>
      <c r="M110" s="144">
        <v>3113</v>
      </c>
      <c r="N110" s="147" t="s">
        <v>552</v>
      </c>
      <c r="O110" s="148" t="s">
        <v>492</v>
      </c>
      <c r="P110" s="147" t="s">
        <v>553</v>
      </c>
      <c r="Q110" s="147" t="s">
        <v>275</v>
      </c>
      <c r="R110" s="145">
        <v>3817121</v>
      </c>
      <c r="S110" s="141" t="s">
        <v>554</v>
      </c>
      <c r="T110" s="142" t="s">
        <v>654</v>
      </c>
      <c r="U110" s="143" t="s">
        <v>536</v>
      </c>
      <c r="V110" s="84"/>
      <c r="W110" s="84"/>
      <c r="X110" s="84"/>
      <c r="Y110" s="84"/>
      <c r="Z110" s="84"/>
    </row>
    <row r="111" spans="1:26" ht="15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146">
        <f t="shared" si="3"/>
        <v>105</v>
      </c>
      <c r="L111" s="144" t="str">
        <f t="shared" si="4"/>
        <v>3121 INSTITUT ZA ARHEOLOGIJU</v>
      </c>
      <c r="M111" s="144">
        <v>3121</v>
      </c>
      <c r="N111" s="147" t="s">
        <v>555</v>
      </c>
      <c r="O111" s="148" t="s">
        <v>492</v>
      </c>
      <c r="P111" s="147" t="s">
        <v>553</v>
      </c>
      <c r="Q111" s="147" t="s">
        <v>275</v>
      </c>
      <c r="R111" s="145">
        <v>3937658</v>
      </c>
      <c r="S111" s="141" t="s">
        <v>556</v>
      </c>
      <c r="T111" s="142" t="s">
        <v>654</v>
      </c>
      <c r="U111" s="143" t="s">
        <v>536</v>
      </c>
      <c r="V111" s="84"/>
      <c r="W111" s="84"/>
      <c r="X111" s="84"/>
      <c r="Y111" s="84"/>
      <c r="Z111" s="84"/>
    </row>
    <row r="112" spans="1:26" ht="1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146">
        <f t="shared" si="3"/>
        <v>106</v>
      </c>
      <c r="L112" s="144" t="str">
        <f t="shared" si="4"/>
        <v>3050 INSTITUT ZA DRUŠTVENA ISTRAŽIVANJA</v>
      </c>
      <c r="M112" s="144">
        <v>3050</v>
      </c>
      <c r="N112" s="147" t="s">
        <v>557</v>
      </c>
      <c r="O112" s="148" t="s">
        <v>492</v>
      </c>
      <c r="P112" s="147" t="s">
        <v>558</v>
      </c>
      <c r="Q112" s="147" t="s">
        <v>275</v>
      </c>
      <c r="R112" s="145">
        <v>3205118</v>
      </c>
      <c r="S112" s="141" t="s">
        <v>559</v>
      </c>
      <c r="T112" s="142" t="s">
        <v>654</v>
      </c>
      <c r="U112" s="143" t="s">
        <v>536</v>
      </c>
      <c r="V112" s="84"/>
      <c r="W112" s="84"/>
      <c r="X112" s="84"/>
      <c r="Y112" s="84"/>
      <c r="Z112" s="84"/>
    </row>
    <row r="113" spans="1:26" ht="1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146">
        <f t="shared" si="3"/>
        <v>107</v>
      </c>
      <c r="L113" s="144" t="str">
        <f t="shared" si="4"/>
        <v>3084 INSTITUT ZA ETNOLOGIJU I FOLKLORISTIKU</v>
      </c>
      <c r="M113" s="144">
        <v>3084</v>
      </c>
      <c r="N113" s="147" t="s">
        <v>560</v>
      </c>
      <c r="O113" s="148" t="s">
        <v>492</v>
      </c>
      <c r="P113" s="147" t="s">
        <v>561</v>
      </c>
      <c r="Q113" s="147" t="s">
        <v>275</v>
      </c>
      <c r="R113" s="145">
        <v>3724042</v>
      </c>
      <c r="S113" s="141" t="s">
        <v>562</v>
      </c>
      <c r="T113" s="142" t="s">
        <v>654</v>
      </c>
      <c r="U113" s="143" t="s">
        <v>536</v>
      </c>
      <c r="V113" s="84"/>
      <c r="W113" s="84"/>
      <c r="X113" s="84"/>
      <c r="Y113" s="84"/>
      <c r="Z113" s="84"/>
    </row>
    <row r="114" spans="1:26" ht="1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146">
        <f t="shared" si="3"/>
        <v>108</v>
      </c>
      <c r="L114" s="144" t="str">
        <f t="shared" si="4"/>
        <v>3092 INSTITUT ZA FILOZOFIJU</v>
      </c>
      <c r="M114" s="144">
        <v>3092</v>
      </c>
      <c r="N114" s="147" t="s">
        <v>563</v>
      </c>
      <c r="O114" s="148" t="s">
        <v>492</v>
      </c>
      <c r="P114" s="147" t="s">
        <v>1730</v>
      </c>
      <c r="Q114" s="147" t="s">
        <v>275</v>
      </c>
      <c r="R114" s="145">
        <v>3772047</v>
      </c>
      <c r="S114" s="141" t="s">
        <v>564</v>
      </c>
      <c r="T114" s="142" t="s">
        <v>654</v>
      </c>
      <c r="U114" s="143" t="s">
        <v>536</v>
      </c>
      <c r="V114" s="84"/>
      <c r="W114" s="84"/>
      <c r="X114" s="84"/>
      <c r="Y114" s="84"/>
      <c r="Z114" s="84"/>
    </row>
    <row r="115" spans="1:26" ht="15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146">
        <f t="shared" si="3"/>
        <v>109</v>
      </c>
      <c r="L115" s="144" t="str">
        <f t="shared" si="4"/>
        <v>2975 INSTITUT ZA FIZIKU</v>
      </c>
      <c r="M115" s="144">
        <v>2975</v>
      </c>
      <c r="N115" s="147" t="s">
        <v>565</v>
      </c>
      <c r="O115" s="148" t="s">
        <v>492</v>
      </c>
      <c r="P115" s="147" t="s">
        <v>550</v>
      </c>
      <c r="Q115" s="147" t="s">
        <v>275</v>
      </c>
      <c r="R115" s="145">
        <v>3270424</v>
      </c>
      <c r="S115" s="141" t="s">
        <v>566</v>
      </c>
      <c r="T115" s="142" t="s">
        <v>654</v>
      </c>
      <c r="U115" s="143" t="s">
        <v>536</v>
      </c>
      <c r="V115" s="84"/>
      <c r="W115" s="84"/>
      <c r="X115" s="84"/>
      <c r="Y115" s="84"/>
      <c r="Z115" s="84"/>
    </row>
    <row r="116" spans="1:26" ht="15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146">
        <f t="shared" si="3"/>
        <v>110</v>
      </c>
      <c r="L116" s="144" t="str">
        <f t="shared" si="4"/>
        <v>21061 INSTITUT ZA HRVATSKI JEZIK I JEZIKOSLOVLJE</v>
      </c>
      <c r="M116" s="144">
        <v>21061</v>
      </c>
      <c r="N116" s="147" t="s">
        <v>570</v>
      </c>
      <c r="O116" s="148" t="s">
        <v>492</v>
      </c>
      <c r="P116" s="147" t="s">
        <v>571</v>
      </c>
      <c r="Q116" s="147" t="s">
        <v>275</v>
      </c>
      <c r="R116" s="145">
        <v>1259571</v>
      </c>
      <c r="S116" s="141" t="s">
        <v>572</v>
      </c>
      <c r="T116" s="142" t="s">
        <v>654</v>
      </c>
      <c r="U116" s="143" t="s">
        <v>536</v>
      </c>
      <c r="V116" s="84"/>
      <c r="W116" s="84"/>
      <c r="X116" s="84"/>
      <c r="Y116" s="84"/>
      <c r="Z116" s="84"/>
    </row>
    <row r="117" spans="1:26" ht="15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146">
        <f t="shared" si="3"/>
        <v>111</v>
      </c>
      <c r="L117" s="144" t="str">
        <f t="shared" si="4"/>
        <v>3025 INSTITUT ZA JADRANSKE KULTURE I MELIORACIJU KRŠA</v>
      </c>
      <c r="M117" s="144">
        <v>3025</v>
      </c>
      <c r="N117" s="147" t="s">
        <v>573</v>
      </c>
      <c r="O117" s="148" t="s">
        <v>492</v>
      </c>
      <c r="P117" s="147" t="s">
        <v>574</v>
      </c>
      <c r="Q117" s="147" t="s">
        <v>360</v>
      </c>
      <c r="R117" s="145">
        <v>3140792</v>
      </c>
      <c r="S117" s="141" t="s">
        <v>575</v>
      </c>
      <c r="T117" s="142" t="s">
        <v>654</v>
      </c>
      <c r="U117" s="143" t="s">
        <v>536</v>
      </c>
      <c r="V117" s="84"/>
      <c r="W117" s="84"/>
      <c r="X117" s="84"/>
      <c r="Y117" s="84"/>
      <c r="Z117" s="84"/>
    </row>
    <row r="118" spans="1:26" ht="15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146">
        <f t="shared" si="3"/>
        <v>112</v>
      </c>
      <c r="L118" s="144" t="str">
        <f t="shared" si="4"/>
        <v>23286 INSTITUT ZA JAVNE FINANCIJE</v>
      </c>
      <c r="M118" s="144">
        <v>23286</v>
      </c>
      <c r="N118" s="147" t="s">
        <v>576</v>
      </c>
      <c r="O118" s="148" t="s">
        <v>492</v>
      </c>
      <c r="P118" s="147" t="s">
        <v>577</v>
      </c>
      <c r="Q118" s="147" t="s">
        <v>275</v>
      </c>
      <c r="R118" s="145">
        <v>3226344</v>
      </c>
      <c r="S118" s="141" t="s">
        <v>578</v>
      </c>
      <c r="T118" s="142" t="s">
        <v>654</v>
      </c>
      <c r="U118" s="143" t="s">
        <v>536</v>
      </c>
      <c r="V118" s="84"/>
      <c r="W118" s="84"/>
      <c r="X118" s="84"/>
      <c r="Y118" s="84"/>
      <c r="Z118" s="84"/>
    </row>
    <row r="119" spans="1:26" ht="15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146">
        <f t="shared" si="3"/>
        <v>113</v>
      </c>
      <c r="L119" s="144" t="str">
        <f t="shared" si="4"/>
        <v>2959 INSTITUT ZA MEDICINSKA ISTRAŽIVANJA I MEDICINU RADA</v>
      </c>
      <c r="M119" s="144">
        <v>2959</v>
      </c>
      <c r="N119" s="147" t="s">
        <v>579</v>
      </c>
      <c r="O119" s="148" t="s">
        <v>492</v>
      </c>
      <c r="P119" s="147" t="s">
        <v>580</v>
      </c>
      <c r="Q119" s="147" t="s">
        <v>275</v>
      </c>
      <c r="R119" s="145">
        <v>3270475</v>
      </c>
      <c r="S119" s="141" t="s">
        <v>581</v>
      </c>
      <c r="T119" s="142" t="s">
        <v>654</v>
      </c>
      <c r="U119" s="143" t="s">
        <v>536</v>
      </c>
      <c r="V119" s="84"/>
      <c r="W119" s="84"/>
      <c r="X119" s="84"/>
      <c r="Y119" s="84"/>
      <c r="Z119" s="84"/>
    </row>
    <row r="120" spans="1:26" ht="15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146">
        <f t="shared" si="3"/>
        <v>114</v>
      </c>
      <c r="L120" s="144" t="str">
        <f t="shared" si="4"/>
        <v>3009 INSTITUT ZA MIGRACIJE I NARODNOSTI</v>
      </c>
      <c r="M120" s="144">
        <v>3009</v>
      </c>
      <c r="N120" s="147" t="s">
        <v>584</v>
      </c>
      <c r="O120" s="148" t="s">
        <v>492</v>
      </c>
      <c r="P120" s="147" t="s">
        <v>585</v>
      </c>
      <c r="Q120" s="147" t="s">
        <v>275</v>
      </c>
      <c r="R120" s="145">
        <v>3287572</v>
      </c>
      <c r="S120" s="141" t="s">
        <v>586</v>
      </c>
      <c r="T120" s="142" t="s">
        <v>654</v>
      </c>
      <c r="U120" s="143" t="s">
        <v>536</v>
      </c>
      <c r="V120" s="84"/>
      <c r="W120" s="84"/>
      <c r="X120" s="84"/>
      <c r="Y120" s="84"/>
      <c r="Z120" s="84"/>
    </row>
    <row r="121" spans="1:26" ht="15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146">
        <f t="shared" si="3"/>
        <v>115</v>
      </c>
      <c r="L121" s="144" t="str">
        <f t="shared" si="4"/>
        <v>2900 INSTITUT ZA OCEANOGRAFIJU I RIBARSTVO</v>
      </c>
      <c r="M121" s="144">
        <v>2900</v>
      </c>
      <c r="N121" s="147" t="s">
        <v>587</v>
      </c>
      <c r="O121" s="148" t="s">
        <v>492</v>
      </c>
      <c r="P121" s="147" t="s">
        <v>1732</v>
      </c>
      <c r="Q121" s="147" t="s">
        <v>360</v>
      </c>
      <c r="R121" s="145">
        <v>3118355</v>
      </c>
      <c r="S121" s="141" t="s">
        <v>588</v>
      </c>
      <c r="T121" s="142" t="s">
        <v>654</v>
      </c>
      <c r="U121" s="143" t="s">
        <v>536</v>
      </c>
      <c r="V121" s="84"/>
      <c r="W121" s="84"/>
      <c r="X121" s="84"/>
      <c r="Y121" s="84"/>
      <c r="Z121" s="84"/>
    </row>
    <row r="122" spans="1:26" ht="15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146">
        <f t="shared" si="3"/>
        <v>116</v>
      </c>
      <c r="L122" s="144" t="str">
        <f t="shared" si="4"/>
        <v>3076 INSTITUT ZA POLJOPRIVREDU I TURIZAM</v>
      </c>
      <c r="M122" s="144">
        <v>3076</v>
      </c>
      <c r="N122" s="147" t="s">
        <v>589</v>
      </c>
      <c r="O122" s="148" t="s">
        <v>492</v>
      </c>
      <c r="P122" s="147" t="s">
        <v>590</v>
      </c>
      <c r="Q122" s="147" t="s">
        <v>591</v>
      </c>
      <c r="R122" s="145">
        <v>3421031</v>
      </c>
      <c r="S122" s="141" t="s">
        <v>592</v>
      </c>
      <c r="T122" s="142" t="s">
        <v>654</v>
      </c>
      <c r="U122" s="143" t="s">
        <v>536</v>
      </c>
      <c r="V122" s="84"/>
      <c r="W122" s="84"/>
      <c r="X122" s="84"/>
      <c r="Y122" s="84"/>
      <c r="Z122" s="84"/>
    </row>
    <row r="123" spans="1:26" ht="15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146">
        <f t="shared" si="3"/>
        <v>117</v>
      </c>
      <c r="L123" s="144" t="str">
        <f t="shared" si="4"/>
        <v>2942 INSTITUT ZA POVIJEST UMJETNOSTI</v>
      </c>
      <c r="M123" s="144">
        <v>2942</v>
      </c>
      <c r="N123" s="147" t="s">
        <v>593</v>
      </c>
      <c r="O123" s="148" t="s">
        <v>492</v>
      </c>
      <c r="P123" s="147" t="s">
        <v>594</v>
      </c>
      <c r="Q123" s="147" t="s">
        <v>275</v>
      </c>
      <c r="R123" s="145">
        <v>1339958</v>
      </c>
      <c r="S123" s="141" t="s">
        <v>595</v>
      </c>
      <c r="T123" s="142" t="s">
        <v>654</v>
      </c>
      <c r="U123" s="143" t="s">
        <v>536</v>
      </c>
      <c r="V123" s="84"/>
      <c r="W123" s="84"/>
      <c r="X123" s="84"/>
      <c r="Y123" s="84"/>
      <c r="Z123" s="84"/>
    </row>
    <row r="124" spans="1:26" ht="15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146">
        <f t="shared" si="3"/>
        <v>118</v>
      </c>
      <c r="L124" s="144" t="str">
        <f t="shared" si="4"/>
        <v>22621 INSTITUT ZA RAZVOJ I MEĐUNARODNE ODNOSE</v>
      </c>
      <c r="M124" s="144">
        <v>22621</v>
      </c>
      <c r="N124" s="147" t="s">
        <v>582</v>
      </c>
      <c r="O124" s="148" t="s">
        <v>492</v>
      </c>
      <c r="P124" s="147" t="s">
        <v>1731</v>
      </c>
      <c r="Q124" s="147" t="s">
        <v>275</v>
      </c>
      <c r="R124" s="145">
        <v>3205177</v>
      </c>
      <c r="S124" s="141" t="s">
        <v>583</v>
      </c>
      <c r="T124" s="142" t="s">
        <v>654</v>
      </c>
      <c r="U124" s="143" t="s">
        <v>536</v>
      </c>
      <c r="V124" s="84"/>
      <c r="W124" s="84"/>
      <c r="X124" s="84"/>
      <c r="Y124" s="84"/>
      <c r="Z124" s="84"/>
    </row>
    <row r="125" spans="1:26" ht="1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146">
        <f t="shared" si="3"/>
        <v>119</v>
      </c>
      <c r="L125" s="144" t="str">
        <f t="shared" si="4"/>
        <v>3068 INSTITUT ZA TURIZAM</v>
      </c>
      <c r="M125" s="144">
        <v>3068</v>
      </c>
      <c r="N125" s="147" t="s">
        <v>596</v>
      </c>
      <c r="O125" s="148" t="s">
        <v>492</v>
      </c>
      <c r="P125" s="147" t="s">
        <v>597</v>
      </c>
      <c r="Q125" s="147" t="s">
        <v>275</v>
      </c>
      <c r="R125" s="145">
        <v>3208001</v>
      </c>
      <c r="S125" s="141" t="s">
        <v>598</v>
      </c>
      <c r="T125" s="142" t="s">
        <v>654</v>
      </c>
      <c r="U125" s="143" t="s">
        <v>536</v>
      </c>
      <c r="V125" s="84"/>
      <c r="W125" s="84"/>
      <c r="X125" s="84"/>
      <c r="Y125" s="84"/>
      <c r="Z125" s="84"/>
    </row>
    <row r="126" spans="1:26" ht="15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146">
        <f t="shared" si="3"/>
        <v>120</v>
      </c>
      <c r="L126" s="144" t="str">
        <f t="shared" si="4"/>
        <v>2991 POLJOPRIVREDNI INSTITUT OSIJEK</v>
      </c>
      <c r="M126" s="144">
        <v>2991</v>
      </c>
      <c r="N126" s="147" t="s">
        <v>1733</v>
      </c>
      <c r="O126" s="148" t="s">
        <v>492</v>
      </c>
      <c r="P126" s="147" t="s">
        <v>1734</v>
      </c>
      <c r="Q126" s="147" t="s">
        <v>278</v>
      </c>
      <c r="R126" s="145">
        <v>3058239</v>
      </c>
      <c r="S126" s="141" t="s">
        <v>1735</v>
      </c>
      <c r="T126" s="142" t="s">
        <v>654</v>
      </c>
      <c r="U126" s="143" t="s">
        <v>536</v>
      </c>
      <c r="V126" s="84"/>
      <c r="W126" s="84"/>
      <c r="X126" s="84"/>
      <c r="Y126" s="84"/>
      <c r="Z126" s="84"/>
    </row>
    <row r="127" spans="1:26" ht="15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146">
        <f t="shared" si="3"/>
        <v>121</v>
      </c>
      <c r="L127" s="144" t="str">
        <f t="shared" si="4"/>
        <v>21070 STAROSLAVENSKI INSTITUT</v>
      </c>
      <c r="M127" s="144">
        <v>21070</v>
      </c>
      <c r="N127" s="147" t="s">
        <v>599</v>
      </c>
      <c r="O127" s="148" t="s">
        <v>492</v>
      </c>
      <c r="P127" s="147" t="s">
        <v>600</v>
      </c>
      <c r="Q127" s="147" t="s">
        <v>275</v>
      </c>
      <c r="R127" s="145">
        <v>1259563</v>
      </c>
      <c r="S127" s="141" t="s">
        <v>601</v>
      </c>
      <c r="T127" s="142" t="s">
        <v>654</v>
      </c>
      <c r="U127" s="143" t="s">
        <v>536</v>
      </c>
      <c r="V127" s="84"/>
      <c r="W127" s="84"/>
      <c r="X127" s="84"/>
      <c r="Y127" s="84"/>
      <c r="Z127" s="84"/>
    </row>
    <row r="128" spans="1:26" ht="15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146">
        <f t="shared" si="3"/>
        <v>122</v>
      </c>
      <c r="L128" s="144" t="str">
        <f t="shared" si="4"/>
        <v>6179 DRŽAVNI ZAVOD ZA INTELEKTUALNO VLASNIŠTVO</v>
      </c>
      <c r="M128" s="144">
        <v>6179</v>
      </c>
      <c r="N128" s="147" t="s">
        <v>607</v>
      </c>
      <c r="O128" s="148" t="s">
        <v>492</v>
      </c>
      <c r="P128" s="153" t="s">
        <v>608</v>
      </c>
      <c r="Q128" s="147" t="s">
        <v>275</v>
      </c>
      <c r="R128" s="145">
        <v>3899772</v>
      </c>
      <c r="S128" s="141" t="s">
        <v>609</v>
      </c>
      <c r="T128" s="142" t="s">
        <v>1736</v>
      </c>
      <c r="U128" s="143" t="s">
        <v>964</v>
      </c>
      <c r="V128" s="84"/>
      <c r="W128" s="84"/>
      <c r="X128" s="84"/>
      <c r="Y128" s="84"/>
      <c r="Z128" s="84"/>
    </row>
    <row r="129" spans="1:26" ht="15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146">
        <f t="shared" si="3"/>
        <v>123</v>
      </c>
      <c r="L129" s="144" t="str">
        <f t="shared" si="4"/>
        <v>43335 AGENCIJA ZA MOBILNOST I PROGRAME EUROPSKE UNIJE</v>
      </c>
      <c r="M129" s="144">
        <v>43335</v>
      </c>
      <c r="N129" s="147" t="s">
        <v>628</v>
      </c>
      <c r="O129" s="148" t="s">
        <v>492</v>
      </c>
      <c r="P129" s="153" t="s">
        <v>617</v>
      </c>
      <c r="Q129" s="147" t="s">
        <v>275</v>
      </c>
      <c r="R129" s="145">
        <v>2298007</v>
      </c>
      <c r="S129" s="141" t="s">
        <v>629</v>
      </c>
      <c r="T129" s="142" t="s">
        <v>633</v>
      </c>
      <c r="U129" s="143" t="s">
        <v>606</v>
      </c>
      <c r="V129" s="84"/>
      <c r="W129" s="84"/>
      <c r="X129" s="84"/>
      <c r="Y129" s="84"/>
      <c r="Z129" s="84"/>
    </row>
    <row r="130" spans="1:26" ht="15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146">
        <f t="shared" si="3"/>
        <v>124</v>
      </c>
      <c r="L130" s="144" t="str">
        <f t="shared" si="4"/>
        <v>23962 AGENCIJA ZA ODGOJ I OBRAZOVANJE</v>
      </c>
      <c r="M130" s="144">
        <v>23962</v>
      </c>
      <c r="N130" s="147" t="s">
        <v>621</v>
      </c>
      <c r="O130" s="148" t="s">
        <v>492</v>
      </c>
      <c r="P130" s="153" t="s">
        <v>274</v>
      </c>
      <c r="Q130" s="147" t="s">
        <v>275</v>
      </c>
      <c r="R130" s="145">
        <v>1778129</v>
      </c>
      <c r="S130" s="141" t="s">
        <v>622</v>
      </c>
      <c r="T130" s="142" t="s">
        <v>633</v>
      </c>
      <c r="U130" s="143" t="s">
        <v>606</v>
      </c>
      <c r="V130" s="84"/>
      <c r="W130" s="84"/>
      <c r="X130" s="84"/>
      <c r="Y130" s="84"/>
      <c r="Z130" s="84"/>
    </row>
    <row r="131" spans="1:26" ht="15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146">
        <f t="shared" si="3"/>
        <v>125</v>
      </c>
      <c r="L131" s="144" t="str">
        <f t="shared" si="4"/>
        <v>46173 AGENCIJA ZA STRUKOVNO OBRAZOVANJE I OBRAZOVANJE ODRASLIH</v>
      </c>
      <c r="M131" s="144">
        <v>46173</v>
      </c>
      <c r="N131" s="147" t="s">
        <v>630</v>
      </c>
      <c r="O131" s="148" t="s">
        <v>492</v>
      </c>
      <c r="P131" s="153" t="s">
        <v>1773</v>
      </c>
      <c r="Q131" s="147" t="s">
        <v>275</v>
      </c>
      <c r="R131" s="145">
        <v>2650029</v>
      </c>
      <c r="S131" s="141" t="s">
        <v>631</v>
      </c>
      <c r="T131" s="142" t="s">
        <v>633</v>
      </c>
      <c r="U131" s="143" t="s">
        <v>606</v>
      </c>
      <c r="V131" s="84"/>
      <c r="W131" s="84"/>
      <c r="X131" s="84"/>
      <c r="Y131" s="84"/>
      <c r="Z131" s="84"/>
    </row>
    <row r="132" spans="1:26" ht="15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146">
        <f t="shared" si="3"/>
        <v>126</v>
      </c>
      <c r="L132" s="144" t="str">
        <f t="shared" si="4"/>
        <v>38487 AGENCIJA ZA ZNANOST I VISOKO OBRAZOVANJE</v>
      </c>
      <c r="M132" s="144">
        <v>38487</v>
      </c>
      <c r="N132" s="147" t="s">
        <v>623</v>
      </c>
      <c r="O132" s="148" t="s">
        <v>492</v>
      </c>
      <c r="P132" s="147" t="s">
        <v>624</v>
      </c>
      <c r="Q132" s="147" t="s">
        <v>275</v>
      </c>
      <c r="R132" s="145">
        <v>1922548</v>
      </c>
      <c r="S132" s="141" t="s">
        <v>625</v>
      </c>
      <c r="T132" s="142" t="s">
        <v>633</v>
      </c>
      <c r="U132" s="143" t="s">
        <v>606</v>
      </c>
      <c r="V132" s="84"/>
      <c r="W132" s="84"/>
      <c r="X132" s="84"/>
      <c r="Y132" s="84"/>
      <c r="Z132" s="84"/>
    </row>
    <row r="133" spans="1:26" ht="15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146">
        <f t="shared" si="3"/>
        <v>127</v>
      </c>
      <c r="L133" s="144" t="str">
        <f t="shared" si="4"/>
        <v>21852 HRVATSKA AKADEMSKA I ISTRAŽIVAČKA MREŽA - CARNET</v>
      </c>
      <c r="M133" s="144">
        <v>21852</v>
      </c>
      <c r="N133" s="147" t="s">
        <v>613</v>
      </c>
      <c r="O133" s="148" t="s">
        <v>492</v>
      </c>
      <c r="P133" s="153" t="s">
        <v>614</v>
      </c>
      <c r="Q133" s="147" t="s">
        <v>275</v>
      </c>
      <c r="R133" s="145">
        <v>1147820</v>
      </c>
      <c r="S133" s="141" t="s">
        <v>615</v>
      </c>
      <c r="T133" s="142" t="s">
        <v>633</v>
      </c>
      <c r="U133" s="143" t="s">
        <v>606</v>
      </c>
      <c r="V133" s="84"/>
      <c r="W133" s="84"/>
      <c r="X133" s="84"/>
      <c r="Y133" s="84"/>
      <c r="Z133" s="84"/>
    </row>
    <row r="134" spans="1:26" ht="15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146">
        <f t="shared" si="3"/>
        <v>128</v>
      </c>
      <c r="L134" s="144" t="str">
        <f t="shared" si="4"/>
        <v>52209 HRVATSKA ZAKLADA ZA ZNANOST</v>
      </c>
      <c r="M134" s="144">
        <v>52209</v>
      </c>
      <c r="N134" s="147" t="s">
        <v>3530</v>
      </c>
      <c r="O134" s="148" t="s">
        <v>492</v>
      </c>
      <c r="P134" s="153" t="s">
        <v>3531</v>
      </c>
      <c r="Q134" s="147" t="s">
        <v>275</v>
      </c>
      <c r="R134" s="145">
        <v>1626841</v>
      </c>
      <c r="S134" s="141">
        <v>88776522763</v>
      </c>
      <c r="T134" s="142" t="s">
        <v>633</v>
      </c>
      <c r="U134" s="143" t="s">
        <v>3532</v>
      </c>
      <c r="V134" s="84"/>
      <c r="W134" s="84"/>
      <c r="X134" s="84"/>
      <c r="Y134" s="84"/>
      <c r="Z134" s="84"/>
    </row>
    <row r="135" spans="1:26" ht="1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146">
        <f t="shared" si="3"/>
        <v>129</v>
      </c>
      <c r="L135" s="144" t="str">
        <f t="shared" si="4"/>
        <v>21869 LEKSIKOGRAFSKI ZAVOD MIROSLAV KRLEŽA</v>
      </c>
      <c r="M135" s="144">
        <v>21869</v>
      </c>
      <c r="N135" s="147" t="s">
        <v>616</v>
      </c>
      <c r="O135" s="148" t="s">
        <v>492</v>
      </c>
      <c r="P135" s="153" t="s">
        <v>617</v>
      </c>
      <c r="Q135" s="147" t="s">
        <v>275</v>
      </c>
      <c r="R135" s="145">
        <v>3211622</v>
      </c>
      <c r="S135" s="141" t="s">
        <v>618</v>
      </c>
      <c r="T135" s="142" t="s">
        <v>633</v>
      </c>
      <c r="U135" s="143" t="s">
        <v>606</v>
      </c>
      <c r="V135" s="84"/>
      <c r="W135" s="84"/>
      <c r="X135" s="84"/>
      <c r="Y135" s="84"/>
      <c r="Z135" s="84"/>
    </row>
    <row r="136" spans="1:26" ht="15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146">
        <f t="shared" ref="K136:K138" si="5">+K135+1</f>
        <v>130</v>
      </c>
      <c r="L136" s="144" t="str">
        <f t="shared" ref="L136:L138" si="6">M136&amp;" "&amp;N136</f>
        <v>21836 NACIONALNA I SVEUČILIŠNA KNJIŽNICA U ZAGREBU</v>
      </c>
      <c r="M136" s="144">
        <v>21836</v>
      </c>
      <c r="N136" s="147" t="s">
        <v>610</v>
      </c>
      <c r="O136" s="148" t="s">
        <v>492</v>
      </c>
      <c r="P136" s="153" t="s">
        <v>611</v>
      </c>
      <c r="Q136" s="147" t="s">
        <v>275</v>
      </c>
      <c r="R136" s="145">
        <v>3205363</v>
      </c>
      <c r="S136" s="141" t="s">
        <v>612</v>
      </c>
      <c r="T136" s="142" t="s">
        <v>633</v>
      </c>
      <c r="U136" s="143" t="s">
        <v>606</v>
      </c>
      <c r="V136" s="84"/>
      <c r="W136" s="84"/>
      <c r="X136" s="84"/>
      <c r="Y136" s="84"/>
      <c r="Z136" s="84"/>
    </row>
    <row r="137" spans="1:26" ht="1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146">
        <f t="shared" si="5"/>
        <v>131</v>
      </c>
      <c r="L137" s="144" t="str">
        <f t="shared" si="6"/>
        <v>40883 NACIONALNI CENTAR ZA VANJSKO VREDNOVANJE OBRAZOVANJA</v>
      </c>
      <c r="M137" s="144">
        <v>40883</v>
      </c>
      <c r="N137" s="147" t="s">
        <v>626</v>
      </c>
      <c r="O137" s="148" t="s">
        <v>492</v>
      </c>
      <c r="P137" s="153" t="s">
        <v>1774</v>
      </c>
      <c r="Q137" s="147" t="s">
        <v>1775</v>
      </c>
      <c r="R137" s="145">
        <v>1943430</v>
      </c>
      <c r="S137" s="141" t="s">
        <v>627</v>
      </c>
      <c r="T137" s="142" t="s">
        <v>633</v>
      </c>
      <c r="U137" s="143" t="s">
        <v>606</v>
      </c>
      <c r="V137" s="84"/>
      <c r="W137" s="84"/>
      <c r="X137" s="84"/>
      <c r="Y137" s="84"/>
      <c r="Z137" s="84"/>
    </row>
    <row r="138" spans="1:26" ht="15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146">
        <f t="shared" si="5"/>
        <v>132</v>
      </c>
      <c r="L138" s="144" t="str">
        <f t="shared" si="6"/>
        <v>23665 SVEUČILIŠTE U ZAGREBU - SVEUČILIŠNI RAČUNSKI CENTAR - SRCE</v>
      </c>
      <c r="M138" s="144">
        <v>23665</v>
      </c>
      <c r="N138" s="147" t="s">
        <v>619</v>
      </c>
      <c r="O138" s="148" t="s">
        <v>492</v>
      </c>
      <c r="P138" s="153" t="s">
        <v>614</v>
      </c>
      <c r="Q138" s="147" t="s">
        <v>275</v>
      </c>
      <c r="R138" s="145">
        <v>3283020</v>
      </c>
      <c r="S138" s="141" t="s">
        <v>620</v>
      </c>
      <c r="T138" s="142" t="s">
        <v>633</v>
      </c>
      <c r="U138" s="143" t="s">
        <v>606</v>
      </c>
      <c r="V138" s="84"/>
      <c r="W138" s="84"/>
      <c r="X138" s="84"/>
      <c r="Y138" s="84"/>
      <c r="Z138" s="84"/>
    </row>
    <row r="139" spans="1:26" ht="15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15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15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15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15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15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 ht="1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15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15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spans="1:26" ht="15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15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15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15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15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 ht="15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1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1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spans="1:26" ht="15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15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ht="15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 ht="15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 ht="15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spans="1:26" ht="15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spans="1:26" ht="1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spans="1:26" ht="1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spans="1:26" ht="15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spans="1:26" ht="1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spans="1:26" ht="15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15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ht="15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ht="15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ht="15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spans="1:26" ht="15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spans="1:26" ht="15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spans="1:26" ht="15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spans="1:26" ht="15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spans="1:26" ht="1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spans="1:26" ht="15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spans="1:26" ht="15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spans="1:26" ht="15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 ht="15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spans="1:26" ht="15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spans="1:26" ht="15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spans="1:26" ht="15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spans="1:26" ht="15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spans="1:26" ht="15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spans="1:26" ht="1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15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15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15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15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15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spans="1:26" ht="15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15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15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spans="1:26" ht="15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15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spans="1:26" ht="15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15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1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spans="1:26" ht="15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spans="1:26" ht="15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15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15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spans="1:26" ht="15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15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spans="1:26" ht="15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15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15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spans="1:26" ht="15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:26" ht="15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15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15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spans="1:26" ht="1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spans="1:26" ht="1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15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15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spans="1:26" ht="15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spans="1:26" ht="15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15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15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spans="1:26" ht="15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15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spans="1:26" ht="15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15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spans="1:26" ht="15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</row>
    <row r="225" spans="1:26" ht="15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spans="1:26" ht="15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</row>
    <row r="227" spans="1:26" ht="15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</row>
    <row r="228" spans="1:26" ht="15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</row>
    <row r="229" spans="1:26" ht="15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</row>
    <row r="230" spans="1:26" ht="15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</row>
    <row r="231" spans="1:26" ht="15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</row>
    <row r="232" spans="1:26" ht="15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</row>
    <row r="233" spans="1:26" ht="15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spans="1:26" ht="15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spans="1:26" ht="15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spans="1:26" ht="15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spans="1:26" ht="15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spans="1:26" ht="15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spans="1:26" ht="15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spans="1:26" ht="15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spans="1:26" ht="15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spans="1:26" ht="15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spans="1:26" ht="15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spans="1:26" ht="15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spans="1:26" ht="15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spans="1:26" ht="15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spans="1:26" ht="15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spans="1:26" ht="15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spans="1:26" ht="15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spans="1:26" ht="15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spans="1:26" ht="15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spans="1:26" ht="15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spans="1:26" ht="15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spans="1:26" ht="15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spans="1:26" ht="15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spans="1:26" ht="15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spans="1:26" ht="15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spans="1:26" ht="15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spans="1:26" ht="15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spans="1:26" ht="15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spans="1:26" ht="15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spans="1:26" ht="15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spans="1:26" ht="15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spans="1:26" ht="15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spans="1:26" ht="1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spans="1:26" ht="15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spans="1:26" ht="15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</row>
    <row r="268" spans="1:26" ht="15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</row>
    <row r="269" spans="1:26" ht="15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</row>
    <row r="270" spans="1:26" ht="15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</row>
    <row r="271" spans="1:26" ht="15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</row>
    <row r="272" spans="1:26" ht="15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</row>
    <row r="273" spans="1:26" ht="15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</row>
    <row r="274" spans="1:26" ht="15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</row>
    <row r="275" spans="1:26" ht="15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</row>
    <row r="276" spans="1:26" ht="15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</row>
    <row r="277" spans="1:26" ht="15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spans="1:26" ht="15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</row>
    <row r="279" spans="1:26" ht="15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</row>
    <row r="280" spans="1:26" ht="15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</row>
    <row r="281" spans="1:26" ht="15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</row>
    <row r="282" spans="1:26" ht="15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</row>
    <row r="283" spans="1:26" ht="15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</row>
    <row r="284" spans="1:26" ht="15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</row>
    <row r="285" spans="1:26" ht="15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</row>
    <row r="286" spans="1:26" ht="15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</row>
    <row r="287" spans="1:26" ht="15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</row>
    <row r="288" spans="1:26" ht="15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</row>
    <row r="289" spans="1:26" ht="15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</row>
    <row r="290" spans="1:26" ht="15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</row>
    <row r="291" spans="1:26" ht="15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</row>
    <row r="292" spans="1:26" ht="15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</row>
    <row r="293" spans="1:26" ht="15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</row>
    <row r="294" spans="1:26" ht="15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</row>
    <row r="295" spans="1:26" ht="15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</row>
    <row r="296" spans="1:26" ht="15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spans="1:26" ht="15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spans="1:26" ht="15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</row>
    <row r="299" spans="1:26" ht="15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</row>
    <row r="300" spans="1:26" ht="15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</row>
    <row r="301" spans="1:26" ht="15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</row>
    <row r="302" spans="1:26" ht="15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</row>
    <row r="303" spans="1:26" ht="15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</row>
    <row r="304" spans="1:26" ht="15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</row>
    <row r="305" spans="1:26" ht="15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</row>
    <row r="306" spans="1:26" ht="15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</row>
    <row r="307" spans="1:26" ht="15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</row>
    <row r="308" spans="1:26" ht="15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spans="1:26" ht="15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spans="1:26" ht="15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spans="1:26" ht="15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</row>
    <row r="312" spans="1:26" ht="15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</row>
    <row r="313" spans="1:26" ht="15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</row>
    <row r="314" spans="1:26" ht="15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spans="1:26" ht="15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spans="1:26" ht="15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spans="1:26" ht="15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spans="1:26" ht="15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spans="1:26" ht="15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spans="1:26" ht="15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spans="1:26" ht="15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</row>
    <row r="322" spans="1:26" ht="15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spans="1:26" ht="15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</row>
    <row r="324" spans="1:26" ht="15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</row>
    <row r="325" spans="1:26" ht="15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</row>
    <row r="326" spans="1:26" ht="15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spans="1:26" ht="15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</row>
    <row r="328" spans="1:26" ht="15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</row>
    <row r="329" spans="1:26" ht="15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</row>
    <row r="330" spans="1:26" ht="15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spans="1:26" ht="15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spans="1:26" ht="15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spans="1:26" ht="15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</row>
    <row r="334" spans="1:26" ht="15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</row>
    <row r="335" spans="1:26" ht="15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</row>
    <row r="336" spans="1:26" ht="15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</row>
    <row r="337" spans="1:26" ht="15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</row>
    <row r="338" spans="1:26" ht="15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</row>
    <row r="339" spans="1:26" ht="15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</row>
    <row r="340" spans="1:26" ht="15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</row>
    <row r="341" spans="1:26" ht="15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spans="1:26" ht="15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</row>
    <row r="343" spans="1:26" ht="15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</row>
    <row r="344" spans="1:26" ht="15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</row>
    <row r="345" spans="1:26" ht="15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</row>
    <row r="346" spans="1:26" ht="15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</row>
    <row r="347" spans="1:26" ht="15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</row>
    <row r="348" spans="1:26" ht="15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</row>
    <row r="349" spans="1:26" ht="15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</row>
    <row r="350" spans="1:26" ht="15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</row>
    <row r="351" spans="1:26" ht="15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</row>
    <row r="352" spans="1:26" ht="15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</row>
    <row r="353" spans="1:26" ht="15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</row>
    <row r="354" spans="1:26" ht="15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spans="1:26" ht="15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</row>
    <row r="356" spans="1:26" ht="15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</row>
    <row r="357" spans="1:26" ht="15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</row>
    <row r="358" spans="1:26" ht="15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</row>
    <row r="359" spans="1:26" ht="15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</row>
    <row r="360" spans="1:26" ht="15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</row>
    <row r="361" spans="1:26" ht="15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</row>
    <row r="362" spans="1:26" ht="15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</row>
    <row r="363" spans="1:26" ht="15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</row>
    <row r="364" spans="1:26" ht="15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</row>
    <row r="365" spans="1:26" ht="15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</row>
    <row r="366" spans="1:26" ht="15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</row>
    <row r="367" spans="1:26" ht="15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</row>
    <row r="368" spans="1:26" ht="15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</row>
    <row r="369" spans="1:26" ht="15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</row>
    <row r="370" spans="1:26" ht="15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</row>
    <row r="371" spans="1:26" ht="15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</row>
    <row r="372" spans="1:26" ht="15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</row>
    <row r="373" spans="1:26" ht="15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</row>
    <row r="374" spans="1:26" ht="15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</row>
    <row r="375" spans="1:26" ht="15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</row>
    <row r="376" spans="1:26" ht="15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</row>
    <row r="377" spans="1:26" ht="15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</row>
    <row r="378" spans="1:26" ht="15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</row>
    <row r="379" spans="1:26" ht="15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</row>
    <row r="380" spans="1:26" ht="15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</row>
    <row r="381" spans="1:26" ht="15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</row>
    <row r="382" spans="1:26" ht="15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</row>
    <row r="383" spans="1:26" ht="15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</row>
    <row r="384" spans="1:26" ht="15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</row>
    <row r="385" spans="1:26" ht="15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</row>
    <row r="386" spans="1:26" ht="15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</row>
    <row r="387" spans="1:26" ht="15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</row>
    <row r="388" spans="1:26" ht="15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</row>
    <row r="389" spans="1:26" ht="15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</row>
    <row r="390" spans="1:26" ht="15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</row>
    <row r="391" spans="1:26" ht="15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</row>
    <row r="392" spans="1:26" ht="15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</row>
    <row r="393" spans="1:26" ht="15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</row>
    <row r="394" spans="1:26" ht="15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</row>
    <row r="395" spans="1:26" ht="15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</row>
    <row r="396" spans="1:26" ht="15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</row>
    <row r="397" spans="1:26" ht="15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</row>
    <row r="398" spans="1:26" ht="15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</row>
    <row r="399" spans="1:26" ht="15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</row>
    <row r="400" spans="1:26" ht="15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</row>
    <row r="401" spans="1:26" ht="15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</row>
    <row r="402" spans="1:26" ht="15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</row>
    <row r="403" spans="1:26" ht="15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</row>
    <row r="404" spans="1:26" ht="15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</row>
    <row r="405" spans="1:26" ht="15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</row>
    <row r="406" spans="1:26" ht="15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</row>
    <row r="407" spans="1:26" ht="15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</row>
    <row r="408" spans="1:26" ht="15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</row>
    <row r="409" spans="1:26" ht="15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</row>
    <row r="410" spans="1:26" ht="15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</row>
    <row r="411" spans="1:26" ht="15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</row>
    <row r="412" spans="1:26" ht="15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</row>
    <row r="413" spans="1:26" ht="15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</row>
    <row r="414" spans="1:26" ht="15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</row>
    <row r="415" spans="1:26" ht="15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</row>
    <row r="416" spans="1:26" ht="15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</row>
    <row r="417" spans="1:26" ht="15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</row>
    <row r="418" spans="1:26" ht="15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</row>
    <row r="419" spans="1:26" ht="15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</row>
    <row r="420" spans="1:26" ht="15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</row>
    <row r="421" spans="1:26" ht="15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</row>
    <row r="422" spans="1:26" ht="15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</row>
    <row r="423" spans="1:26" ht="15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</row>
    <row r="424" spans="1:26" ht="15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spans="1:26" ht="15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spans="1:26" ht="15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</row>
    <row r="427" spans="1:26" ht="15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</row>
    <row r="428" spans="1:26" ht="15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</row>
    <row r="429" spans="1:26" ht="15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</row>
    <row r="430" spans="1:26" ht="15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</row>
    <row r="431" spans="1:26" ht="15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</row>
    <row r="432" spans="1:26" ht="15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</row>
    <row r="433" spans="1:26" ht="15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</row>
    <row r="434" spans="1:26" ht="15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</row>
    <row r="435" spans="1:26" ht="15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 spans="1:26" ht="15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</row>
    <row r="437" spans="1:26" ht="15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</row>
    <row r="438" spans="1:26" ht="15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</row>
    <row r="439" spans="1:26" ht="15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</row>
    <row r="440" spans="1:26" ht="15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</row>
    <row r="441" spans="1:26" ht="15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</row>
    <row r="442" spans="1:26" ht="15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</row>
    <row r="443" spans="1:26" ht="15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</row>
    <row r="444" spans="1:26" ht="15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</row>
    <row r="445" spans="1:26" ht="15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</row>
    <row r="446" spans="1:26" ht="15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</row>
    <row r="447" spans="1:26" ht="15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</row>
    <row r="448" spans="1:26" ht="15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</row>
    <row r="449" spans="1:26" ht="15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</row>
    <row r="450" spans="1:26" ht="15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</row>
    <row r="451" spans="1:26" ht="15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</row>
    <row r="452" spans="1:26" ht="15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</row>
    <row r="453" spans="1:26" ht="15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</row>
    <row r="454" spans="1:26" ht="15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</row>
    <row r="455" spans="1:26" ht="15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</row>
    <row r="456" spans="1:26" ht="15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</row>
    <row r="457" spans="1:26" ht="15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</row>
    <row r="458" spans="1:26" ht="15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</row>
    <row r="459" spans="1:26" ht="15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</row>
    <row r="460" spans="1:26" ht="15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</row>
    <row r="461" spans="1:26" ht="15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</row>
    <row r="462" spans="1:26" ht="15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</row>
    <row r="463" spans="1:26" ht="15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</row>
    <row r="464" spans="1:26" ht="15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</row>
    <row r="465" spans="1:26" ht="15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</row>
    <row r="466" spans="1:26" ht="15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</row>
    <row r="467" spans="1:26" ht="15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</row>
    <row r="468" spans="1:26" ht="15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</row>
    <row r="469" spans="1:26" ht="15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</row>
    <row r="470" spans="1:26" ht="15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</row>
    <row r="471" spans="1:26" ht="15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</row>
    <row r="472" spans="1:26" ht="15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</row>
    <row r="473" spans="1:26" ht="15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</row>
    <row r="474" spans="1:26" ht="15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</row>
    <row r="475" spans="1:26" ht="15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</row>
    <row r="476" spans="1:26" ht="15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</row>
    <row r="477" spans="1:26" ht="15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</row>
    <row r="478" spans="1:26" ht="15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</row>
    <row r="479" spans="1:26" ht="15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</row>
    <row r="480" spans="1:26" ht="15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</row>
    <row r="481" spans="1:26" ht="15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</row>
    <row r="482" spans="1:26" ht="15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</row>
    <row r="483" spans="1:26" ht="15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</row>
    <row r="484" spans="1:26" ht="15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</row>
    <row r="485" spans="1:26" ht="15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</row>
    <row r="486" spans="1:26" ht="15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</row>
    <row r="487" spans="1:26" ht="15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</row>
    <row r="488" spans="1:26" ht="15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</row>
    <row r="489" spans="1:26" ht="15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</row>
    <row r="490" spans="1:26" ht="15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</row>
    <row r="491" spans="1:26" ht="15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</row>
    <row r="492" spans="1:26" ht="15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</row>
    <row r="493" spans="1:26" ht="15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</row>
    <row r="494" spans="1:26" ht="15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</row>
    <row r="495" spans="1:26" ht="15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</row>
    <row r="496" spans="1:26" ht="15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</row>
    <row r="497" spans="1:26" ht="15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</row>
    <row r="498" spans="1:26" ht="15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</row>
    <row r="499" spans="1:26" ht="15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</row>
    <row r="500" spans="1:26" ht="15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</row>
    <row r="501" spans="1:26" ht="15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</row>
    <row r="502" spans="1:26" ht="15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</row>
    <row r="503" spans="1:26" ht="15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</row>
    <row r="504" spans="1:26" ht="15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</row>
    <row r="505" spans="1:26" ht="15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</row>
    <row r="506" spans="1:26" ht="15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</row>
    <row r="507" spans="1:26" ht="15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</row>
    <row r="508" spans="1:26" ht="15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</row>
    <row r="509" spans="1:26" ht="15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</row>
    <row r="510" spans="1:26" ht="15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</row>
    <row r="511" spans="1:26" ht="15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</row>
    <row r="512" spans="1:26" ht="15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</row>
    <row r="513" spans="1:26" ht="15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</row>
    <row r="514" spans="1:26" ht="15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</row>
    <row r="515" spans="1:26" ht="15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</row>
    <row r="516" spans="1:26" ht="15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</row>
    <row r="517" spans="1:26" ht="15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</row>
    <row r="518" spans="1:26" ht="15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</row>
    <row r="519" spans="1:26" ht="15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</row>
    <row r="520" spans="1:26" ht="15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</row>
    <row r="521" spans="1:26" ht="15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</row>
    <row r="522" spans="1:26" ht="15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</row>
    <row r="523" spans="1:26" ht="15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</row>
    <row r="524" spans="1:26" ht="15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</row>
    <row r="525" spans="1:26" ht="15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</row>
    <row r="526" spans="1:26" ht="15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</row>
    <row r="527" spans="1:26" ht="15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</row>
    <row r="528" spans="1:26" ht="15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</row>
    <row r="529" spans="1:26" ht="15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</row>
    <row r="530" spans="1:26" ht="15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</row>
    <row r="531" spans="1:26" ht="15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</row>
    <row r="532" spans="1:26" ht="15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</row>
    <row r="533" spans="1:26" ht="15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</row>
    <row r="534" spans="1:26" ht="15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</row>
    <row r="535" spans="1:26" ht="15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</row>
    <row r="536" spans="1:26" ht="15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</row>
    <row r="537" spans="1:26" ht="15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</row>
    <row r="538" spans="1:26" ht="15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</row>
    <row r="539" spans="1:26" ht="15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</row>
    <row r="540" spans="1:26" ht="15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</row>
    <row r="541" spans="1:26" ht="15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</row>
    <row r="542" spans="1:26" ht="15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</row>
    <row r="543" spans="1:26" ht="15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</row>
    <row r="544" spans="1:26" ht="15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</row>
    <row r="545" spans="1:26" ht="15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</row>
    <row r="546" spans="1:26" ht="15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</row>
    <row r="547" spans="1:26" ht="15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</row>
    <row r="548" spans="1:26" ht="15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</row>
    <row r="549" spans="1:26" ht="15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</row>
    <row r="550" spans="1:26" ht="15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</row>
    <row r="551" spans="1:26" ht="15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</row>
    <row r="552" spans="1:26" ht="15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</row>
    <row r="553" spans="1:26" ht="15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</row>
    <row r="554" spans="1:26" ht="15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</row>
    <row r="555" spans="1:26" ht="15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</row>
    <row r="556" spans="1:26" ht="15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</row>
    <row r="557" spans="1:26" ht="15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</row>
    <row r="558" spans="1:26" ht="15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</row>
    <row r="559" spans="1:26" ht="15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</row>
    <row r="560" spans="1:26" ht="15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</row>
    <row r="561" spans="1:26" ht="15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</row>
    <row r="562" spans="1:26" ht="15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</row>
    <row r="563" spans="1:26" ht="15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</row>
    <row r="564" spans="1:26" ht="15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</row>
    <row r="565" spans="1:26" ht="15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</row>
    <row r="566" spans="1:26" ht="15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</row>
    <row r="567" spans="1:26" ht="15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</row>
    <row r="568" spans="1:26" ht="15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</row>
    <row r="569" spans="1:26" ht="15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</row>
    <row r="570" spans="1:26" ht="15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</row>
    <row r="571" spans="1:26" ht="15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</row>
    <row r="572" spans="1:26" ht="15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</row>
    <row r="573" spans="1:26" ht="15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</row>
    <row r="574" spans="1:26" ht="15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</row>
    <row r="575" spans="1:26" ht="15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</row>
    <row r="576" spans="1:26" ht="15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</row>
    <row r="577" spans="1:26" ht="15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</row>
    <row r="578" spans="1:26" ht="15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</row>
    <row r="579" spans="1:26" ht="15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</row>
    <row r="580" spans="1:26" ht="15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</row>
    <row r="581" spans="1:26" ht="15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</row>
    <row r="582" spans="1:26" ht="15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</row>
    <row r="583" spans="1:26" ht="15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</row>
    <row r="584" spans="1:26" ht="15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</row>
    <row r="585" spans="1:26" ht="15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</row>
    <row r="586" spans="1:26" ht="15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</row>
    <row r="587" spans="1:26" ht="15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</row>
    <row r="588" spans="1:26" ht="15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</row>
    <row r="589" spans="1:26" ht="15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</row>
    <row r="590" spans="1:26" ht="15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</row>
    <row r="591" spans="1:26" ht="15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</row>
    <row r="592" spans="1:26" ht="15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</row>
    <row r="593" spans="1:26" ht="15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</row>
    <row r="594" spans="1:26" ht="15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</row>
    <row r="595" spans="1:26" ht="15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</row>
    <row r="596" spans="1:26" ht="15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</row>
    <row r="597" spans="1:26" ht="15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</row>
    <row r="598" spans="1:26" ht="15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</row>
    <row r="599" spans="1:26" ht="15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</row>
    <row r="600" spans="1:26" ht="15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</row>
    <row r="601" spans="1:26" ht="15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</row>
    <row r="602" spans="1:26" ht="15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</row>
    <row r="603" spans="1:26" ht="15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</row>
    <row r="604" spans="1:26" ht="15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</row>
    <row r="605" spans="1:26" ht="15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</row>
    <row r="606" spans="1:26" ht="15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</row>
    <row r="607" spans="1:26" ht="15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</row>
    <row r="608" spans="1:26" ht="15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</row>
    <row r="609" spans="1:26" ht="15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</row>
    <row r="610" spans="1:26" ht="15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</row>
    <row r="611" spans="1:26" ht="15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</row>
    <row r="612" spans="1:26" ht="15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</row>
    <row r="613" spans="1:26" ht="15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</row>
    <row r="614" spans="1:26" ht="15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</row>
    <row r="615" spans="1:26" ht="15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</row>
    <row r="616" spans="1:26" ht="15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</row>
    <row r="617" spans="1:26" ht="15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</row>
    <row r="618" spans="1:26" ht="15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</row>
    <row r="619" spans="1:26" ht="15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</row>
    <row r="620" spans="1:26" ht="15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</row>
    <row r="621" spans="1:26" ht="15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</row>
    <row r="622" spans="1:26" ht="15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</row>
    <row r="623" spans="1:26" ht="15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</row>
    <row r="624" spans="1:26" ht="15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</row>
    <row r="625" spans="1:26" ht="15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</row>
    <row r="626" spans="1:26" ht="15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</row>
    <row r="627" spans="1:26" ht="15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</row>
    <row r="628" spans="1:26" ht="15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</row>
    <row r="629" spans="1:26" ht="15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</row>
    <row r="630" spans="1:26" ht="15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</row>
    <row r="631" spans="1:26" ht="15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</row>
    <row r="632" spans="1:26" ht="15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</row>
    <row r="633" spans="1:26" ht="15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</row>
    <row r="634" spans="1:26" ht="15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</row>
    <row r="635" spans="1:26" ht="15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</row>
    <row r="636" spans="1:26" ht="15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</row>
    <row r="637" spans="1:26" ht="15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</row>
    <row r="638" spans="1:26" ht="15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</row>
    <row r="639" spans="1:26" ht="15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</row>
    <row r="640" spans="1:26" ht="15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</row>
    <row r="641" spans="1:26" ht="15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</row>
    <row r="642" spans="1:26" ht="15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</row>
    <row r="643" spans="1:26" ht="15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</row>
    <row r="644" spans="1:26" ht="15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</row>
    <row r="645" spans="1:26" ht="15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</row>
    <row r="646" spans="1:26" ht="15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</row>
    <row r="647" spans="1:26" ht="15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</row>
    <row r="648" spans="1:26" ht="15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</row>
    <row r="649" spans="1:26" ht="15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</row>
    <row r="650" spans="1:26" ht="15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</row>
    <row r="651" spans="1:26" ht="15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</row>
    <row r="652" spans="1:26" ht="15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</row>
    <row r="653" spans="1:26" ht="15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</row>
    <row r="654" spans="1:26" ht="15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</row>
    <row r="655" spans="1:26" ht="15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</row>
    <row r="656" spans="1:26" ht="15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</row>
    <row r="657" spans="1:26" ht="15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</row>
    <row r="658" spans="1:26" ht="15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</row>
    <row r="659" spans="1:26" ht="15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</row>
    <row r="660" spans="1:26" ht="15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</row>
    <row r="661" spans="1:26" ht="15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</row>
    <row r="662" spans="1:26" ht="15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</row>
    <row r="663" spans="1:26" ht="15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</row>
    <row r="664" spans="1:26" ht="15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</row>
    <row r="665" spans="1:26" ht="15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</row>
    <row r="666" spans="1:26" ht="15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</row>
    <row r="667" spans="1:26" ht="15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</row>
    <row r="668" spans="1:26" ht="15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</row>
    <row r="669" spans="1:26" ht="15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</row>
    <row r="670" spans="1:26" ht="15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</row>
    <row r="671" spans="1:26" ht="15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</row>
    <row r="672" spans="1:26" ht="15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</row>
    <row r="673" spans="1:26" ht="15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</row>
    <row r="674" spans="1:26" ht="15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</row>
    <row r="675" spans="1:26" ht="15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</row>
    <row r="676" spans="1:26" ht="15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</row>
    <row r="677" spans="1:26" ht="15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</row>
    <row r="678" spans="1:26" ht="15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</row>
    <row r="679" spans="1:26" ht="15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</row>
    <row r="680" spans="1:26" ht="15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</row>
    <row r="681" spans="1:26" ht="15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</row>
    <row r="682" spans="1:26" ht="15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</row>
    <row r="683" spans="1:26" ht="15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</row>
    <row r="684" spans="1:26" ht="15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</row>
    <row r="685" spans="1:26" ht="15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</row>
    <row r="686" spans="1:26" ht="15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</row>
    <row r="687" spans="1:26" ht="15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</row>
    <row r="688" spans="1:26" ht="15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</row>
    <row r="689" spans="1:26" ht="15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</row>
    <row r="690" spans="1:26" ht="15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</row>
    <row r="691" spans="1:26" ht="15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</row>
    <row r="692" spans="1:26" ht="15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</row>
    <row r="693" spans="1:26" ht="15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</row>
    <row r="694" spans="1:26" ht="15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</row>
    <row r="695" spans="1:26" ht="15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</row>
    <row r="696" spans="1:26" ht="15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</row>
    <row r="697" spans="1:26" ht="15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</row>
    <row r="698" spans="1:26" ht="15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</row>
    <row r="699" spans="1:26" ht="15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</row>
    <row r="700" spans="1:26" ht="15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</row>
    <row r="701" spans="1:26" ht="15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</row>
    <row r="702" spans="1:26" ht="15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</row>
    <row r="703" spans="1:26" ht="15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</row>
    <row r="704" spans="1:26" ht="15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</row>
    <row r="705" spans="1:26" ht="15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</row>
    <row r="706" spans="1:26" ht="15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</row>
    <row r="707" spans="1:26" ht="15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</row>
    <row r="708" spans="1:26" ht="15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</row>
    <row r="709" spans="1:26" ht="15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</row>
    <row r="710" spans="1:26" ht="15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</row>
    <row r="711" spans="1:26" ht="15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</row>
    <row r="712" spans="1:26" ht="15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</row>
    <row r="713" spans="1:26" ht="15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</row>
    <row r="714" spans="1:26" ht="15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</row>
    <row r="715" spans="1:26" ht="15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</row>
    <row r="716" spans="1:26" ht="15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</row>
    <row r="717" spans="1:26" ht="15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</row>
    <row r="718" spans="1:26" ht="15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</row>
    <row r="719" spans="1:26" ht="15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</row>
    <row r="720" spans="1:26" ht="15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</row>
    <row r="721" spans="1:26" ht="15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</row>
    <row r="722" spans="1:26" ht="15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</row>
    <row r="723" spans="1:26" ht="15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</row>
    <row r="724" spans="1:26" ht="15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</row>
    <row r="725" spans="1:26" ht="15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</row>
    <row r="726" spans="1:26" ht="15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</row>
    <row r="727" spans="1:26" ht="15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</row>
    <row r="728" spans="1:26" ht="15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</row>
    <row r="729" spans="1:26" ht="15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</row>
    <row r="730" spans="1:26" ht="15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</row>
    <row r="731" spans="1:26" ht="15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</row>
    <row r="732" spans="1:26" ht="15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</row>
    <row r="733" spans="1:26" ht="15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</row>
    <row r="734" spans="1:26" ht="15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</row>
    <row r="735" spans="1:26" ht="15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</row>
    <row r="736" spans="1:26" ht="15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</row>
    <row r="737" spans="1:26" ht="15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</row>
    <row r="738" spans="1:26" ht="15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</row>
    <row r="739" spans="1:26" ht="15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</row>
    <row r="740" spans="1:26" ht="15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</row>
    <row r="741" spans="1:26" ht="15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</row>
    <row r="742" spans="1:26" ht="15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</row>
    <row r="743" spans="1:26" ht="15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</row>
    <row r="744" spans="1:26" ht="15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</row>
    <row r="745" spans="1:26" ht="15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</row>
    <row r="746" spans="1:26" ht="15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</row>
    <row r="747" spans="1:26" ht="15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</row>
    <row r="748" spans="1:26" ht="15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</row>
    <row r="749" spans="1:26" ht="15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</row>
    <row r="750" spans="1:26" ht="15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</row>
    <row r="751" spans="1:26" ht="15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</row>
    <row r="752" spans="1:26" ht="15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</row>
    <row r="753" spans="1:26" ht="15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</row>
    <row r="754" spans="1:26" ht="15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</row>
    <row r="755" spans="1:26" ht="15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</row>
    <row r="756" spans="1:26" ht="15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</row>
    <row r="757" spans="1:26" ht="15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</row>
    <row r="758" spans="1:26" ht="15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</row>
    <row r="759" spans="1:26" ht="15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</row>
    <row r="760" spans="1:26" ht="15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</row>
    <row r="761" spans="1:26" ht="15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</row>
    <row r="762" spans="1:26" ht="15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</row>
    <row r="763" spans="1:26" ht="15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</row>
    <row r="764" spans="1:26" ht="15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</row>
    <row r="765" spans="1:26" ht="15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</row>
    <row r="766" spans="1:26" ht="15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</row>
    <row r="767" spans="1:26" ht="15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</row>
    <row r="768" spans="1:26" ht="15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</row>
    <row r="769" spans="1:26" ht="15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</row>
    <row r="770" spans="1:26" ht="15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</row>
    <row r="771" spans="1:26" ht="15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</row>
    <row r="772" spans="1:26" ht="15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</row>
    <row r="773" spans="1:26" ht="15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</row>
    <row r="774" spans="1:26" ht="15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</row>
    <row r="775" spans="1:26" ht="15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</row>
    <row r="776" spans="1:26" ht="15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</row>
    <row r="777" spans="1:26" ht="15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</row>
    <row r="778" spans="1:26" ht="15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</row>
    <row r="779" spans="1:26" ht="15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</row>
    <row r="780" spans="1:26" ht="15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</row>
    <row r="781" spans="1:26" ht="15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</row>
    <row r="782" spans="1:26" ht="15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</row>
    <row r="783" spans="1:26" ht="15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</row>
    <row r="784" spans="1:26" ht="15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</row>
    <row r="785" spans="1:26" ht="15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</row>
    <row r="786" spans="1:26" ht="15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</row>
    <row r="787" spans="1:26" ht="15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</row>
    <row r="788" spans="1:26" ht="15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</row>
    <row r="789" spans="1:26" ht="15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</row>
    <row r="790" spans="1:26" ht="15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</row>
    <row r="791" spans="1:26" ht="15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</row>
    <row r="792" spans="1:26" ht="15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</row>
    <row r="793" spans="1:26" ht="15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</row>
    <row r="794" spans="1:26" ht="15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</row>
    <row r="795" spans="1:26" ht="15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</row>
    <row r="796" spans="1:26" ht="15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</row>
    <row r="797" spans="1:26" ht="15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</row>
    <row r="798" spans="1:26" ht="15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</row>
    <row r="799" spans="1:26" ht="15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</row>
    <row r="800" spans="1:26" ht="15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</row>
    <row r="801" spans="1:26" ht="15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</row>
    <row r="802" spans="1:26" ht="15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</row>
    <row r="803" spans="1:26" ht="15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</row>
    <row r="804" spans="1:26" ht="15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</row>
    <row r="805" spans="1:26" ht="15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</row>
    <row r="806" spans="1:26" ht="15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</row>
    <row r="807" spans="1:26" ht="15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</row>
    <row r="808" spans="1:26" ht="15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</row>
    <row r="809" spans="1:26" ht="15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</row>
    <row r="810" spans="1:26" ht="15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</row>
    <row r="811" spans="1:26" ht="15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</row>
    <row r="812" spans="1:26" ht="15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</row>
    <row r="813" spans="1:26" ht="15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</row>
    <row r="814" spans="1:26" ht="15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</row>
    <row r="815" spans="1:26" ht="15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</row>
    <row r="816" spans="1:26" ht="15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</row>
    <row r="817" spans="1:26" ht="15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</row>
    <row r="818" spans="1:26" ht="15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</row>
    <row r="819" spans="1:26" ht="15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</row>
    <row r="820" spans="1:26" ht="15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</row>
    <row r="821" spans="1:26" ht="15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</row>
    <row r="822" spans="1:26" ht="15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</row>
    <row r="823" spans="1:26" ht="15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</row>
    <row r="824" spans="1:26" ht="15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</row>
    <row r="825" spans="1:26" ht="15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</row>
    <row r="826" spans="1:26" ht="15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</row>
    <row r="827" spans="1:26" ht="15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</row>
    <row r="828" spans="1:26" ht="15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</row>
    <row r="829" spans="1:26" ht="15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</row>
    <row r="830" spans="1:26" ht="15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</row>
    <row r="831" spans="1:26" ht="15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</row>
    <row r="832" spans="1:26" ht="15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</row>
    <row r="833" spans="1:26" ht="15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</row>
    <row r="834" spans="1:26" ht="15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</row>
    <row r="835" spans="1:26" ht="15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</row>
    <row r="836" spans="1:26" ht="15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</row>
    <row r="837" spans="1:26" ht="15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</row>
    <row r="838" spans="1:26" ht="15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</row>
    <row r="839" spans="1:26" ht="15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</row>
    <row r="840" spans="1:26" ht="15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</row>
    <row r="841" spans="1:26" ht="15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</row>
    <row r="842" spans="1:26" ht="15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</row>
    <row r="843" spans="1:26" ht="15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</row>
    <row r="844" spans="1:26" ht="15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</row>
    <row r="845" spans="1:26" ht="15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</row>
    <row r="846" spans="1:26" ht="15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</row>
    <row r="847" spans="1:26" ht="15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</row>
    <row r="848" spans="1:26" ht="15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</row>
    <row r="849" spans="1:26" ht="15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</row>
    <row r="850" spans="1:26" ht="15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</row>
    <row r="851" spans="1:26" ht="15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</row>
    <row r="852" spans="1:26" ht="15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</row>
    <row r="853" spans="1:26" ht="15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</row>
    <row r="854" spans="1:26" ht="15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</row>
    <row r="855" spans="1:26" ht="15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</row>
    <row r="856" spans="1:26" ht="15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</row>
    <row r="857" spans="1:26" ht="15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</row>
    <row r="858" spans="1:26" ht="15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</row>
    <row r="859" spans="1:26" ht="15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</row>
    <row r="860" spans="1:26" ht="15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</row>
    <row r="861" spans="1:26" ht="15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</row>
    <row r="862" spans="1:26" ht="15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</row>
    <row r="863" spans="1:26" ht="15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</row>
    <row r="864" spans="1:26" ht="15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</row>
    <row r="865" spans="1:26" ht="15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</row>
    <row r="866" spans="1:26" ht="15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</row>
    <row r="867" spans="1:26" ht="15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</row>
    <row r="868" spans="1:26" ht="15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</row>
    <row r="869" spans="1:26" ht="15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</row>
    <row r="870" spans="1:26" ht="15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</row>
    <row r="871" spans="1:26" ht="15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</row>
    <row r="872" spans="1:26" ht="15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</row>
    <row r="873" spans="1:26" ht="15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</row>
    <row r="874" spans="1:26" ht="15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</row>
    <row r="875" spans="1:26" ht="15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</row>
    <row r="876" spans="1:26" ht="15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</row>
    <row r="877" spans="1:26" ht="15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</row>
    <row r="878" spans="1:26" ht="15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</row>
    <row r="879" spans="1:26" ht="15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</row>
    <row r="880" spans="1:26" ht="15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</row>
    <row r="881" spans="1:26" ht="15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</row>
    <row r="882" spans="1:26" ht="15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</row>
    <row r="883" spans="1:26" ht="15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</row>
    <row r="884" spans="1:26" ht="15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</row>
    <row r="885" spans="1:26" ht="15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</row>
    <row r="886" spans="1:26" ht="15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</row>
    <row r="887" spans="1:26" ht="15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</row>
    <row r="888" spans="1:26" ht="15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</row>
    <row r="889" spans="1:26" ht="15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</row>
    <row r="890" spans="1:26" ht="15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</row>
    <row r="891" spans="1:26" ht="15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</row>
    <row r="892" spans="1:26" ht="15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</row>
    <row r="893" spans="1:26" ht="15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</row>
    <row r="894" spans="1:26" ht="15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</row>
    <row r="895" spans="1:26" ht="15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</row>
    <row r="896" spans="1:26" ht="15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</row>
    <row r="897" spans="1:26" ht="15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</row>
    <row r="898" spans="1:26" ht="15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</row>
    <row r="899" spans="1:26" ht="15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</row>
    <row r="900" spans="1:26" ht="15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</row>
    <row r="901" spans="1:26" ht="15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</row>
    <row r="902" spans="1:26" ht="15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</row>
    <row r="903" spans="1:26" ht="15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</row>
    <row r="904" spans="1:26" ht="15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</row>
    <row r="905" spans="1:26" ht="15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</row>
    <row r="906" spans="1:26" ht="15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</row>
    <row r="907" spans="1:26" ht="15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</row>
    <row r="908" spans="1:26" ht="15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</row>
    <row r="909" spans="1:26" ht="15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</row>
    <row r="910" spans="1:26" ht="15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</row>
    <row r="911" spans="1:26" ht="15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</row>
    <row r="912" spans="1:26" ht="15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</row>
    <row r="913" spans="1:26" ht="15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</row>
    <row r="914" spans="1:26" ht="15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</row>
    <row r="915" spans="1:26" ht="15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</row>
    <row r="916" spans="1:26" ht="15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</row>
    <row r="917" spans="1:26" ht="15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</row>
    <row r="918" spans="1:26" ht="15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</row>
    <row r="919" spans="1:26" ht="15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</row>
    <row r="920" spans="1:26" ht="15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</row>
    <row r="921" spans="1:26" ht="15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</row>
    <row r="922" spans="1:26" ht="15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</row>
    <row r="923" spans="1:26" ht="15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</row>
    <row r="924" spans="1:26" ht="15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</row>
    <row r="925" spans="1:26" ht="15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</row>
    <row r="926" spans="1:26" ht="15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</row>
    <row r="927" spans="1:26" ht="15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</row>
    <row r="928" spans="1:26" ht="15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</row>
    <row r="929" spans="1:26" ht="15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</row>
    <row r="930" spans="1:26" ht="15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</row>
    <row r="931" spans="1:26" ht="15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</row>
    <row r="932" spans="1:26" ht="15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</row>
    <row r="933" spans="1:26" ht="15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</row>
    <row r="934" spans="1:26" ht="15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</row>
    <row r="935" spans="1:26" ht="1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</row>
    <row r="936" spans="1:26" ht="15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</row>
    <row r="937" spans="1:26" ht="15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</row>
    <row r="938" spans="1:26" ht="15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</row>
    <row r="939" spans="1:26" ht="15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</row>
    <row r="940" spans="1:26" ht="15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</row>
    <row r="941" spans="1:26" ht="15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</row>
    <row r="942" spans="1:26" ht="15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</row>
    <row r="943" spans="1:26" ht="15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</row>
    <row r="944" spans="1:26" ht="15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</row>
    <row r="945" spans="1:26" ht="15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</row>
    <row r="946" spans="1:26" ht="15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</row>
    <row r="947" spans="1:26" ht="15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</row>
    <row r="948" spans="1:26" ht="15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</row>
    <row r="949" spans="1:26" ht="15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</row>
    <row r="950" spans="1:26" ht="15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</row>
    <row r="951" spans="1:26" ht="15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</row>
    <row r="952" spans="1:26" ht="15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</row>
    <row r="953" spans="1:26" ht="15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</row>
    <row r="954" spans="1:26" ht="15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</row>
    <row r="955" spans="1:26" ht="15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</row>
    <row r="956" spans="1:26" ht="15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</row>
    <row r="957" spans="1:26" ht="15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</row>
    <row r="958" spans="1:26" ht="15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</row>
    <row r="959" spans="1:26" ht="15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</row>
    <row r="960" spans="1:26" ht="15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</row>
    <row r="961" spans="1:26" ht="15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</row>
    <row r="962" spans="1:26" ht="15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</row>
    <row r="963" spans="1:26" ht="15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</row>
    <row r="964" spans="1:26" ht="15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6" ht="15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spans="1:26" ht="15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spans="1:26" ht="15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spans="1:26" ht="15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</row>
    <row r="969" spans="1:26" ht="15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</row>
    <row r="970" spans="1:26" ht="15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</row>
    <row r="971" spans="1:26" ht="15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</row>
    <row r="972" spans="1:26" ht="15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</row>
    <row r="973" spans="1:26" ht="15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</row>
    <row r="974" spans="1:26" ht="15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</row>
    <row r="975" spans="1:26" ht="15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</row>
    <row r="976" spans="1:26" ht="15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</row>
    <row r="977" spans="1:26" ht="15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</row>
    <row r="978" spans="1:26" ht="15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</row>
    <row r="979" spans="1:26" ht="15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</row>
    <row r="980" spans="1:26" ht="15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</row>
    <row r="981" spans="1:26" ht="15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</row>
    <row r="982" spans="1:26" ht="15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</row>
    <row r="983" spans="1:26" ht="15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</row>
    <row r="984" spans="1:26" ht="15"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</row>
    <row r="985" spans="1:26" ht="15"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</row>
    <row r="986" spans="1:26" ht="15"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</row>
    <row r="987" spans="1:26" ht="15"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</row>
    <row r="988" spans="1:26" ht="15"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</row>
    <row r="989" spans="1:26" ht="15"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</row>
    <row r="990" spans="1:26" ht="15"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</row>
    <row r="991" spans="1:26" ht="15"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</row>
    <row r="992" spans="1:26" ht="15"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</row>
    <row r="993" spans="6:26" ht="15"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</row>
    <row r="994" spans="6:26" ht="15"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</row>
    <row r="995" spans="6:26" ht="15"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</row>
    <row r="996" spans="6:26" ht="15">
      <c r="F996" s="84"/>
      <c r="G996" s="84"/>
      <c r="H996" s="84"/>
      <c r="I996" s="84"/>
      <c r="J996" s="84"/>
      <c r="V996" s="84"/>
      <c r="W996" s="84"/>
      <c r="X996" s="84"/>
      <c r="Y996" s="84"/>
      <c r="Z996" s="84"/>
    </row>
  </sheetData>
  <sheetProtection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41EDEFFC-05BB-4CE1-931A-945BD2CF0F54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W539"/>
  <sheetViews>
    <sheetView showGridLines="0" topLeftCell="E1" zoomScale="90" zoomScaleNormal="90" workbookViewId="0">
      <pane ySplit="2" topLeftCell="A3" activePane="bottomLeft" state="frozen"/>
      <selection pane="bottomLeft" activeCell="G3" sqref="G3"/>
    </sheetView>
  </sheetViews>
  <sheetFormatPr defaultColWidth="9.140625" defaultRowHeight="15" zeroHeight="1"/>
  <cols>
    <col min="1" max="1" width="7.85546875" style="298" bestFit="1" customWidth="1"/>
    <col min="2" max="2" width="33.7109375" customWidth="1"/>
    <col min="3" max="3" width="7" bestFit="1" customWidth="1"/>
    <col min="4" max="4" width="29.85546875" customWidth="1"/>
    <col min="5" max="5" width="13.140625" customWidth="1"/>
    <col min="6" max="6" width="46" customWidth="1"/>
    <col min="7" max="7" width="16.42578125" style="6" customWidth="1"/>
    <col min="8" max="8" width="17" style="355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98" t="s">
        <v>5252</v>
      </c>
      <c r="B1" s="398"/>
      <c r="C1" s="398"/>
      <c r="D1" s="398"/>
      <c r="E1" s="117" t="str">
        <f>IF(OR('OPĆI DIO'!C3="odaberite -",'OPĆI DIO'!C3=""),"Molimo odaberite proračunskog korisnika na radnom listu Opći podaci!","")</f>
        <v/>
      </c>
      <c r="I1" s="294" t="s">
        <v>5251</v>
      </c>
    </row>
    <row r="2" spans="1:23" ht="36" customHeight="1">
      <c r="A2" s="350" t="s">
        <v>38</v>
      </c>
      <c r="B2" s="25" t="s">
        <v>39</v>
      </c>
      <c r="C2" s="25" t="s">
        <v>40</v>
      </c>
      <c r="D2" s="25" t="s">
        <v>41</v>
      </c>
      <c r="E2" s="79" t="s">
        <v>656</v>
      </c>
      <c r="F2" s="25" t="s">
        <v>657</v>
      </c>
      <c r="G2" s="326" t="s">
        <v>5265</v>
      </c>
      <c r="H2" s="356" t="s">
        <v>5266</v>
      </c>
      <c r="I2" s="326" t="s">
        <v>5267</v>
      </c>
      <c r="J2" s="280" t="s">
        <v>5250</v>
      </c>
      <c r="L2" s="75" t="s">
        <v>636</v>
      </c>
      <c r="M2" s="75" t="s">
        <v>637</v>
      </c>
      <c r="R2" s="19" t="s">
        <v>649</v>
      </c>
    </row>
    <row r="3" spans="1:23">
      <c r="A3" s="333" t="s">
        <v>44</v>
      </c>
      <c r="B3" s="70" t="s">
        <v>5268</v>
      </c>
      <c r="C3" s="115">
        <v>11</v>
      </c>
      <c r="D3" s="69" t="s">
        <v>46</v>
      </c>
      <c r="E3" s="81" t="s">
        <v>649</v>
      </c>
      <c r="F3" s="118" t="str">
        <f t="shared" ref="F3:F10" si="0">IFERROR(VLOOKUP(E3,$R$6:$U$116,2,FALSE),"")</f>
        <v>Prihodi iz nadležnog proračuna za financiranje redovne djelatnosti proračunskih korisnika</v>
      </c>
      <c r="G3" s="113">
        <v>4387971</v>
      </c>
      <c r="H3" s="113">
        <f>I3-G3</f>
        <v>-1110052</v>
      </c>
      <c r="I3" s="113">
        <f>3127169+150750</f>
        <v>3277919</v>
      </c>
      <c r="J3" s="81"/>
      <c r="L3" s="72" t="str">
        <f>LEFT(E3,2)</f>
        <v>67</v>
      </c>
      <c r="M3" s="72" t="str">
        <f>LEFT(E3,3)</f>
        <v>671</v>
      </c>
      <c r="N3" t="s">
        <v>265</v>
      </c>
      <c r="R3" s="19" t="s">
        <v>650</v>
      </c>
    </row>
    <row r="4" spans="1:23">
      <c r="A4" s="333" t="s">
        <v>44</v>
      </c>
      <c r="B4" s="70" t="s">
        <v>5268</v>
      </c>
      <c r="C4" s="115">
        <v>12</v>
      </c>
      <c r="D4" s="69" t="str">
        <f t="shared" ref="D4:D67" si="1">IFERROR(VLOOKUP(E4,$R$6:$U$116,4,FALSE),"")</f>
        <v>Sredstva učešća za pomoći</v>
      </c>
      <c r="E4" s="81" t="s">
        <v>650</v>
      </c>
      <c r="F4" s="118" t="str">
        <f t="shared" si="0"/>
        <v>Prihodi iz nadležnog proračuna za financiranje redovne djelatnosti proračunskih korisnika</v>
      </c>
      <c r="G4" s="113">
        <v>111795</v>
      </c>
      <c r="H4" s="113">
        <f t="shared" ref="H4:H22" si="2">I4-G4</f>
        <v>36415</v>
      </c>
      <c r="I4" s="113">
        <f>123523+17769+6918</f>
        <v>148210</v>
      </c>
      <c r="J4" s="81"/>
      <c r="L4" s="72" t="str">
        <f t="shared" ref="L4:L70" si="3">LEFT(E4,2)</f>
        <v>67</v>
      </c>
      <c r="M4" s="72" t="str">
        <f t="shared" ref="M4:M70" si="4">LEFT(E4,3)</f>
        <v>671</v>
      </c>
    </row>
    <row r="5" spans="1:23">
      <c r="A5" s="333" t="s">
        <v>44</v>
      </c>
      <c r="B5" s="70" t="s">
        <v>5268</v>
      </c>
      <c r="C5" s="115">
        <v>31</v>
      </c>
      <c r="D5" s="69" t="str">
        <f t="shared" si="1"/>
        <v>Vlastiti prihodi</v>
      </c>
      <c r="E5" s="81">
        <v>641310031</v>
      </c>
      <c r="F5" s="118" t="str">
        <f t="shared" si="0"/>
        <v>Kamate na oročena sredstva izvor 31</v>
      </c>
      <c r="G5" s="113">
        <v>0</v>
      </c>
      <c r="H5" s="113">
        <f t="shared" si="2"/>
        <v>0</v>
      </c>
      <c r="I5" s="113">
        <v>0</v>
      </c>
      <c r="J5" s="81"/>
      <c r="L5" s="72" t="str">
        <f t="shared" si="3"/>
        <v>64</v>
      </c>
      <c r="M5" s="72" t="str">
        <f t="shared" si="4"/>
        <v>641</v>
      </c>
      <c r="N5" s="72" t="s">
        <v>40</v>
      </c>
      <c r="O5" s="72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0" t="s">
        <v>653</v>
      </c>
      <c r="W5" s="80" t="s">
        <v>5080</v>
      </c>
    </row>
    <row r="6" spans="1:23">
      <c r="A6" s="333" t="s">
        <v>44</v>
      </c>
      <c r="B6" s="70" t="s">
        <v>5268</v>
      </c>
      <c r="C6" s="115">
        <f t="shared" ref="C6:C69" si="5">IFERROR(VLOOKUP(E6,$R$6:$U$116,3,FALSE),"")</f>
        <v>31</v>
      </c>
      <c r="D6" s="69" t="str">
        <f t="shared" si="1"/>
        <v>Vlastiti prihodi</v>
      </c>
      <c r="E6" s="81">
        <v>641320031</v>
      </c>
      <c r="F6" s="118" t="str">
        <f t="shared" si="0"/>
        <v>Kamate na depozite po viđenju izvor 31</v>
      </c>
      <c r="G6" s="113">
        <v>500</v>
      </c>
      <c r="H6" s="113">
        <f t="shared" si="2"/>
        <v>-400</v>
      </c>
      <c r="I6" s="113">
        <v>100</v>
      </c>
      <c r="J6" s="81"/>
      <c r="L6" s="72" t="str">
        <f t="shared" si="3"/>
        <v>64</v>
      </c>
      <c r="M6" s="72" t="str">
        <f t="shared" si="4"/>
        <v>641</v>
      </c>
      <c r="N6" s="72">
        <v>11</v>
      </c>
      <c r="O6" s="72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333" t="s">
        <v>44</v>
      </c>
      <c r="B7" s="70" t="s">
        <v>5268</v>
      </c>
      <c r="C7" s="115">
        <f t="shared" si="5"/>
        <v>31</v>
      </c>
      <c r="D7" s="69" t="str">
        <f t="shared" si="1"/>
        <v>Vlastiti prihodi</v>
      </c>
      <c r="E7" s="81">
        <v>641510031</v>
      </c>
      <c r="F7" s="118" t="str">
        <f t="shared" si="0"/>
        <v>Prihodi od pozitivnih tečajnih razlika izvor 31</v>
      </c>
      <c r="G7" s="113">
        <v>10000</v>
      </c>
      <c r="H7" s="113">
        <f t="shared" si="2"/>
        <v>-9900</v>
      </c>
      <c r="I7" s="113">
        <v>100</v>
      </c>
      <c r="J7" s="81"/>
      <c r="L7" s="72" t="str">
        <f t="shared" si="3"/>
        <v>64</v>
      </c>
      <c r="M7" s="72" t="str">
        <f t="shared" si="4"/>
        <v>641</v>
      </c>
      <c r="N7" s="72">
        <v>12</v>
      </c>
      <c r="O7" s="72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333" t="s">
        <v>44</v>
      </c>
      <c r="B8" s="70" t="s">
        <v>5268</v>
      </c>
      <c r="C8" s="115">
        <f t="shared" si="5"/>
        <v>31</v>
      </c>
      <c r="D8" s="69" t="str">
        <f t="shared" si="1"/>
        <v>Vlastiti prihodi</v>
      </c>
      <c r="E8" s="81">
        <v>6614</v>
      </c>
      <c r="F8" s="118" t="str">
        <f t="shared" si="0"/>
        <v>Prihodi od prodanih proizvoda i robe</v>
      </c>
      <c r="G8" s="113">
        <v>0</v>
      </c>
      <c r="H8" s="113">
        <f t="shared" si="2"/>
        <v>0</v>
      </c>
      <c r="I8" s="113">
        <v>0</v>
      </c>
      <c r="J8" s="81"/>
      <c r="L8" s="72" t="str">
        <f t="shared" si="3"/>
        <v>66</v>
      </c>
      <c r="M8" s="72" t="str">
        <f t="shared" si="4"/>
        <v>661</v>
      </c>
      <c r="N8" s="72">
        <v>31</v>
      </c>
      <c r="O8" s="72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333" t="s">
        <v>44</v>
      </c>
      <c r="B9" s="70" t="s">
        <v>5268</v>
      </c>
      <c r="C9" s="115">
        <f t="shared" si="5"/>
        <v>31</v>
      </c>
      <c r="D9" s="69" t="str">
        <f t="shared" si="1"/>
        <v>Vlastiti prihodi</v>
      </c>
      <c r="E9" s="81">
        <v>6615</v>
      </c>
      <c r="F9" s="118" t="str">
        <f t="shared" si="0"/>
        <v>Prihodi od pruženih usluga</v>
      </c>
      <c r="G9" s="113">
        <v>74975</v>
      </c>
      <c r="H9" s="113">
        <f t="shared" si="2"/>
        <v>6025</v>
      </c>
      <c r="I9" s="113">
        <v>81000</v>
      </c>
      <c r="J9" s="81"/>
      <c r="L9" s="72" t="str">
        <f t="shared" si="3"/>
        <v>66</v>
      </c>
      <c r="M9" s="72" t="str">
        <f t="shared" si="4"/>
        <v>661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333" t="s">
        <v>44</v>
      </c>
      <c r="B10" s="70" t="s">
        <v>5268</v>
      </c>
      <c r="C10" s="115">
        <f t="shared" si="5"/>
        <v>43</v>
      </c>
      <c r="D10" s="69" t="str">
        <f t="shared" si="1"/>
        <v>Ostali prihodi za posebne namjene</v>
      </c>
      <c r="E10" s="81">
        <v>65264</v>
      </c>
      <c r="F10" s="118" t="str">
        <f t="shared" si="0"/>
        <v>Sufinanciranje cijene usluge, participacije i slično</v>
      </c>
      <c r="G10" s="113">
        <v>778984</v>
      </c>
      <c r="H10" s="113">
        <f t="shared" si="2"/>
        <v>-528984</v>
      </c>
      <c r="I10" s="113">
        <v>250000</v>
      </c>
      <c r="J10" s="81"/>
      <c r="L10" s="72" t="str">
        <f t="shared" si="3"/>
        <v>65</v>
      </c>
      <c r="M10" s="72" t="str">
        <f t="shared" si="4"/>
        <v>652</v>
      </c>
      <c r="N10" s="72">
        <v>43</v>
      </c>
      <c r="O10" s="72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333" t="s">
        <v>44</v>
      </c>
      <c r="B11" s="70" t="s">
        <v>5268</v>
      </c>
      <c r="C11" s="115">
        <f t="shared" si="5"/>
        <v>43</v>
      </c>
      <c r="D11" s="69" t="str">
        <f t="shared" si="1"/>
        <v>Ostali prihodi za posebne namjene</v>
      </c>
      <c r="E11" s="81">
        <v>652670043</v>
      </c>
      <c r="F11" s="118" t="s">
        <v>5281</v>
      </c>
      <c r="G11" s="113">
        <v>0</v>
      </c>
      <c r="H11" s="113">
        <f t="shared" si="2"/>
        <v>1000</v>
      </c>
      <c r="I11" s="113">
        <v>1000</v>
      </c>
      <c r="J11" s="81"/>
      <c r="L11" s="72"/>
      <c r="M11" s="72"/>
      <c r="N11" s="72"/>
      <c r="O11" s="72"/>
      <c r="R11" s="5"/>
      <c r="S11" s="5"/>
      <c r="T11" s="5"/>
      <c r="U11" s="5"/>
    </row>
    <row r="12" spans="1:23">
      <c r="A12" s="333" t="s">
        <v>44</v>
      </c>
      <c r="B12" s="70" t="s">
        <v>5268</v>
      </c>
      <c r="C12" s="115">
        <f t="shared" si="5"/>
        <v>43</v>
      </c>
      <c r="D12" s="69" t="str">
        <f t="shared" si="1"/>
        <v>Ostali prihodi za posebne namjene</v>
      </c>
      <c r="E12" s="81">
        <v>65268</v>
      </c>
      <c r="F12" s="118" t="str">
        <f>IFERROR(VLOOKUP(E12,$R$6:$U$116,2,FALSE),"")</f>
        <v xml:space="preserve">Ostali prihodi za posebne namjene </v>
      </c>
      <c r="G12" s="113">
        <v>780280</v>
      </c>
      <c r="H12" s="113">
        <f t="shared" si="2"/>
        <v>-330280</v>
      </c>
      <c r="I12" s="113">
        <v>450000</v>
      </c>
      <c r="J12" s="81"/>
      <c r="L12" s="72" t="str">
        <f t="shared" si="3"/>
        <v>65</v>
      </c>
      <c r="M12" s="72" t="str">
        <f t="shared" si="4"/>
        <v>652</v>
      </c>
      <c r="N12" s="72">
        <v>51</v>
      </c>
      <c r="O12" s="72" t="s">
        <v>86</v>
      </c>
      <c r="R12" s="5">
        <v>614840041</v>
      </c>
      <c r="S12" s="5" t="s">
        <v>1215</v>
      </c>
      <c r="T12" s="5">
        <v>41</v>
      </c>
      <c r="U12" s="5" t="s">
        <v>1208</v>
      </c>
      <c r="V12">
        <v>614</v>
      </c>
      <c r="W12">
        <v>61</v>
      </c>
    </row>
    <row r="13" spans="1:23">
      <c r="A13" s="333" t="s">
        <v>44</v>
      </c>
      <c r="B13" s="70" t="s">
        <v>5268</v>
      </c>
      <c r="C13" s="115">
        <f t="shared" si="5"/>
        <v>43</v>
      </c>
      <c r="D13" s="69" t="str">
        <f t="shared" si="1"/>
        <v>Ostali prihodi za posebne namjene</v>
      </c>
      <c r="E13" s="81">
        <v>683110043</v>
      </c>
      <c r="F13" s="118" t="s">
        <v>5282</v>
      </c>
      <c r="G13" s="113">
        <v>0</v>
      </c>
      <c r="H13" s="113">
        <f t="shared" si="2"/>
        <v>5000</v>
      </c>
      <c r="I13" s="113">
        <v>5000</v>
      </c>
      <c r="J13" s="81"/>
      <c r="L13" s="72"/>
      <c r="M13" s="72"/>
      <c r="N13" s="72"/>
      <c r="O13" s="72"/>
      <c r="R13" s="5"/>
      <c r="S13" s="5"/>
      <c r="T13" s="5"/>
      <c r="U13" s="5"/>
    </row>
    <row r="14" spans="1:23">
      <c r="A14" s="333" t="s">
        <v>44</v>
      </c>
      <c r="B14" s="70" t="s">
        <v>5268</v>
      </c>
      <c r="C14" s="115">
        <f t="shared" si="5"/>
        <v>52</v>
      </c>
      <c r="D14" s="69" t="str">
        <f t="shared" si="1"/>
        <v xml:space="preserve">Ostale pomoći i darovnice </v>
      </c>
      <c r="E14" s="81">
        <v>631120000</v>
      </c>
      <c r="F14" s="118" t="str">
        <f t="shared" ref="F14:F77" si="6">IFERROR(VLOOKUP(E14,$R$6:$U$116,2,FALSE),"")</f>
        <v>Tekuće pomoći od inozemnih vlada izvan EU</v>
      </c>
      <c r="G14" s="113">
        <v>2000</v>
      </c>
      <c r="H14" s="113">
        <f t="shared" si="2"/>
        <v>16837</v>
      </c>
      <c r="I14" s="113">
        <v>18837</v>
      </c>
      <c r="J14" s="81"/>
      <c r="L14" s="72" t="str">
        <f t="shared" si="3"/>
        <v>63</v>
      </c>
      <c r="M14" s="72" t="str">
        <f t="shared" si="4"/>
        <v>631</v>
      </c>
      <c r="N14" s="72">
        <v>52</v>
      </c>
      <c r="O14" s="72" t="s">
        <v>109</v>
      </c>
      <c r="R14" s="5">
        <v>631110000</v>
      </c>
      <c r="S14" s="5" t="s">
        <v>22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333" t="s">
        <v>44</v>
      </c>
      <c r="B15" s="70" t="s">
        <v>5268</v>
      </c>
      <c r="C15" s="115">
        <f t="shared" si="5"/>
        <v>52</v>
      </c>
      <c r="D15" s="69" t="str">
        <f t="shared" si="1"/>
        <v xml:space="preserve">Ostale pomoći i darovnice </v>
      </c>
      <c r="E15" s="81">
        <v>6341</v>
      </c>
      <c r="F15" s="118" t="str">
        <f t="shared" si="6"/>
        <v xml:space="preserve">Tekuće pomoći od izvanproračunskih korisnika </v>
      </c>
      <c r="G15" s="113">
        <v>0</v>
      </c>
      <c r="H15" s="113">
        <f t="shared" si="2"/>
        <v>0</v>
      </c>
      <c r="I15" s="113">
        <v>0</v>
      </c>
      <c r="J15" s="81"/>
      <c r="L15" s="72" t="str">
        <f t="shared" si="3"/>
        <v>63</v>
      </c>
      <c r="M15" s="72" t="str">
        <f t="shared" si="4"/>
        <v>634</v>
      </c>
      <c r="N15">
        <v>552</v>
      </c>
      <c r="O15" t="s">
        <v>1209</v>
      </c>
      <c r="R15" s="5">
        <v>631120000</v>
      </c>
      <c r="S15" s="5" t="s">
        <v>23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333" t="s">
        <v>44</v>
      </c>
      <c r="B16" s="70" t="s">
        <v>5268</v>
      </c>
      <c r="C16" s="115">
        <f t="shared" si="5"/>
        <v>52</v>
      </c>
      <c r="D16" s="69" t="str">
        <f t="shared" si="1"/>
        <v xml:space="preserve">Ostale pomoći i darovnice </v>
      </c>
      <c r="E16" s="81">
        <v>6361</v>
      </c>
      <c r="F16" s="118" t="str">
        <f t="shared" si="6"/>
        <v>Tekuće pomoći proračunskim korisnicima iz proračuna JLP(R)S koji im nije nadležan</v>
      </c>
      <c r="G16" s="113">
        <v>0</v>
      </c>
      <c r="H16" s="113">
        <f t="shared" si="2"/>
        <v>80000</v>
      </c>
      <c r="I16" s="113">
        <v>80000</v>
      </c>
      <c r="J16" s="81"/>
      <c r="L16" s="72" t="str">
        <f t="shared" si="3"/>
        <v>63</v>
      </c>
      <c r="M16" s="72" t="str">
        <f t="shared" si="4"/>
        <v>636</v>
      </c>
      <c r="N16">
        <v>559</v>
      </c>
      <c r="O16" t="s">
        <v>1210</v>
      </c>
      <c r="R16" s="5">
        <v>631210000</v>
      </c>
      <c r="S16" s="5" t="s">
        <v>24</v>
      </c>
      <c r="T16" s="5">
        <v>52</v>
      </c>
      <c r="U16" s="5" t="s">
        <v>1671</v>
      </c>
      <c r="V16">
        <v>631</v>
      </c>
      <c r="W16">
        <v>63</v>
      </c>
    </row>
    <row r="17" spans="1:23">
      <c r="A17" s="333" t="s">
        <v>44</v>
      </c>
      <c r="B17" s="70" t="s">
        <v>5268</v>
      </c>
      <c r="C17" s="115">
        <f t="shared" si="5"/>
        <v>52</v>
      </c>
      <c r="D17" s="69" t="str">
        <f t="shared" si="1"/>
        <v xml:space="preserve">Ostale pomoći i darovnice </v>
      </c>
      <c r="E17" s="81">
        <v>6381</v>
      </c>
      <c r="F17" s="118" t="str">
        <f t="shared" si="6"/>
        <v>Tekuće pomoći temeljem prijenosa EU sredstava iz proračuna JLP(R)S, korisnika JLPRS ili izvanproračunskog korisnika</v>
      </c>
      <c r="G17" s="113">
        <v>0</v>
      </c>
      <c r="H17" s="113">
        <f t="shared" si="2"/>
        <v>0</v>
      </c>
      <c r="I17" s="113"/>
      <c r="J17" s="81"/>
      <c r="L17" s="72" t="str">
        <f t="shared" si="3"/>
        <v>63</v>
      </c>
      <c r="M17" s="72" t="str">
        <f t="shared" si="4"/>
        <v>638</v>
      </c>
      <c r="N17" s="72">
        <v>561</v>
      </c>
      <c r="O17" s="72" t="s">
        <v>111</v>
      </c>
      <c r="R17" s="5">
        <v>631220000</v>
      </c>
      <c r="S17" s="5" t="s">
        <v>25</v>
      </c>
      <c r="T17" s="5">
        <v>52</v>
      </c>
      <c r="U17" s="5" t="s">
        <v>1671</v>
      </c>
      <c r="V17">
        <v>631</v>
      </c>
      <c r="W17">
        <v>63</v>
      </c>
    </row>
    <row r="18" spans="1:23">
      <c r="A18" s="333" t="s">
        <v>44</v>
      </c>
      <c r="B18" s="70" t="s">
        <v>5268</v>
      </c>
      <c r="C18" s="115">
        <f t="shared" si="5"/>
        <v>52</v>
      </c>
      <c r="D18" s="69" t="str">
        <f t="shared" si="1"/>
        <v xml:space="preserve">Ostale pomoći i darovnice </v>
      </c>
      <c r="E18" s="81">
        <v>6391</v>
      </c>
      <c r="F18" s="118" t="str">
        <f t="shared" si="6"/>
        <v>Tekući prijenosi između proračunskih korisnika istog proračuna</v>
      </c>
      <c r="G18" s="353">
        <v>160000</v>
      </c>
      <c r="H18" s="113">
        <f t="shared" si="2"/>
        <v>-160000</v>
      </c>
      <c r="I18" s="113">
        <v>0</v>
      </c>
      <c r="J18" s="81" t="s">
        <v>5269</v>
      </c>
      <c r="L18" s="72" t="str">
        <f t="shared" si="3"/>
        <v>63</v>
      </c>
      <c r="M18" s="72" t="str">
        <f t="shared" si="4"/>
        <v>639</v>
      </c>
      <c r="N18" s="72">
        <v>563</v>
      </c>
      <c r="O18" s="72" t="s">
        <v>113</v>
      </c>
      <c r="R18" s="5">
        <v>632112000</v>
      </c>
      <c r="S18" s="5" t="s">
        <v>1672</v>
      </c>
      <c r="T18" s="5">
        <v>52</v>
      </c>
      <c r="U18" s="5" t="s">
        <v>1671</v>
      </c>
      <c r="V18">
        <v>632</v>
      </c>
      <c r="W18">
        <v>63</v>
      </c>
    </row>
    <row r="19" spans="1:23">
      <c r="A19" s="333" t="s">
        <v>44</v>
      </c>
      <c r="B19" s="70" t="s">
        <v>5268</v>
      </c>
      <c r="C19" s="115">
        <f t="shared" si="5"/>
        <v>52</v>
      </c>
      <c r="D19" s="69" t="str">
        <f t="shared" si="1"/>
        <v xml:space="preserve">Ostale pomoći i darovnice </v>
      </c>
      <c r="E19" s="81">
        <v>6391</v>
      </c>
      <c r="F19" s="364" t="str">
        <f t="shared" si="6"/>
        <v>Tekući prijenosi između proračunskih korisnika istog proračuna</v>
      </c>
      <c r="G19" s="365">
        <v>0</v>
      </c>
      <c r="H19" s="360">
        <f t="shared" si="2"/>
        <v>110000</v>
      </c>
      <c r="I19" s="113">
        <v>110000</v>
      </c>
      <c r="J19" s="81" t="s">
        <v>492</v>
      </c>
      <c r="L19" s="72"/>
      <c r="M19" s="72"/>
      <c r="N19" s="72"/>
      <c r="O19" s="72"/>
      <c r="R19" s="5"/>
      <c r="S19" s="5"/>
      <c r="T19" s="5"/>
      <c r="U19" s="5"/>
    </row>
    <row r="20" spans="1:23">
      <c r="A20" s="333" t="s">
        <v>44</v>
      </c>
      <c r="B20" s="70" t="s">
        <v>5268</v>
      </c>
      <c r="C20" s="115">
        <f t="shared" si="5"/>
        <v>52</v>
      </c>
      <c r="D20" s="69" t="str">
        <f t="shared" si="1"/>
        <v xml:space="preserve">Ostale pomoći i darovnice </v>
      </c>
      <c r="E20" s="81">
        <v>6391</v>
      </c>
      <c r="F20" s="364" t="str">
        <f t="shared" si="6"/>
        <v>Tekući prijenosi između proračunskih korisnika istog proračuna</v>
      </c>
      <c r="G20" s="365">
        <v>0</v>
      </c>
      <c r="H20" s="360">
        <f t="shared" si="2"/>
        <v>1480376</v>
      </c>
      <c r="I20" s="113">
        <v>1480376</v>
      </c>
      <c r="J20" s="81" t="s">
        <v>5269</v>
      </c>
      <c r="L20" s="72"/>
      <c r="M20" s="72"/>
      <c r="N20" s="72"/>
      <c r="O20" s="72"/>
      <c r="R20" s="5"/>
      <c r="S20" s="5"/>
      <c r="T20" s="5"/>
      <c r="U20" s="5"/>
    </row>
    <row r="21" spans="1:23">
      <c r="A21" s="333" t="s">
        <v>44</v>
      </c>
      <c r="B21" s="70" t="s">
        <v>5268</v>
      </c>
      <c r="C21" s="115">
        <f t="shared" si="5"/>
        <v>563</v>
      </c>
      <c r="D21" s="69" t="str">
        <f t="shared" si="1"/>
        <v>Europski fond za regionalni razvoj (ERDF)</v>
      </c>
      <c r="E21" s="81">
        <v>632310563</v>
      </c>
      <c r="F21" s="118" t="str">
        <f t="shared" si="6"/>
        <v>Europski fond za regionalni razvoj (EFRR)</v>
      </c>
      <c r="G21" s="361">
        <v>2022969</v>
      </c>
      <c r="H21" s="113">
        <f t="shared" si="2"/>
        <v>-1362969</v>
      </c>
      <c r="I21" s="113">
        <v>660000</v>
      </c>
      <c r="J21" s="369" t="s">
        <v>492</v>
      </c>
      <c r="L21" s="72" t="str">
        <f t="shared" si="3"/>
        <v>63</v>
      </c>
      <c r="M21" s="72" t="str">
        <f t="shared" si="4"/>
        <v>632</v>
      </c>
      <c r="N21" s="72">
        <v>573</v>
      </c>
      <c r="O21" t="s">
        <v>1220</v>
      </c>
      <c r="R21" s="5">
        <v>632212000</v>
      </c>
      <c r="S21" s="5" t="s">
        <v>1673</v>
      </c>
      <c r="T21" s="5">
        <v>52</v>
      </c>
      <c r="U21" s="5" t="s">
        <v>1671</v>
      </c>
      <c r="V21">
        <v>632</v>
      </c>
      <c r="W21">
        <v>63</v>
      </c>
    </row>
    <row r="22" spans="1:23">
      <c r="A22" s="333" t="s">
        <v>44</v>
      </c>
      <c r="B22" s="70" t="s">
        <v>5268</v>
      </c>
      <c r="C22" s="115">
        <f t="shared" si="5"/>
        <v>563</v>
      </c>
      <c r="D22" s="69" t="str">
        <f t="shared" si="1"/>
        <v>Europski fond za regionalni razvoj (ERDF)</v>
      </c>
      <c r="E22" s="81">
        <v>632410563</v>
      </c>
      <c r="F22" s="118" t="str">
        <f t="shared" si="6"/>
        <v>Europski fond za regionalni razvoj (EFRR)</v>
      </c>
      <c r="G22" s="113">
        <v>666754</v>
      </c>
      <c r="H22" s="113">
        <f t="shared" si="2"/>
        <v>-315754</v>
      </c>
      <c r="I22" s="113">
        <f>250000+101000</f>
        <v>351000</v>
      </c>
      <c r="J22" s="369" t="s">
        <v>492</v>
      </c>
      <c r="L22" s="72" t="str">
        <f t="shared" si="3"/>
        <v>63</v>
      </c>
      <c r="M22" s="72" t="str">
        <f t="shared" si="4"/>
        <v>632</v>
      </c>
      <c r="N22">
        <v>575</v>
      </c>
      <c r="O22" t="s">
        <v>1222</v>
      </c>
      <c r="R22" s="5">
        <v>632310552</v>
      </c>
      <c r="S22" s="5" t="s">
        <v>1217</v>
      </c>
      <c r="T22" s="5">
        <v>552</v>
      </c>
      <c r="U22" s="5" t="s">
        <v>1209</v>
      </c>
      <c r="V22">
        <v>632</v>
      </c>
      <c r="W22">
        <v>63</v>
      </c>
    </row>
    <row r="23" spans="1:23">
      <c r="A23" s="333" t="str">
        <f>IF(E23="","",VLOOKUP('OPĆI DIO'!$C$3,'OPĆI DIO'!$L$6:$U$138,10,FALSE))</f>
        <v/>
      </c>
      <c r="B23" s="70" t="str">
        <f>IF(E23="","",VLOOKUP('OPĆI DIO'!$C$3,'OPĆI DIO'!$L$6:$U$138,9,FALSE))</f>
        <v/>
      </c>
      <c r="C23" s="115" t="str">
        <f t="shared" si="5"/>
        <v/>
      </c>
      <c r="D23" s="69" t="str">
        <f t="shared" si="1"/>
        <v/>
      </c>
      <c r="E23" s="81"/>
      <c r="F23" s="118" t="str">
        <f t="shared" si="6"/>
        <v/>
      </c>
      <c r="G23" s="113"/>
      <c r="H23" s="357"/>
      <c r="I23" s="113"/>
      <c r="J23" s="81"/>
      <c r="L23" s="72" t="str">
        <f t="shared" si="3"/>
        <v/>
      </c>
      <c r="M23" s="72" t="str">
        <f t="shared" si="4"/>
        <v/>
      </c>
      <c r="N23" s="218">
        <v>5762</v>
      </c>
      <c r="O23" s="138" t="s">
        <v>3528</v>
      </c>
      <c r="R23" s="5">
        <v>632310561</v>
      </c>
      <c r="S23" s="5" t="s">
        <v>111</v>
      </c>
      <c r="T23" s="5">
        <v>561</v>
      </c>
      <c r="U23" s="5" t="s">
        <v>111</v>
      </c>
      <c r="V23">
        <v>632</v>
      </c>
      <c r="W23">
        <v>63</v>
      </c>
    </row>
    <row r="24" spans="1:23">
      <c r="A24" s="333" t="str">
        <f>IF(E24="","",VLOOKUP('OPĆI DIO'!$C$3,'OPĆI DIO'!$L$6:$U$138,10,FALSE))</f>
        <v/>
      </c>
      <c r="B24" s="70" t="str">
        <f>IF(E24="","",VLOOKUP('OPĆI DIO'!$C$3,'OPĆI DIO'!$L$6:$U$138,9,FALSE))</f>
        <v/>
      </c>
      <c r="C24" s="115" t="str">
        <f t="shared" si="5"/>
        <v/>
      </c>
      <c r="D24" s="69" t="str">
        <f t="shared" si="1"/>
        <v/>
      </c>
      <c r="E24" s="81"/>
      <c r="F24" s="118" t="str">
        <f t="shared" si="6"/>
        <v/>
      </c>
      <c r="G24" s="113"/>
      <c r="H24" s="357"/>
      <c r="I24" s="113"/>
      <c r="J24" s="81"/>
      <c r="L24" s="72" t="str">
        <f t="shared" si="3"/>
        <v/>
      </c>
      <c r="M24" s="72" t="str">
        <f t="shared" si="4"/>
        <v/>
      </c>
      <c r="N24" s="131">
        <v>581</v>
      </c>
      <c r="O24" s="165" t="s">
        <v>1777</v>
      </c>
      <c r="R24" s="5">
        <v>632310563</v>
      </c>
      <c r="S24" s="5" t="s">
        <v>1747</v>
      </c>
      <c r="T24" s="5">
        <v>563</v>
      </c>
      <c r="U24" s="5" t="s">
        <v>113</v>
      </c>
      <c r="V24">
        <v>632</v>
      </c>
      <c r="W24">
        <v>63</v>
      </c>
    </row>
    <row r="25" spans="1:23">
      <c r="A25" s="333" t="str">
        <f>IF(E25="","",VLOOKUP('OPĆI DIO'!$C$3,'OPĆI DIO'!$L$6:$U$138,10,FALSE))</f>
        <v/>
      </c>
      <c r="B25" s="70" t="str">
        <f>IF(E25="","",VLOOKUP('OPĆI DIO'!$C$3,'OPĆI DIO'!$L$6:$U$138,9,FALSE))</f>
        <v/>
      </c>
      <c r="C25" s="115" t="str">
        <f t="shared" si="5"/>
        <v/>
      </c>
      <c r="D25" s="69" t="str">
        <f t="shared" si="1"/>
        <v/>
      </c>
      <c r="E25" s="81"/>
      <c r="F25" s="118" t="str">
        <f t="shared" si="6"/>
        <v/>
      </c>
      <c r="G25" s="113"/>
      <c r="H25" s="357"/>
      <c r="I25" s="113"/>
      <c r="J25" s="81"/>
      <c r="L25" s="72" t="str">
        <f t="shared" si="3"/>
        <v/>
      </c>
      <c r="M25" s="72" t="str">
        <f t="shared" si="4"/>
        <v/>
      </c>
      <c r="N25" s="72">
        <v>61</v>
      </c>
      <c r="O25" s="72" t="s">
        <v>115</v>
      </c>
      <c r="R25" s="5">
        <v>632310573</v>
      </c>
      <c r="S25" s="5" t="s">
        <v>1219</v>
      </c>
      <c r="T25" s="5">
        <v>573</v>
      </c>
      <c r="U25" s="5" t="s">
        <v>1220</v>
      </c>
      <c r="V25">
        <v>632</v>
      </c>
      <c r="W25">
        <v>63</v>
      </c>
    </row>
    <row r="26" spans="1:23">
      <c r="A26" s="333" t="str">
        <f>IF(E26="","",VLOOKUP('OPĆI DIO'!$C$3,'OPĆI DIO'!$L$6:$U$138,10,FALSE))</f>
        <v/>
      </c>
      <c r="B26" s="70" t="str">
        <f>IF(E26="","",VLOOKUP('OPĆI DIO'!$C$3,'OPĆI DIO'!$L$6:$U$138,9,FALSE))</f>
        <v/>
      </c>
      <c r="C26" s="115" t="str">
        <f t="shared" si="5"/>
        <v/>
      </c>
      <c r="D26" s="69" t="str">
        <f t="shared" si="1"/>
        <v/>
      </c>
      <c r="E26" s="81"/>
      <c r="F26" s="118" t="str">
        <f t="shared" si="6"/>
        <v/>
      </c>
      <c r="G26" s="113"/>
      <c r="H26" s="357"/>
      <c r="I26" s="113"/>
      <c r="J26" s="81"/>
      <c r="L26" s="72" t="str">
        <f t="shared" si="3"/>
        <v/>
      </c>
      <c r="M26" s="72" t="str">
        <f t="shared" si="4"/>
        <v/>
      </c>
      <c r="N26" s="216">
        <v>63</v>
      </c>
      <c r="O26" s="72" t="s">
        <v>3524</v>
      </c>
      <c r="R26" s="5">
        <v>632310575</v>
      </c>
      <c r="S26" s="5" t="s">
        <v>1221</v>
      </c>
      <c r="T26" s="5">
        <v>575</v>
      </c>
      <c r="U26" s="5" t="s">
        <v>1222</v>
      </c>
      <c r="V26">
        <v>632</v>
      </c>
      <c r="W26">
        <v>63</v>
      </c>
    </row>
    <row r="27" spans="1:23">
      <c r="A27" s="333" t="str">
        <f>IF(E27="","",VLOOKUP('OPĆI DIO'!$C$3,'OPĆI DIO'!$L$6:$U$138,10,FALSE))</f>
        <v/>
      </c>
      <c r="B27" s="70" t="str">
        <f>IF(E27="","",VLOOKUP('OPĆI DIO'!$C$3,'OPĆI DIO'!$L$6:$U$138,9,FALSE))</f>
        <v/>
      </c>
      <c r="C27" s="115" t="str">
        <f t="shared" si="5"/>
        <v/>
      </c>
      <c r="D27" s="69" t="str">
        <f t="shared" si="1"/>
        <v/>
      </c>
      <c r="E27" s="81"/>
      <c r="F27" s="118" t="str">
        <f t="shared" si="6"/>
        <v/>
      </c>
      <c r="G27" s="113"/>
      <c r="H27" s="357"/>
      <c r="I27" s="113"/>
      <c r="J27" s="81"/>
      <c r="L27" s="72" t="str">
        <f t="shared" si="3"/>
        <v/>
      </c>
      <c r="M27" s="72" t="str">
        <f t="shared" si="4"/>
        <v/>
      </c>
      <c r="N27" s="72">
        <v>71</v>
      </c>
      <c r="O27" s="72" t="s">
        <v>173</v>
      </c>
      <c r="R27" s="217">
        <v>632315761</v>
      </c>
      <c r="S27" s="217" t="s">
        <v>1778</v>
      </c>
      <c r="T27" s="217">
        <v>576</v>
      </c>
      <c r="U27" s="217" t="s">
        <v>1703</v>
      </c>
      <c r="V27">
        <v>632</v>
      </c>
      <c r="W27">
        <v>63</v>
      </c>
    </row>
    <row r="28" spans="1:23">
      <c r="A28" s="333" t="str">
        <f>IF(E28="","",VLOOKUP('OPĆI DIO'!$C$3,'OPĆI DIO'!$L$6:$U$138,10,FALSE))</f>
        <v/>
      </c>
      <c r="B28" s="70" t="str">
        <f>IF(E28="","",VLOOKUP('OPĆI DIO'!$C$3,'OPĆI DIO'!$L$6:$U$138,9,FALSE))</f>
        <v/>
      </c>
      <c r="C28" s="115" t="str">
        <f t="shared" si="5"/>
        <v/>
      </c>
      <c r="D28" s="69" t="str">
        <f t="shared" si="1"/>
        <v/>
      </c>
      <c r="E28" s="81"/>
      <c r="F28" s="118" t="str">
        <f t="shared" si="6"/>
        <v/>
      </c>
      <c r="G28" s="113"/>
      <c r="H28" s="357"/>
      <c r="I28" s="113"/>
      <c r="J28" s="81"/>
      <c r="L28" s="72" t="str">
        <f t="shared" si="3"/>
        <v/>
      </c>
      <c r="M28" s="72" t="str">
        <f t="shared" si="4"/>
        <v/>
      </c>
      <c r="N28" s="72">
        <v>81</v>
      </c>
      <c r="O28" s="72" t="s">
        <v>56</v>
      </c>
      <c r="R28" s="217">
        <v>632315762</v>
      </c>
      <c r="S28" s="217" t="s">
        <v>3526</v>
      </c>
      <c r="T28" s="217">
        <v>576</v>
      </c>
      <c r="U28" s="217" t="s">
        <v>1703</v>
      </c>
      <c r="V28">
        <v>632</v>
      </c>
      <c r="W28">
        <v>63</v>
      </c>
    </row>
    <row r="29" spans="1:23">
      <c r="A29" s="333" t="str">
        <f>IF(E29="","",VLOOKUP('OPĆI DIO'!$C$3,'OPĆI DIO'!$L$6:$U$138,10,FALSE))</f>
        <v/>
      </c>
      <c r="B29" s="70" t="str">
        <f>IF(E29="","",VLOOKUP('OPĆI DIO'!$C$3,'OPĆI DIO'!$L$6:$U$138,9,FALSE))</f>
        <v/>
      </c>
      <c r="C29" s="115" t="str">
        <f t="shared" si="5"/>
        <v/>
      </c>
      <c r="D29" s="69" t="str">
        <f t="shared" si="1"/>
        <v/>
      </c>
      <c r="E29" s="81"/>
      <c r="F29" s="118" t="str">
        <f t="shared" si="6"/>
        <v/>
      </c>
      <c r="G29" s="113"/>
      <c r="H29" s="357"/>
      <c r="I29" s="113"/>
      <c r="J29" s="81"/>
      <c r="L29" s="72" t="str">
        <f t="shared" si="3"/>
        <v/>
      </c>
      <c r="M29" s="72" t="str">
        <f t="shared" si="4"/>
        <v/>
      </c>
      <c r="N29" s="72"/>
      <c r="O29" s="72"/>
      <c r="R29" s="5">
        <v>632310581</v>
      </c>
      <c r="S29" s="5" t="s">
        <v>1780</v>
      </c>
      <c r="T29" s="5">
        <v>581</v>
      </c>
      <c r="U29" s="5" t="s">
        <v>1777</v>
      </c>
      <c r="V29">
        <v>632</v>
      </c>
      <c r="W29">
        <v>63</v>
      </c>
    </row>
    <row r="30" spans="1:23">
      <c r="A30" s="333" t="str">
        <f>IF(E30="","",VLOOKUP('OPĆI DIO'!$C$3,'OPĆI DIO'!$L$6:$U$138,10,FALSE))</f>
        <v/>
      </c>
      <c r="B30" s="70" t="str">
        <f>IF(E30="","",VLOOKUP('OPĆI DIO'!$C$3,'OPĆI DIO'!$L$6:$U$138,9,FALSE))</f>
        <v/>
      </c>
      <c r="C30" s="115" t="str">
        <f t="shared" si="5"/>
        <v/>
      </c>
      <c r="D30" s="69" t="str">
        <f t="shared" si="1"/>
        <v/>
      </c>
      <c r="E30" s="81"/>
      <c r="F30" s="118" t="str">
        <f t="shared" si="6"/>
        <v/>
      </c>
      <c r="G30" s="113"/>
      <c r="H30" s="357"/>
      <c r="I30" s="113"/>
      <c r="J30" s="81"/>
      <c r="L30" s="72" t="str">
        <f t="shared" si="3"/>
        <v/>
      </c>
      <c r="M30" s="72" t="str">
        <f t="shared" si="4"/>
        <v/>
      </c>
      <c r="R30" s="5">
        <v>632311700</v>
      </c>
      <c r="S30" s="5" t="s">
        <v>20</v>
      </c>
      <c r="T30" s="5">
        <v>51</v>
      </c>
      <c r="U30" s="5" t="s">
        <v>1674</v>
      </c>
      <c r="V30">
        <v>632</v>
      </c>
      <c r="W30">
        <v>63</v>
      </c>
    </row>
    <row r="31" spans="1:23">
      <c r="A31" s="333" t="str">
        <f>IF(E31="","",VLOOKUP('OPĆI DIO'!$C$3,'OPĆI DIO'!$L$6:$U$138,10,FALSE))</f>
        <v/>
      </c>
      <c r="B31" s="70" t="str">
        <f>IF(E31="","",VLOOKUP('OPĆI DIO'!$C$3,'OPĆI DIO'!$L$6:$U$138,9,FALSE))</f>
        <v/>
      </c>
      <c r="C31" s="115" t="str">
        <f t="shared" si="5"/>
        <v/>
      </c>
      <c r="D31" s="69" t="str">
        <f t="shared" si="1"/>
        <v/>
      </c>
      <c r="E31" s="81"/>
      <c r="F31" s="118" t="str">
        <f t="shared" si="6"/>
        <v/>
      </c>
      <c r="G31" s="113"/>
      <c r="H31" s="357"/>
      <c r="I31" s="113"/>
      <c r="J31" s="81"/>
      <c r="L31" s="72" t="str">
        <f t="shared" si="3"/>
        <v/>
      </c>
      <c r="M31" s="72" t="str">
        <f t="shared" si="4"/>
        <v/>
      </c>
      <c r="R31" s="5">
        <v>632311800</v>
      </c>
      <c r="S31" s="5" t="s">
        <v>217</v>
      </c>
      <c r="T31" s="5">
        <v>51</v>
      </c>
      <c r="U31" s="5" t="s">
        <v>1674</v>
      </c>
      <c r="V31">
        <v>632</v>
      </c>
      <c r="W31">
        <v>63</v>
      </c>
    </row>
    <row r="32" spans="1:23">
      <c r="A32" s="333" t="str">
        <f>IF(E32="","",VLOOKUP('OPĆI DIO'!$C$3,'OPĆI DIO'!$L$6:$U$138,10,FALSE))</f>
        <v/>
      </c>
      <c r="B32" s="70" t="str">
        <f>IF(E32="","",VLOOKUP('OPĆI DIO'!$C$3,'OPĆI DIO'!$L$6:$U$138,9,FALSE))</f>
        <v/>
      </c>
      <c r="C32" s="115" t="str">
        <f t="shared" si="5"/>
        <v/>
      </c>
      <c r="D32" s="69" t="str">
        <f t="shared" si="1"/>
        <v/>
      </c>
      <c r="E32" s="81"/>
      <c r="F32" s="118" t="str">
        <f t="shared" si="6"/>
        <v/>
      </c>
      <c r="G32" s="113"/>
      <c r="H32" s="357"/>
      <c r="I32" s="113"/>
      <c r="J32" s="81"/>
      <c r="L32" s="72" t="str">
        <f t="shared" si="3"/>
        <v/>
      </c>
      <c r="M32" s="72" t="str">
        <f t="shared" si="4"/>
        <v/>
      </c>
      <c r="R32" s="5">
        <v>632410552</v>
      </c>
      <c r="S32" s="5" t="s">
        <v>1223</v>
      </c>
      <c r="T32" s="5">
        <v>552</v>
      </c>
      <c r="U32" s="5" t="s">
        <v>1209</v>
      </c>
      <c r="V32">
        <v>632</v>
      </c>
      <c r="W32">
        <v>63</v>
      </c>
    </row>
    <row r="33" spans="1:23">
      <c r="A33" s="333" t="str">
        <f>IF(E33="","",VLOOKUP('OPĆI DIO'!$C$3,'OPĆI DIO'!$L$6:$U$138,10,FALSE))</f>
        <v/>
      </c>
      <c r="B33" s="70" t="str">
        <f>IF(E33="","",VLOOKUP('OPĆI DIO'!$C$3,'OPĆI DIO'!$L$6:$U$138,9,FALSE))</f>
        <v/>
      </c>
      <c r="C33" s="115" t="str">
        <f t="shared" si="5"/>
        <v/>
      </c>
      <c r="D33" s="69" t="str">
        <f t="shared" si="1"/>
        <v/>
      </c>
      <c r="E33" s="81"/>
      <c r="F33" s="118" t="str">
        <f t="shared" si="6"/>
        <v/>
      </c>
      <c r="G33" s="113"/>
      <c r="H33" s="357"/>
      <c r="I33" s="113"/>
      <c r="J33" s="81"/>
      <c r="L33" s="72" t="str">
        <f t="shared" si="3"/>
        <v/>
      </c>
      <c r="M33" s="72" t="str">
        <f t="shared" si="4"/>
        <v/>
      </c>
      <c r="R33" s="5">
        <v>632410559</v>
      </c>
      <c r="S33" s="5" t="s">
        <v>1224</v>
      </c>
      <c r="T33" s="5">
        <v>559</v>
      </c>
      <c r="U33" s="5" t="s">
        <v>1210</v>
      </c>
      <c r="V33">
        <v>632</v>
      </c>
      <c r="W33">
        <v>63</v>
      </c>
    </row>
    <row r="34" spans="1:23">
      <c r="A34" s="333" t="str">
        <f>IF(E34="","",VLOOKUP('OPĆI DIO'!$C$3,'OPĆI DIO'!$L$6:$U$138,10,FALSE))</f>
        <v/>
      </c>
      <c r="B34" s="70" t="str">
        <f>IF(E34="","",VLOOKUP('OPĆI DIO'!$C$3,'OPĆI DIO'!$L$6:$U$138,9,FALSE))</f>
        <v/>
      </c>
      <c r="C34" s="115" t="str">
        <f t="shared" si="5"/>
        <v/>
      </c>
      <c r="D34" s="69" t="str">
        <f t="shared" si="1"/>
        <v/>
      </c>
      <c r="E34" s="81"/>
      <c r="F34" s="118" t="str">
        <f t="shared" si="6"/>
        <v/>
      </c>
      <c r="G34" s="113"/>
      <c r="H34" s="357"/>
      <c r="I34" s="113"/>
      <c r="J34" s="81"/>
      <c r="L34" s="72" t="str">
        <f t="shared" si="3"/>
        <v/>
      </c>
      <c r="M34" s="72" t="str">
        <f t="shared" si="4"/>
        <v/>
      </c>
      <c r="R34" s="5">
        <v>632410561</v>
      </c>
      <c r="S34" s="5" t="s">
        <v>111</v>
      </c>
      <c r="T34" s="5">
        <v>561</v>
      </c>
      <c r="U34" s="5" t="s">
        <v>111</v>
      </c>
      <c r="V34">
        <v>632</v>
      </c>
      <c r="W34">
        <v>63</v>
      </c>
    </row>
    <row r="35" spans="1:23">
      <c r="A35" s="333" t="str">
        <f>IF(E35="","",VLOOKUP('OPĆI DIO'!$C$3,'OPĆI DIO'!$L$6:$U$138,10,FALSE))</f>
        <v/>
      </c>
      <c r="B35" s="70" t="str">
        <f>IF(E35="","",VLOOKUP('OPĆI DIO'!$C$3,'OPĆI DIO'!$L$6:$U$138,9,FALSE))</f>
        <v/>
      </c>
      <c r="C35" s="115" t="str">
        <f t="shared" si="5"/>
        <v/>
      </c>
      <c r="D35" s="69" t="str">
        <f t="shared" si="1"/>
        <v/>
      </c>
      <c r="E35" s="81"/>
      <c r="F35" s="118" t="str">
        <f t="shared" si="6"/>
        <v/>
      </c>
      <c r="G35" s="113"/>
      <c r="H35" s="357"/>
      <c r="I35" s="113"/>
      <c r="J35" s="81"/>
      <c r="L35" s="72" t="str">
        <f t="shared" si="3"/>
        <v/>
      </c>
      <c r="M35" s="72" t="str">
        <f t="shared" si="4"/>
        <v/>
      </c>
      <c r="R35" s="5">
        <v>632410563</v>
      </c>
      <c r="S35" s="5" t="s">
        <v>1747</v>
      </c>
      <c r="T35" s="5">
        <v>563</v>
      </c>
      <c r="U35" s="5" t="s">
        <v>113</v>
      </c>
      <c r="V35">
        <v>632</v>
      </c>
      <c r="W35">
        <v>63</v>
      </c>
    </row>
    <row r="36" spans="1:23">
      <c r="A36" s="333" t="str">
        <f>IF(E36="","",VLOOKUP('OPĆI DIO'!$C$3,'OPĆI DIO'!$L$6:$U$138,10,FALSE))</f>
        <v/>
      </c>
      <c r="B36" s="70" t="str">
        <f>IF(E36="","",VLOOKUP('OPĆI DIO'!$C$3,'OPĆI DIO'!$L$6:$U$138,9,FALSE))</f>
        <v/>
      </c>
      <c r="C36" s="115" t="str">
        <f t="shared" si="5"/>
        <v/>
      </c>
      <c r="D36" s="69" t="str">
        <f t="shared" si="1"/>
        <v/>
      </c>
      <c r="E36" s="81"/>
      <c r="F36" s="118" t="str">
        <f t="shared" si="6"/>
        <v/>
      </c>
      <c r="G36" s="113"/>
      <c r="H36" s="357"/>
      <c r="I36" s="113"/>
      <c r="J36" s="81"/>
      <c r="L36" s="72" t="str">
        <f t="shared" si="3"/>
        <v/>
      </c>
      <c r="M36" s="72" t="str">
        <f t="shared" si="4"/>
        <v/>
      </c>
      <c r="R36" s="5">
        <v>632410573</v>
      </c>
      <c r="S36" s="5" t="s">
        <v>1225</v>
      </c>
      <c r="T36" s="5">
        <v>573</v>
      </c>
      <c r="U36" s="5" t="s">
        <v>1220</v>
      </c>
      <c r="V36">
        <v>632</v>
      </c>
      <c r="W36">
        <v>63</v>
      </c>
    </row>
    <row r="37" spans="1:23">
      <c r="A37" s="333" t="str">
        <f>IF(E37="","",VLOOKUP('OPĆI DIO'!$C$3,'OPĆI DIO'!$L$6:$U$138,10,FALSE))</f>
        <v/>
      </c>
      <c r="B37" s="70" t="str">
        <f>IF(E37="","",VLOOKUP('OPĆI DIO'!$C$3,'OPĆI DIO'!$L$6:$U$138,9,FALSE))</f>
        <v/>
      </c>
      <c r="C37" s="115" t="str">
        <f t="shared" si="5"/>
        <v/>
      </c>
      <c r="D37" s="69" t="str">
        <f t="shared" si="1"/>
        <v/>
      </c>
      <c r="E37" s="81"/>
      <c r="F37" s="118" t="str">
        <f t="shared" si="6"/>
        <v/>
      </c>
      <c r="G37" s="113"/>
      <c r="H37" s="357"/>
      <c r="I37" s="113"/>
      <c r="J37" s="81"/>
      <c r="L37" s="72" t="str">
        <f t="shared" si="3"/>
        <v/>
      </c>
      <c r="M37" s="72" t="str">
        <f t="shared" si="4"/>
        <v/>
      </c>
      <c r="R37" s="5">
        <v>632410575</v>
      </c>
      <c r="S37" s="5" t="s">
        <v>1226</v>
      </c>
      <c r="T37" s="5">
        <v>575</v>
      </c>
      <c r="U37" s="5" t="s">
        <v>1222</v>
      </c>
      <c r="V37">
        <v>632</v>
      </c>
      <c r="W37">
        <v>63</v>
      </c>
    </row>
    <row r="38" spans="1:23">
      <c r="A38" s="333" t="str">
        <f>IF(E38="","",VLOOKUP('OPĆI DIO'!$C$3,'OPĆI DIO'!$L$6:$U$138,10,FALSE))</f>
        <v/>
      </c>
      <c r="B38" s="70" t="str">
        <f>IF(E38="","",VLOOKUP('OPĆI DIO'!$C$3,'OPĆI DIO'!$L$6:$U$138,9,FALSE))</f>
        <v/>
      </c>
      <c r="C38" s="115" t="str">
        <f t="shared" si="5"/>
        <v/>
      </c>
      <c r="D38" s="69" t="str">
        <f t="shared" si="1"/>
        <v/>
      </c>
      <c r="E38" s="81"/>
      <c r="F38" s="118" t="str">
        <f t="shared" si="6"/>
        <v/>
      </c>
      <c r="G38" s="113"/>
      <c r="H38" s="357"/>
      <c r="I38" s="113"/>
      <c r="J38" s="81"/>
      <c r="L38" s="72" t="str">
        <f t="shared" si="3"/>
        <v/>
      </c>
      <c r="M38" s="72" t="str">
        <f t="shared" si="4"/>
        <v/>
      </c>
      <c r="R38" s="217">
        <v>632415761</v>
      </c>
      <c r="S38" s="217" t="s">
        <v>1779</v>
      </c>
      <c r="T38" s="217">
        <v>576</v>
      </c>
      <c r="U38" s="217" t="s">
        <v>1703</v>
      </c>
      <c r="V38">
        <v>632</v>
      </c>
      <c r="W38">
        <v>63</v>
      </c>
    </row>
    <row r="39" spans="1:23">
      <c r="A39" s="333" t="str">
        <f>IF(E39="","",VLOOKUP('OPĆI DIO'!$C$3,'OPĆI DIO'!$L$6:$U$138,10,FALSE))</f>
        <v/>
      </c>
      <c r="B39" s="70" t="str">
        <f>IF(E39="","",VLOOKUP('OPĆI DIO'!$C$3,'OPĆI DIO'!$L$6:$U$138,9,FALSE))</f>
        <v/>
      </c>
      <c r="C39" s="115" t="str">
        <f t="shared" si="5"/>
        <v/>
      </c>
      <c r="D39" s="69" t="str">
        <f t="shared" si="1"/>
        <v/>
      </c>
      <c r="E39" s="81"/>
      <c r="F39" s="118" t="str">
        <f t="shared" si="6"/>
        <v/>
      </c>
      <c r="G39" s="113"/>
      <c r="H39" s="357"/>
      <c r="I39" s="113"/>
      <c r="J39" s="81"/>
      <c r="L39" s="72" t="str">
        <f t="shared" si="3"/>
        <v/>
      </c>
      <c r="M39" s="72" t="str">
        <f t="shared" si="4"/>
        <v/>
      </c>
      <c r="R39" s="217">
        <v>632415762</v>
      </c>
      <c r="S39" s="217" t="s">
        <v>3527</v>
      </c>
      <c r="T39" s="217">
        <v>576</v>
      </c>
      <c r="U39" s="217" t="s">
        <v>1703</v>
      </c>
      <c r="V39">
        <v>632</v>
      </c>
      <c r="W39">
        <v>63</v>
      </c>
    </row>
    <row r="40" spans="1:23">
      <c r="A40" s="333" t="str">
        <f>IF(E40="","",VLOOKUP('OPĆI DIO'!$C$3,'OPĆI DIO'!$L$6:$U$138,10,FALSE))</f>
        <v/>
      </c>
      <c r="B40" s="70" t="str">
        <f>IF(E40="","",VLOOKUP('OPĆI DIO'!$C$3,'OPĆI DIO'!$L$6:$U$138,9,FALSE))</f>
        <v/>
      </c>
      <c r="C40" s="115" t="str">
        <f t="shared" si="5"/>
        <v/>
      </c>
      <c r="D40" s="69" t="str">
        <f t="shared" si="1"/>
        <v/>
      </c>
      <c r="E40" s="81"/>
      <c r="F40" s="118" t="str">
        <f t="shared" si="6"/>
        <v/>
      </c>
      <c r="G40" s="113"/>
      <c r="H40" s="357"/>
      <c r="I40" s="113"/>
      <c r="J40" s="81"/>
      <c r="L40" s="72" t="str">
        <f t="shared" si="3"/>
        <v/>
      </c>
      <c r="M40" s="72" t="str">
        <f t="shared" si="4"/>
        <v/>
      </c>
      <c r="R40" s="5">
        <v>632410581</v>
      </c>
      <c r="S40" s="5" t="s">
        <v>1781</v>
      </c>
      <c r="T40" s="5">
        <v>581</v>
      </c>
      <c r="U40" s="5" t="s">
        <v>1777</v>
      </c>
      <c r="V40">
        <v>632</v>
      </c>
      <c r="W40">
        <v>63</v>
      </c>
    </row>
    <row r="41" spans="1:23">
      <c r="A41" s="333" t="str">
        <f>IF(E41="","",VLOOKUP('OPĆI DIO'!$C$3,'OPĆI DIO'!$L$6:$U$138,10,FALSE))</f>
        <v/>
      </c>
      <c r="B41" s="70" t="str">
        <f>IF(E41="","",VLOOKUP('OPĆI DIO'!$C$3,'OPĆI DIO'!$L$6:$U$138,9,FALSE))</f>
        <v/>
      </c>
      <c r="C41" s="115" t="str">
        <f t="shared" si="5"/>
        <v/>
      </c>
      <c r="D41" s="69" t="str">
        <f t="shared" si="1"/>
        <v/>
      </c>
      <c r="E41" s="81"/>
      <c r="F41" s="118" t="str">
        <f t="shared" si="6"/>
        <v/>
      </c>
      <c r="G41" s="113"/>
      <c r="H41" s="357"/>
      <c r="I41" s="113"/>
      <c r="J41" s="81"/>
      <c r="L41" s="72" t="str">
        <f t="shared" si="3"/>
        <v/>
      </c>
      <c r="M41" s="72" t="str">
        <f t="shared" si="4"/>
        <v/>
      </c>
      <c r="R41" s="5">
        <v>632411700</v>
      </c>
      <c r="S41" s="5" t="s">
        <v>21</v>
      </c>
      <c r="T41" s="5">
        <v>51</v>
      </c>
      <c r="U41" s="5" t="s">
        <v>1674</v>
      </c>
      <c r="V41">
        <v>632</v>
      </c>
      <c r="W41">
        <v>63</v>
      </c>
    </row>
    <row r="42" spans="1:23">
      <c r="A42" s="333" t="str">
        <f>IF(E42="","",VLOOKUP('OPĆI DIO'!$C$3,'OPĆI DIO'!$L$6:$U$138,10,FALSE))</f>
        <v/>
      </c>
      <c r="B42" s="70" t="str">
        <f>IF(E42="","",VLOOKUP('OPĆI DIO'!$C$3,'OPĆI DIO'!$L$6:$U$138,9,FALSE))</f>
        <v/>
      </c>
      <c r="C42" s="115" t="str">
        <f t="shared" si="5"/>
        <v/>
      </c>
      <c r="D42" s="69" t="str">
        <f t="shared" si="1"/>
        <v/>
      </c>
      <c r="E42" s="81"/>
      <c r="F42" s="118" t="str">
        <f t="shared" si="6"/>
        <v/>
      </c>
      <c r="G42" s="113"/>
      <c r="H42" s="357"/>
      <c r="I42" s="113"/>
      <c r="J42" s="81"/>
      <c r="K42" s="325"/>
      <c r="L42" s="72" t="str">
        <f t="shared" si="3"/>
        <v/>
      </c>
      <c r="M42" s="322">
        <f>+G12+G14+G40</f>
        <v>782280</v>
      </c>
      <c r="R42" s="5">
        <v>6341</v>
      </c>
      <c r="S42" s="5" t="s">
        <v>1705</v>
      </c>
      <c r="T42" s="5">
        <v>52</v>
      </c>
      <c r="U42" s="5" t="s">
        <v>1671</v>
      </c>
      <c r="V42">
        <v>634</v>
      </c>
      <c r="W42">
        <v>63</v>
      </c>
    </row>
    <row r="43" spans="1:23">
      <c r="A43" s="333" t="str">
        <f>IF(E43="","",VLOOKUP('OPĆI DIO'!$C$3,'OPĆI DIO'!$L$6:$U$138,10,FALSE))</f>
        <v/>
      </c>
      <c r="B43" s="70" t="str">
        <f>IF(E43="","",VLOOKUP('OPĆI DIO'!$C$3,'OPĆI DIO'!$L$6:$U$138,9,FALSE))</f>
        <v/>
      </c>
      <c r="C43" s="115" t="str">
        <f t="shared" si="5"/>
        <v/>
      </c>
      <c r="D43" s="69" t="str">
        <f t="shared" si="1"/>
        <v/>
      </c>
      <c r="E43" s="81"/>
      <c r="F43" s="118" t="str">
        <f t="shared" si="6"/>
        <v/>
      </c>
      <c r="G43" s="113"/>
      <c r="H43" s="357"/>
      <c r="I43" s="113"/>
      <c r="J43" s="81"/>
      <c r="L43" s="72" t="str">
        <f t="shared" si="3"/>
        <v/>
      </c>
      <c r="M43" s="72" t="str">
        <f t="shared" si="4"/>
        <v/>
      </c>
      <c r="R43" s="5">
        <v>6342</v>
      </c>
      <c r="S43" s="5" t="s">
        <v>1706</v>
      </c>
      <c r="T43" s="5">
        <v>52</v>
      </c>
      <c r="U43" s="5" t="s">
        <v>1671</v>
      </c>
      <c r="V43">
        <v>634</v>
      </c>
      <c r="W43">
        <v>63</v>
      </c>
    </row>
    <row r="44" spans="1:23">
      <c r="A44" s="333" t="str">
        <f>IF(E44="","",VLOOKUP('OPĆI DIO'!$C$3,'OPĆI DIO'!$L$6:$U$138,10,FALSE))</f>
        <v/>
      </c>
      <c r="B44" s="70" t="str">
        <f>IF(E44="","",VLOOKUP('OPĆI DIO'!$C$3,'OPĆI DIO'!$L$6:$U$138,9,FALSE))</f>
        <v/>
      </c>
      <c r="C44" s="115" t="str">
        <f t="shared" si="5"/>
        <v/>
      </c>
      <c r="D44" s="69" t="str">
        <f t="shared" si="1"/>
        <v/>
      </c>
      <c r="E44" s="81"/>
      <c r="F44" s="118" t="str">
        <f t="shared" si="6"/>
        <v/>
      </c>
      <c r="G44" s="113"/>
      <c r="H44" s="357"/>
      <c r="I44" s="113"/>
      <c r="J44" s="81"/>
      <c r="L44" s="72" t="str">
        <f t="shared" si="3"/>
        <v/>
      </c>
      <c r="M44" s="72" t="str">
        <f t="shared" si="4"/>
        <v/>
      </c>
      <c r="R44" s="5">
        <v>6361</v>
      </c>
      <c r="S44" s="5" t="s">
        <v>1675</v>
      </c>
      <c r="T44" s="5">
        <v>52</v>
      </c>
      <c r="U44" s="5" t="s">
        <v>1671</v>
      </c>
      <c r="V44">
        <v>636</v>
      </c>
      <c r="W44">
        <v>63</v>
      </c>
    </row>
    <row r="45" spans="1:23">
      <c r="A45" s="333" t="str">
        <f>IF(E45="","",VLOOKUP('OPĆI DIO'!$C$3,'OPĆI DIO'!$L$6:$U$138,10,FALSE))</f>
        <v/>
      </c>
      <c r="B45" s="70" t="str">
        <f>IF(E45="","",VLOOKUP('OPĆI DIO'!$C$3,'OPĆI DIO'!$L$6:$U$138,9,FALSE))</f>
        <v/>
      </c>
      <c r="C45" s="115" t="str">
        <f t="shared" si="5"/>
        <v/>
      </c>
      <c r="D45" s="69" t="str">
        <f t="shared" si="1"/>
        <v/>
      </c>
      <c r="E45" s="81"/>
      <c r="F45" s="118" t="str">
        <f t="shared" si="6"/>
        <v/>
      </c>
      <c r="G45" s="113"/>
      <c r="H45" s="357"/>
      <c r="I45" s="113"/>
      <c r="J45" s="81"/>
      <c r="L45" s="72" t="str">
        <f t="shared" si="3"/>
        <v/>
      </c>
      <c r="M45" s="72" t="str">
        <f t="shared" si="4"/>
        <v/>
      </c>
      <c r="R45" s="5">
        <v>6362</v>
      </c>
      <c r="S45" s="5" t="s">
        <v>1676</v>
      </c>
      <c r="T45" s="5">
        <v>52</v>
      </c>
      <c r="U45" s="5" t="s">
        <v>1671</v>
      </c>
      <c r="V45">
        <v>636</v>
      </c>
      <c r="W45">
        <v>63</v>
      </c>
    </row>
    <row r="46" spans="1:23">
      <c r="A46" s="333" t="str">
        <f>IF(E46="","",VLOOKUP('OPĆI DIO'!$C$3,'OPĆI DIO'!$L$6:$U$138,10,FALSE))</f>
        <v/>
      </c>
      <c r="B46" s="70" t="str">
        <f>IF(E46="","",VLOOKUP('OPĆI DIO'!$C$3,'OPĆI DIO'!$L$6:$U$138,9,FALSE))</f>
        <v/>
      </c>
      <c r="C46" s="115" t="str">
        <f t="shared" si="5"/>
        <v/>
      </c>
      <c r="D46" s="69" t="str">
        <f t="shared" si="1"/>
        <v/>
      </c>
      <c r="E46" s="81"/>
      <c r="F46" s="118" t="str">
        <f t="shared" si="6"/>
        <v/>
      </c>
      <c r="G46" s="113"/>
      <c r="H46" s="357"/>
      <c r="I46" s="113"/>
      <c r="J46" s="81"/>
      <c r="L46" s="72" t="str">
        <f t="shared" si="3"/>
        <v/>
      </c>
      <c r="M46" s="72" t="str">
        <f t="shared" si="4"/>
        <v/>
      </c>
      <c r="R46" s="5">
        <v>6381</v>
      </c>
      <c r="S46" s="5" t="s">
        <v>1782</v>
      </c>
      <c r="T46" s="5">
        <v>52</v>
      </c>
      <c r="U46" s="5" t="s">
        <v>1671</v>
      </c>
      <c r="V46">
        <v>638</v>
      </c>
      <c r="W46">
        <v>63</v>
      </c>
    </row>
    <row r="47" spans="1:23">
      <c r="A47" s="333" t="str">
        <f>IF(E47="","",VLOOKUP('OPĆI DIO'!$C$3,'OPĆI DIO'!$L$6:$U$138,10,FALSE))</f>
        <v/>
      </c>
      <c r="B47" s="70" t="str">
        <f>IF(E47="","",VLOOKUP('OPĆI DIO'!$C$3,'OPĆI DIO'!$L$6:$U$138,9,FALSE))</f>
        <v/>
      </c>
      <c r="C47" s="115" t="str">
        <f t="shared" si="5"/>
        <v/>
      </c>
      <c r="D47" s="69" t="str">
        <f t="shared" si="1"/>
        <v/>
      </c>
      <c r="E47" s="81"/>
      <c r="F47" s="118" t="str">
        <f t="shared" si="6"/>
        <v/>
      </c>
      <c r="G47" s="113"/>
      <c r="H47" s="357"/>
      <c r="I47" s="113"/>
      <c r="J47" s="81"/>
      <c r="L47" s="72" t="str">
        <f t="shared" si="3"/>
        <v/>
      </c>
      <c r="M47" s="72" t="str">
        <f t="shared" si="4"/>
        <v/>
      </c>
      <c r="R47" s="5">
        <v>6382</v>
      </c>
      <c r="S47" s="5" t="s">
        <v>1783</v>
      </c>
      <c r="T47" s="5">
        <v>52</v>
      </c>
      <c r="U47" s="5" t="s">
        <v>1671</v>
      </c>
      <c r="V47">
        <v>638</v>
      </c>
      <c r="W47">
        <v>63</v>
      </c>
    </row>
    <row r="48" spans="1:23">
      <c r="A48" s="333" t="str">
        <f>IF(E48="","",VLOOKUP('OPĆI DIO'!$C$3,'OPĆI DIO'!$L$6:$U$138,10,FALSE))</f>
        <v/>
      </c>
      <c r="B48" s="70" t="str">
        <f>IF(E48="","",VLOOKUP('OPĆI DIO'!$C$3,'OPĆI DIO'!$L$6:$U$138,9,FALSE))</f>
        <v/>
      </c>
      <c r="C48" s="115" t="str">
        <f t="shared" si="5"/>
        <v/>
      </c>
      <c r="D48" s="69" t="str">
        <f t="shared" si="1"/>
        <v/>
      </c>
      <c r="E48" s="81"/>
      <c r="F48" s="118" t="str">
        <f t="shared" si="6"/>
        <v/>
      </c>
      <c r="G48" s="113"/>
      <c r="H48" s="357"/>
      <c r="I48" s="113"/>
      <c r="J48" s="81"/>
      <c r="L48" s="72" t="str">
        <f t="shared" si="3"/>
        <v/>
      </c>
      <c r="M48" s="72" t="str">
        <f t="shared" si="4"/>
        <v/>
      </c>
      <c r="R48" s="5">
        <v>6391</v>
      </c>
      <c r="S48" s="5" t="s">
        <v>28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333" t="str">
        <f>IF(E49="","",VLOOKUP('OPĆI DIO'!$C$3,'OPĆI DIO'!$L$6:$U$138,10,FALSE))</f>
        <v/>
      </c>
      <c r="B49" s="70" t="str">
        <f>IF(E49="","",VLOOKUP('OPĆI DIO'!$C$3,'OPĆI DIO'!$L$6:$U$138,9,FALSE))</f>
        <v/>
      </c>
      <c r="C49" s="115" t="str">
        <f t="shared" si="5"/>
        <v/>
      </c>
      <c r="D49" s="69" t="str">
        <f t="shared" si="1"/>
        <v/>
      </c>
      <c r="E49" s="81"/>
      <c r="F49" s="118" t="str">
        <f t="shared" si="6"/>
        <v/>
      </c>
      <c r="G49" s="113"/>
      <c r="H49" s="357"/>
      <c r="I49" s="113"/>
      <c r="J49" s="81"/>
      <c r="L49" s="72" t="str">
        <f t="shared" si="3"/>
        <v/>
      </c>
      <c r="M49" s="72" t="str">
        <f t="shared" si="4"/>
        <v/>
      </c>
      <c r="R49" s="5">
        <v>6392</v>
      </c>
      <c r="S49" s="5" t="s">
        <v>29</v>
      </c>
      <c r="T49" s="5">
        <v>52</v>
      </c>
      <c r="U49" s="5" t="s">
        <v>1671</v>
      </c>
      <c r="V49">
        <v>639</v>
      </c>
      <c r="W49">
        <v>63</v>
      </c>
    </row>
    <row r="50" spans="1:23">
      <c r="A50" s="333" t="str">
        <f>IF(E50="","",VLOOKUP('OPĆI DIO'!$C$3,'OPĆI DIO'!$L$6:$U$138,10,FALSE))</f>
        <v/>
      </c>
      <c r="B50" s="70" t="str">
        <f>IF(E50="","",VLOOKUP('OPĆI DIO'!$C$3,'OPĆI DIO'!$L$6:$U$138,9,FALSE))</f>
        <v/>
      </c>
      <c r="C50" s="115" t="str">
        <f t="shared" si="5"/>
        <v/>
      </c>
      <c r="D50" s="69" t="str">
        <f t="shared" si="1"/>
        <v/>
      </c>
      <c r="E50" s="81"/>
      <c r="F50" s="118" t="str">
        <f t="shared" si="6"/>
        <v/>
      </c>
      <c r="G50" s="113"/>
      <c r="H50" s="357"/>
      <c r="I50" s="113"/>
      <c r="J50" s="81"/>
      <c r="L50" s="72" t="str">
        <f t="shared" si="3"/>
        <v/>
      </c>
      <c r="M50" s="72" t="str">
        <f t="shared" si="4"/>
        <v/>
      </c>
      <c r="R50" s="5">
        <v>6393</v>
      </c>
      <c r="S50" s="5" t="s">
        <v>30</v>
      </c>
      <c r="T50" s="5">
        <v>52</v>
      </c>
      <c r="U50" s="5" t="s">
        <v>1671</v>
      </c>
      <c r="V50">
        <v>639</v>
      </c>
      <c r="W50">
        <v>63</v>
      </c>
    </row>
    <row r="51" spans="1:23">
      <c r="A51" s="333" t="str">
        <f>IF(E51="","",VLOOKUP('OPĆI DIO'!$C$3,'OPĆI DIO'!$L$6:$U$138,10,FALSE))</f>
        <v/>
      </c>
      <c r="B51" s="70" t="str">
        <f>IF(E51="","",VLOOKUP('OPĆI DIO'!$C$3,'OPĆI DIO'!$L$6:$U$138,9,FALSE))</f>
        <v/>
      </c>
      <c r="C51" s="115" t="str">
        <f t="shared" si="5"/>
        <v/>
      </c>
      <c r="D51" s="69" t="str">
        <f t="shared" si="1"/>
        <v/>
      </c>
      <c r="E51" s="81"/>
      <c r="F51" s="118" t="str">
        <f t="shared" si="6"/>
        <v/>
      </c>
      <c r="G51" s="113"/>
      <c r="H51" s="357"/>
      <c r="I51" s="113"/>
      <c r="J51" s="81"/>
      <c r="L51" s="72" t="str">
        <f t="shared" si="3"/>
        <v/>
      </c>
      <c r="M51" s="72" t="str">
        <f t="shared" si="4"/>
        <v/>
      </c>
      <c r="R51" s="5">
        <v>6394</v>
      </c>
      <c r="S51" s="5" t="s">
        <v>31</v>
      </c>
      <c r="T51" s="5">
        <v>52</v>
      </c>
      <c r="U51" s="5" t="s">
        <v>1671</v>
      </c>
      <c r="V51">
        <v>639</v>
      </c>
      <c r="W51">
        <v>63</v>
      </c>
    </row>
    <row r="52" spans="1:23">
      <c r="A52" s="333" t="str">
        <f>IF(E52="","",VLOOKUP('OPĆI DIO'!$C$3,'OPĆI DIO'!$L$6:$U$138,10,FALSE))</f>
        <v/>
      </c>
      <c r="B52" s="70" t="str">
        <f>IF(E52="","",VLOOKUP('OPĆI DIO'!$C$3,'OPĆI DIO'!$L$6:$U$138,9,FALSE))</f>
        <v/>
      </c>
      <c r="C52" s="115" t="str">
        <f t="shared" si="5"/>
        <v/>
      </c>
      <c r="D52" s="69" t="str">
        <f t="shared" si="1"/>
        <v/>
      </c>
      <c r="E52" s="81"/>
      <c r="F52" s="118" t="str">
        <f t="shared" si="6"/>
        <v/>
      </c>
      <c r="G52" s="113"/>
      <c r="H52" s="357"/>
      <c r="I52" s="113"/>
      <c r="J52" s="81"/>
      <c r="L52" s="72" t="str">
        <f t="shared" si="3"/>
        <v/>
      </c>
      <c r="M52" s="72" t="str">
        <f t="shared" si="4"/>
        <v/>
      </c>
      <c r="R52" s="5">
        <v>641290031</v>
      </c>
      <c r="S52" s="5" t="s">
        <v>206</v>
      </c>
      <c r="T52" s="5">
        <v>31</v>
      </c>
      <c r="U52" s="5" t="s">
        <v>91</v>
      </c>
      <c r="V52">
        <v>641</v>
      </c>
      <c r="W52">
        <v>64</v>
      </c>
    </row>
    <row r="53" spans="1:23">
      <c r="A53" s="333" t="str">
        <f>IF(E53="","",VLOOKUP('OPĆI DIO'!$C$3,'OPĆI DIO'!$L$6:$U$138,10,FALSE))</f>
        <v/>
      </c>
      <c r="B53" s="70" t="str">
        <f>IF(E53="","",VLOOKUP('OPĆI DIO'!$C$3,'OPĆI DIO'!$L$6:$U$138,9,FALSE))</f>
        <v/>
      </c>
      <c r="C53" s="115" t="str">
        <f t="shared" si="5"/>
        <v/>
      </c>
      <c r="D53" s="69" t="str">
        <f t="shared" si="1"/>
        <v/>
      </c>
      <c r="E53" s="81"/>
      <c r="F53" s="118" t="str">
        <f t="shared" si="6"/>
        <v/>
      </c>
      <c r="G53" s="113"/>
      <c r="H53" s="357"/>
      <c r="I53" s="113"/>
      <c r="J53" s="81"/>
      <c r="L53" s="72" t="str">
        <f t="shared" si="3"/>
        <v/>
      </c>
      <c r="M53" s="72" t="str">
        <f t="shared" si="4"/>
        <v/>
      </c>
      <c r="R53" s="5">
        <v>641310031</v>
      </c>
      <c r="S53" s="5" t="s">
        <v>207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333" t="str">
        <f>IF(E54="","",VLOOKUP('OPĆI DIO'!$C$3,'OPĆI DIO'!$L$6:$U$138,10,FALSE))</f>
        <v/>
      </c>
      <c r="B54" s="70" t="str">
        <f>IF(E54="","",VLOOKUP('OPĆI DIO'!$C$3,'OPĆI DIO'!$L$6:$U$138,9,FALSE))</f>
        <v/>
      </c>
      <c r="C54" s="115" t="str">
        <f t="shared" si="5"/>
        <v/>
      </c>
      <c r="D54" s="69" t="str">
        <f t="shared" si="1"/>
        <v/>
      </c>
      <c r="E54" s="81"/>
      <c r="F54" s="118" t="str">
        <f t="shared" si="6"/>
        <v/>
      </c>
      <c r="G54" s="113"/>
      <c r="H54" s="357"/>
      <c r="I54" s="113"/>
      <c r="J54" s="81"/>
      <c r="L54" s="72" t="str">
        <f t="shared" si="3"/>
        <v/>
      </c>
      <c r="M54" s="72" t="str">
        <f t="shared" si="4"/>
        <v/>
      </c>
      <c r="R54" s="5">
        <v>641320031</v>
      </c>
      <c r="S54" s="5" t="s">
        <v>208</v>
      </c>
      <c r="T54" s="5">
        <v>31</v>
      </c>
      <c r="U54" s="5" t="s">
        <v>91</v>
      </c>
      <c r="V54">
        <v>641</v>
      </c>
      <c r="W54">
        <v>64</v>
      </c>
    </row>
    <row r="55" spans="1:23">
      <c r="A55" s="333" t="str">
        <f>IF(E55="","",VLOOKUP('OPĆI DIO'!$C$3,'OPĆI DIO'!$L$6:$U$138,10,FALSE))</f>
        <v/>
      </c>
      <c r="B55" s="70" t="str">
        <f>IF(E55="","",VLOOKUP('OPĆI DIO'!$C$3,'OPĆI DIO'!$L$6:$U$138,9,FALSE))</f>
        <v/>
      </c>
      <c r="C55" s="115" t="str">
        <f t="shared" si="5"/>
        <v/>
      </c>
      <c r="D55" s="69" t="str">
        <f t="shared" si="1"/>
        <v/>
      </c>
      <c r="E55" s="81"/>
      <c r="F55" s="118" t="str">
        <f t="shared" si="6"/>
        <v/>
      </c>
      <c r="G55" s="113"/>
      <c r="H55" s="357"/>
      <c r="I55" s="113"/>
      <c r="J55" s="81"/>
      <c r="L55" s="72" t="str">
        <f t="shared" si="3"/>
        <v/>
      </c>
      <c r="M55" s="72" t="str">
        <f t="shared" si="4"/>
        <v/>
      </c>
      <c r="R55" s="5">
        <v>641320043</v>
      </c>
      <c r="S55" s="5" t="s">
        <v>1677</v>
      </c>
      <c r="T55" s="5">
        <v>43</v>
      </c>
      <c r="U55" s="5" t="s">
        <v>96</v>
      </c>
      <c r="V55">
        <v>641</v>
      </c>
      <c r="W55">
        <v>64</v>
      </c>
    </row>
    <row r="56" spans="1:23">
      <c r="A56" s="333" t="str">
        <f>IF(E56="","",VLOOKUP('OPĆI DIO'!$C$3,'OPĆI DIO'!$L$6:$U$138,10,FALSE))</f>
        <v/>
      </c>
      <c r="B56" s="70" t="str">
        <f>IF(E56="","",VLOOKUP('OPĆI DIO'!$C$3,'OPĆI DIO'!$L$6:$U$138,9,FALSE))</f>
        <v/>
      </c>
      <c r="C56" s="115" t="str">
        <f t="shared" si="5"/>
        <v/>
      </c>
      <c r="D56" s="69" t="str">
        <f t="shared" si="1"/>
        <v/>
      </c>
      <c r="E56" s="81"/>
      <c r="F56" s="118" t="str">
        <f t="shared" si="6"/>
        <v/>
      </c>
      <c r="G56" s="113"/>
      <c r="H56" s="357"/>
      <c r="I56" s="113"/>
      <c r="J56" s="81"/>
      <c r="L56" s="72" t="str">
        <f t="shared" si="3"/>
        <v/>
      </c>
      <c r="M56" s="72" t="str">
        <f t="shared" si="4"/>
        <v/>
      </c>
      <c r="R56" s="5">
        <v>641510031</v>
      </c>
      <c r="S56" s="5" t="s">
        <v>1678</v>
      </c>
      <c r="T56" s="5">
        <v>31</v>
      </c>
      <c r="U56" s="5" t="s">
        <v>91</v>
      </c>
      <c r="V56">
        <v>641</v>
      </c>
      <c r="W56">
        <v>64</v>
      </c>
    </row>
    <row r="57" spans="1:23">
      <c r="A57" s="333" t="str">
        <f>IF(E57="","",VLOOKUP('OPĆI DIO'!$C$3,'OPĆI DIO'!$L$6:$U$138,10,FALSE))</f>
        <v/>
      </c>
      <c r="B57" s="70" t="str">
        <f>IF(E57="","",VLOOKUP('OPĆI DIO'!$C$3,'OPĆI DIO'!$L$6:$U$138,9,FALSE))</f>
        <v/>
      </c>
      <c r="C57" s="115" t="str">
        <f t="shared" si="5"/>
        <v/>
      </c>
      <c r="D57" s="69" t="str">
        <f t="shared" si="1"/>
        <v/>
      </c>
      <c r="E57" s="81"/>
      <c r="F57" s="118" t="str">
        <f t="shared" si="6"/>
        <v/>
      </c>
      <c r="G57" s="113"/>
      <c r="H57" s="357"/>
      <c r="I57" s="113"/>
      <c r="J57" s="81"/>
      <c r="L57" s="72" t="str">
        <f t="shared" si="3"/>
        <v/>
      </c>
      <c r="M57" s="72" t="str">
        <f t="shared" si="4"/>
        <v/>
      </c>
      <c r="R57" s="5">
        <v>641510043</v>
      </c>
      <c r="S57" s="5" t="s">
        <v>1679</v>
      </c>
      <c r="T57" s="5">
        <v>43</v>
      </c>
      <c r="U57" s="5" t="s">
        <v>96</v>
      </c>
      <c r="V57">
        <v>641</v>
      </c>
      <c r="W57">
        <v>64</v>
      </c>
    </row>
    <row r="58" spans="1:23">
      <c r="A58" s="333" t="str">
        <f>IF(E58="","",VLOOKUP('OPĆI DIO'!$C$3,'OPĆI DIO'!$L$6:$U$138,10,FALSE))</f>
        <v/>
      </c>
      <c r="B58" s="70" t="str">
        <f>IF(E58="","",VLOOKUP('OPĆI DIO'!$C$3,'OPĆI DIO'!$L$6:$U$138,9,FALSE))</f>
        <v/>
      </c>
      <c r="C58" s="115" t="str">
        <f t="shared" si="5"/>
        <v/>
      </c>
      <c r="D58" s="69" t="str">
        <f t="shared" si="1"/>
        <v/>
      </c>
      <c r="E58" s="81"/>
      <c r="F58" s="118" t="str">
        <f t="shared" si="6"/>
        <v/>
      </c>
      <c r="G58" s="113"/>
      <c r="H58" s="357"/>
      <c r="I58" s="113"/>
      <c r="J58" s="81"/>
      <c r="L58" s="72" t="str">
        <f t="shared" si="3"/>
        <v/>
      </c>
      <c r="M58" s="72" t="str">
        <f t="shared" si="4"/>
        <v/>
      </c>
      <c r="R58" s="5">
        <v>641630031</v>
      </c>
      <c r="S58" s="5" t="s">
        <v>209</v>
      </c>
      <c r="T58" s="5">
        <v>31</v>
      </c>
      <c r="U58" s="5" t="s">
        <v>91</v>
      </c>
      <c r="V58">
        <v>641</v>
      </c>
      <c r="W58">
        <v>64</v>
      </c>
    </row>
    <row r="59" spans="1:23">
      <c r="A59" s="333" t="str">
        <f>IF(E59="","",VLOOKUP('OPĆI DIO'!$C$3,'OPĆI DIO'!$L$6:$U$138,10,FALSE))</f>
        <v/>
      </c>
      <c r="B59" s="70" t="str">
        <f>IF(E59="","",VLOOKUP('OPĆI DIO'!$C$3,'OPĆI DIO'!$L$6:$U$138,9,FALSE))</f>
        <v/>
      </c>
      <c r="C59" s="115" t="str">
        <f t="shared" si="5"/>
        <v/>
      </c>
      <c r="D59" s="69" t="str">
        <f t="shared" si="1"/>
        <v/>
      </c>
      <c r="E59" s="81"/>
      <c r="F59" s="118" t="str">
        <f t="shared" si="6"/>
        <v/>
      </c>
      <c r="G59" s="113"/>
      <c r="H59" s="357"/>
      <c r="I59" s="113"/>
      <c r="J59" s="81"/>
      <c r="L59" s="72" t="str">
        <f t="shared" si="3"/>
        <v/>
      </c>
      <c r="M59" s="72" t="str">
        <f t="shared" si="4"/>
        <v/>
      </c>
      <c r="R59" s="5">
        <v>641720043</v>
      </c>
      <c r="S59" s="5" t="s">
        <v>212</v>
      </c>
      <c r="T59" s="5">
        <v>43</v>
      </c>
      <c r="U59" s="5" t="s">
        <v>96</v>
      </c>
      <c r="V59">
        <v>641</v>
      </c>
      <c r="W59">
        <v>64</v>
      </c>
    </row>
    <row r="60" spans="1:23">
      <c r="A60" s="333" t="str">
        <f>IF(E60="","",VLOOKUP('OPĆI DIO'!$C$3,'OPĆI DIO'!$L$6:$U$138,10,FALSE))</f>
        <v/>
      </c>
      <c r="B60" s="70" t="str">
        <f>IF(E60="","",VLOOKUP('OPĆI DIO'!$C$3,'OPĆI DIO'!$L$6:$U$138,9,FALSE))</f>
        <v/>
      </c>
      <c r="C60" s="115" t="str">
        <f t="shared" si="5"/>
        <v/>
      </c>
      <c r="D60" s="69" t="str">
        <f t="shared" si="1"/>
        <v/>
      </c>
      <c r="E60" s="81"/>
      <c r="F60" s="118" t="str">
        <f t="shared" si="6"/>
        <v/>
      </c>
      <c r="G60" s="113"/>
      <c r="H60" s="357"/>
      <c r="I60" s="113"/>
      <c r="J60" s="81"/>
      <c r="L60" s="72" t="str">
        <f t="shared" si="3"/>
        <v/>
      </c>
      <c r="M60" s="72" t="str">
        <f t="shared" si="4"/>
        <v/>
      </c>
      <c r="R60" s="5">
        <v>641770041</v>
      </c>
      <c r="S60" s="5" t="s">
        <v>1216</v>
      </c>
      <c r="T60" s="5">
        <v>41</v>
      </c>
      <c r="U60" s="5" t="s">
        <v>1208</v>
      </c>
      <c r="V60">
        <v>641</v>
      </c>
      <c r="W60">
        <v>64</v>
      </c>
    </row>
    <row r="61" spans="1:23">
      <c r="A61" s="333" t="str">
        <f>IF(E61="","",VLOOKUP('OPĆI DIO'!$C$3,'OPĆI DIO'!$L$6:$U$138,10,FALSE))</f>
        <v/>
      </c>
      <c r="B61" s="70" t="str">
        <f>IF(E61="","",VLOOKUP('OPĆI DIO'!$C$3,'OPĆI DIO'!$L$6:$U$138,9,FALSE))</f>
        <v/>
      </c>
      <c r="C61" s="115" t="str">
        <f t="shared" si="5"/>
        <v/>
      </c>
      <c r="D61" s="69" t="str">
        <f t="shared" si="1"/>
        <v/>
      </c>
      <c r="E61" s="81"/>
      <c r="F61" s="118" t="str">
        <f t="shared" si="6"/>
        <v/>
      </c>
      <c r="G61" s="113"/>
      <c r="H61" s="357"/>
      <c r="I61" s="113"/>
      <c r="J61" s="81"/>
      <c r="L61" s="72" t="str">
        <f t="shared" si="3"/>
        <v/>
      </c>
      <c r="M61" s="72" t="str">
        <f t="shared" si="4"/>
        <v/>
      </c>
      <c r="R61" s="5">
        <v>641990043</v>
      </c>
      <c r="S61" s="5" t="s">
        <v>1680</v>
      </c>
      <c r="T61" s="5">
        <v>43</v>
      </c>
      <c r="U61" s="5" t="s">
        <v>96</v>
      </c>
      <c r="V61">
        <v>641</v>
      </c>
      <c r="W61">
        <v>64</v>
      </c>
    </row>
    <row r="62" spans="1:23">
      <c r="A62" s="333" t="str">
        <f>IF(E62="","",VLOOKUP('OPĆI DIO'!$C$3,'OPĆI DIO'!$L$6:$U$138,10,FALSE))</f>
        <v/>
      </c>
      <c r="B62" s="70" t="str">
        <f>IF(E62="","",VLOOKUP('OPĆI DIO'!$C$3,'OPĆI DIO'!$L$6:$U$138,9,FALSE))</f>
        <v/>
      </c>
      <c r="C62" s="115" t="str">
        <f t="shared" si="5"/>
        <v/>
      </c>
      <c r="D62" s="69" t="str">
        <f t="shared" si="1"/>
        <v/>
      </c>
      <c r="E62" s="81"/>
      <c r="F62" s="118" t="str">
        <f t="shared" si="6"/>
        <v/>
      </c>
      <c r="G62" s="113"/>
      <c r="H62" s="357"/>
      <c r="I62" s="113"/>
      <c r="J62" s="81"/>
      <c r="L62" s="72" t="str">
        <f t="shared" si="3"/>
        <v/>
      </c>
      <c r="M62" s="72" t="str">
        <f t="shared" si="4"/>
        <v/>
      </c>
      <c r="R62" s="5">
        <v>642510031</v>
      </c>
      <c r="S62" s="5" t="s">
        <v>210</v>
      </c>
      <c r="T62" s="5">
        <v>31</v>
      </c>
      <c r="U62" s="5" t="s">
        <v>91</v>
      </c>
      <c r="V62">
        <v>642</v>
      </c>
      <c r="W62">
        <v>64</v>
      </c>
    </row>
    <row r="63" spans="1:23">
      <c r="A63" s="333" t="str">
        <f>IF(E63="","",VLOOKUP('OPĆI DIO'!$C$3,'OPĆI DIO'!$L$6:$U$138,10,FALSE))</f>
        <v/>
      </c>
      <c r="B63" s="70" t="str">
        <f>IF(E63="","",VLOOKUP('OPĆI DIO'!$C$3,'OPĆI DIO'!$L$6:$U$138,9,FALSE))</f>
        <v/>
      </c>
      <c r="C63" s="115" t="str">
        <f t="shared" si="5"/>
        <v/>
      </c>
      <c r="D63" s="69" t="str">
        <f t="shared" si="1"/>
        <v/>
      </c>
      <c r="E63" s="81"/>
      <c r="F63" s="118" t="str">
        <f t="shared" si="6"/>
        <v/>
      </c>
      <c r="G63" s="113"/>
      <c r="H63" s="357"/>
      <c r="I63" s="113"/>
      <c r="J63" s="81"/>
      <c r="L63" s="72" t="str">
        <f t="shared" si="3"/>
        <v/>
      </c>
      <c r="M63" s="72" t="str">
        <f t="shared" si="4"/>
        <v/>
      </c>
      <c r="R63" s="5">
        <v>642990031</v>
      </c>
      <c r="S63" s="5" t="s">
        <v>211</v>
      </c>
      <c r="T63" s="5">
        <v>31</v>
      </c>
      <c r="U63" s="5" t="s">
        <v>91</v>
      </c>
      <c r="V63">
        <v>642</v>
      </c>
      <c r="W63">
        <v>64</v>
      </c>
    </row>
    <row r="64" spans="1:23">
      <c r="A64" s="333" t="str">
        <f>IF(E64="","",VLOOKUP('OPĆI DIO'!$C$3,'OPĆI DIO'!$L$6:$U$138,10,FALSE))</f>
        <v/>
      </c>
      <c r="B64" s="70" t="str">
        <f>IF(E64="","",VLOOKUP('OPĆI DIO'!$C$3,'OPĆI DIO'!$L$6:$U$138,9,FALSE))</f>
        <v/>
      </c>
      <c r="C64" s="115" t="str">
        <f t="shared" si="5"/>
        <v/>
      </c>
      <c r="D64" s="69" t="str">
        <f t="shared" si="1"/>
        <v/>
      </c>
      <c r="E64" s="81"/>
      <c r="F64" s="118" t="str">
        <f t="shared" si="6"/>
        <v/>
      </c>
      <c r="G64" s="113"/>
      <c r="H64" s="357"/>
      <c r="I64" s="113"/>
      <c r="J64" s="81"/>
      <c r="L64" s="72" t="str">
        <f t="shared" si="3"/>
        <v/>
      </c>
      <c r="M64" s="72" t="str">
        <f t="shared" si="4"/>
        <v/>
      </c>
      <c r="R64" s="5">
        <v>65148</v>
      </c>
      <c r="S64" s="5" t="s">
        <v>19</v>
      </c>
      <c r="T64" s="5">
        <v>43</v>
      </c>
      <c r="U64" s="5" t="s">
        <v>96</v>
      </c>
      <c r="V64">
        <v>651</v>
      </c>
      <c r="W64">
        <v>65</v>
      </c>
    </row>
    <row r="65" spans="1:23">
      <c r="A65" s="333" t="str">
        <f>IF(E65="","",VLOOKUP('OPĆI DIO'!$C$3,'OPĆI DIO'!$L$6:$U$138,10,FALSE))</f>
        <v/>
      </c>
      <c r="B65" s="70" t="str">
        <f>IF(E65="","",VLOOKUP('OPĆI DIO'!$C$3,'OPĆI DIO'!$L$6:$U$138,9,FALSE))</f>
        <v/>
      </c>
      <c r="C65" s="115" t="str">
        <f t="shared" si="5"/>
        <v/>
      </c>
      <c r="D65" s="69" t="str">
        <f t="shared" si="1"/>
        <v/>
      </c>
      <c r="E65" s="81"/>
      <c r="F65" s="118" t="str">
        <f t="shared" si="6"/>
        <v/>
      </c>
      <c r="G65" s="113"/>
      <c r="H65" s="357"/>
      <c r="I65" s="113"/>
      <c r="J65" s="81"/>
      <c r="L65" s="72" t="str">
        <f t="shared" si="3"/>
        <v/>
      </c>
      <c r="M65" s="72" t="str">
        <f t="shared" si="4"/>
        <v/>
      </c>
      <c r="R65" s="5">
        <v>65218</v>
      </c>
      <c r="S65" s="5" t="s">
        <v>1681</v>
      </c>
      <c r="T65" s="5">
        <v>43</v>
      </c>
      <c r="U65" s="5" t="s">
        <v>96</v>
      </c>
      <c r="V65">
        <v>652</v>
      </c>
      <c r="W65">
        <v>65</v>
      </c>
    </row>
    <row r="66" spans="1:23">
      <c r="A66" s="333" t="str">
        <f>IF(E66="","",VLOOKUP('OPĆI DIO'!$C$3,'OPĆI DIO'!$L$6:$U$138,10,FALSE))</f>
        <v/>
      </c>
      <c r="B66" s="70" t="str">
        <f>IF(E66="","",VLOOKUP('OPĆI DIO'!$C$3,'OPĆI DIO'!$L$6:$U$138,9,FALSE))</f>
        <v/>
      </c>
      <c r="C66" s="115" t="str">
        <f t="shared" si="5"/>
        <v/>
      </c>
      <c r="D66" s="69" t="str">
        <f t="shared" si="1"/>
        <v/>
      </c>
      <c r="E66" s="81"/>
      <c r="F66" s="118" t="str">
        <f t="shared" si="6"/>
        <v/>
      </c>
      <c r="G66" s="113"/>
      <c r="H66" s="357"/>
      <c r="I66" s="113"/>
      <c r="J66" s="81"/>
      <c r="L66" s="72" t="str">
        <f t="shared" si="3"/>
        <v/>
      </c>
      <c r="M66" s="72" t="str">
        <f t="shared" si="4"/>
        <v/>
      </c>
      <c r="R66" s="5">
        <v>65264</v>
      </c>
      <c r="S66" s="5" t="s">
        <v>213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333" t="str">
        <f>IF(E67="","",VLOOKUP('OPĆI DIO'!$C$3,'OPĆI DIO'!$L$6:$U$138,10,FALSE))</f>
        <v/>
      </c>
      <c r="B67" s="70" t="str">
        <f>IF(E67="","",VLOOKUP('OPĆI DIO'!$C$3,'OPĆI DIO'!$L$6:$U$138,9,FALSE))</f>
        <v/>
      </c>
      <c r="C67" s="115" t="str">
        <f t="shared" si="5"/>
        <v/>
      </c>
      <c r="D67" s="69" t="str">
        <f t="shared" si="1"/>
        <v/>
      </c>
      <c r="E67" s="81"/>
      <c r="F67" s="118" t="str">
        <f t="shared" si="6"/>
        <v/>
      </c>
      <c r="G67" s="113"/>
      <c r="H67" s="357"/>
      <c r="I67" s="113"/>
      <c r="J67" s="81"/>
      <c r="L67" s="72" t="str">
        <f t="shared" si="3"/>
        <v/>
      </c>
      <c r="M67" s="72" t="str">
        <f t="shared" si="4"/>
        <v/>
      </c>
      <c r="R67" s="5">
        <v>652670043</v>
      </c>
      <c r="S67" s="5" t="s">
        <v>214</v>
      </c>
      <c r="T67" s="5">
        <v>43</v>
      </c>
      <c r="U67" s="5" t="s">
        <v>96</v>
      </c>
      <c r="V67">
        <v>652</v>
      </c>
      <c r="W67">
        <v>65</v>
      </c>
    </row>
    <row r="68" spans="1:23">
      <c r="A68" s="333" t="str">
        <f>IF(E68="","",VLOOKUP('OPĆI DIO'!$C$3,'OPĆI DIO'!$L$6:$U$138,10,FALSE))</f>
        <v/>
      </c>
      <c r="B68" s="70" t="str">
        <f>IF(E68="","",VLOOKUP('OPĆI DIO'!$C$3,'OPĆI DIO'!$L$6:$U$138,9,FALSE))</f>
        <v/>
      </c>
      <c r="C68" s="115" t="str">
        <f t="shared" si="5"/>
        <v/>
      </c>
      <c r="D68" s="69" t="str">
        <f t="shared" ref="D68:D131" si="7">IFERROR(VLOOKUP(E68,$R$6:$U$116,4,FALSE),"")</f>
        <v/>
      </c>
      <c r="E68" s="81"/>
      <c r="F68" s="118" t="str">
        <f t="shared" si="6"/>
        <v/>
      </c>
      <c r="G68" s="113"/>
      <c r="H68" s="357"/>
      <c r="I68" s="113"/>
      <c r="J68" s="81"/>
      <c r="L68" s="72" t="str">
        <f t="shared" si="3"/>
        <v/>
      </c>
      <c r="M68" s="72" t="str">
        <f t="shared" si="4"/>
        <v/>
      </c>
      <c r="R68" s="5">
        <v>652670071</v>
      </c>
      <c r="S68" s="5" t="s">
        <v>1785</v>
      </c>
      <c r="T68" s="5">
        <v>71</v>
      </c>
      <c r="U68" s="5" t="s">
        <v>173</v>
      </c>
      <c r="V68">
        <v>652</v>
      </c>
      <c r="W68">
        <v>65</v>
      </c>
    </row>
    <row r="69" spans="1:23">
      <c r="A69" s="333" t="str">
        <f>IF(E69="","",VLOOKUP('OPĆI DIO'!$C$3,'OPĆI DIO'!$L$6:$U$138,10,FALSE))</f>
        <v/>
      </c>
      <c r="B69" s="70" t="str">
        <f>IF(E69="","",VLOOKUP('OPĆI DIO'!$C$3,'OPĆI DIO'!$L$6:$U$138,9,FALSE))</f>
        <v/>
      </c>
      <c r="C69" s="115" t="str">
        <f t="shared" si="5"/>
        <v/>
      </c>
      <c r="D69" s="69" t="str">
        <f t="shared" si="7"/>
        <v/>
      </c>
      <c r="E69" s="81"/>
      <c r="F69" s="118" t="str">
        <f t="shared" si="6"/>
        <v/>
      </c>
      <c r="G69" s="113"/>
      <c r="H69" s="357"/>
      <c r="I69" s="113"/>
      <c r="J69" s="81"/>
      <c r="L69" s="72" t="str">
        <f t="shared" si="3"/>
        <v/>
      </c>
      <c r="M69" s="72" t="str">
        <f t="shared" si="4"/>
        <v/>
      </c>
      <c r="R69" s="5">
        <v>65268</v>
      </c>
      <c r="S69" s="5" t="s">
        <v>1682</v>
      </c>
      <c r="T69" s="5">
        <v>43</v>
      </c>
      <c r="U69" s="5" t="s">
        <v>96</v>
      </c>
      <c r="V69">
        <v>652</v>
      </c>
      <c r="W69">
        <v>65</v>
      </c>
    </row>
    <row r="70" spans="1:23">
      <c r="A70" s="333" t="str">
        <f>IF(E70="","",VLOOKUP('OPĆI DIO'!$C$3,'OPĆI DIO'!$L$6:$U$138,10,FALSE))</f>
        <v/>
      </c>
      <c r="B70" s="70" t="str">
        <f>IF(E70="","",VLOOKUP('OPĆI DIO'!$C$3,'OPĆI DIO'!$L$6:$U$138,9,FALSE))</f>
        <v/>
      </c>
      <c r="C70" s="115" t="str">
        <f t="shared" ref="C70:C133" si="8">IFERROR(VLOOKUP(E70,$R$6:$U$116,3,FALSE),"")</f>
        <v/>
      </c>
      <c r="D70" s="69" t="str">
        <f t="shared" si="7"/>
        <v/>
      </c>
      <c r="E70" s="81"/>
      <c r="F70" s="118" t="str">
        <f t="shared" si="6"/>
        <v/>
      </c>
      <c r="G70" s="113"/>
      <c r="H70" s="357"/>
      <c r="I70" s="113"/>
      <c r="J70" s="81"/>
      <c r="L70" s="72" t="str">
        <f t="shared" si="3"/>
        <v/>
      </c>
      <c r="M70" s="72" t="str">
        <f t="shared" si="4"/>
        <v/>
      </c>
      <c r="R70" s="5">
        <v>6614</v>
      </c>
      <c r="S70" s="5" t="s">
        <v>1704</v>
      </c>
      <c r="T70" s="5">
        <v>31</v>
      </c>
      <c r="U70" s="5" t="s">
        <v>91</v>
      </c>
      <c r="V70">
        <v>661</v>
      </c>
      <c r="W70">
        <v>66</v>
      </c>
    </row>
    <row r="71" spans="1:23">
      <c r="A71" s="333" t="str">
        <f>IF(E71="","",VLOOKUP('OPĆI DIO'!$C$3,'OPĆI DIO'!$L$6:$U$138,10,FALSE))</f>
        <v/>
      </c>
      <c r="B71" s="70" t="str">
        <f>IF(E71="","",VLOOKUP('OPĆI DIO'!$C$3,'OPĆI DIO'!$L$6:$U$138,9,FALSE))</f>
        <v/>
      </c>
      <c r="C71" s="115" t="str">
        <f t="shared" si="8"/>
        <v/>
      </c>
      <c r="D71" s="69" t="str">
        <f t="shared" si="7"/>
        <v/>
      </c>
      <c r="E71" s="81"/>
      <c r="F71" s="118" t="str">
        <f t="shared" si="6"/>
        <v/>
      </c>
      <c r="G71" s="113"/>
      <c r="H71" s="357"/>
      <c r="I71" s="113"/>
      <c r="J71" s="81"/>
      <c r="L71" s="72" t="str">
        <f t="shared" ref="L71:L134" si="9">LEFT(E71,2)</f>
        <v/>
      </c>
      <c r="M71" s="72" t="str">
        <f t="shared" ref="M71:M134" si="10">LEFT(E71,3)</f>
        <v/>
      </c>
      <c r="R71" s="5">
        <v>6615</v>
      </c>
      <c r="S71" s="5" t="s">
        <v>18</v>
      </c>
      <c r="T71" s="5">
        <v>31</v>
      </c>
      <c r="U71" s="5" t="s">
        <v>91</v>
      </c>
      <c r="V71">
        <v>661</v>
      </c>
      <c r="W71">
        <v>66</v>
      </c>
    </row>
    <row r="72" spans="1:23">
      <c r="A72" s="333" t="str">
        <f>IF(E72="","",VLOOKUP('OPĆI DIO'!$C$3,'OPĆI DIO'!$L$6:$U$138,10,FALSE))</f>
        <v/>
      </c>
      <c r="B72" s="70" t="str">
        <f>IF(E72="","",VLOOKUP('OPĆI DIO'!$C$3,'OPĆI DIO'!$L$6:$U$138,9,FALSE))</f>
        <v/>
      </c>
      <c r="C72" s="115" t="str">
        <f t="shared" si="8"/>
        <v/>
      </c>
      <c r="D72" s="69" t="str">
        <f t="shared" si="7"/>
        <v/>
      </c>
      <c r="E72" s="81"/>
      <c r="F72" s="118" t="str">
        <f t="shared" si="6"/>
        <v/>
      </c>
      <c r="G72" s="113"/>
      <c r="H72" s="357"/>
      <c r="I72" s="113"/>
      <c r="J72" s="81"/>
      <c r="L72" s="72" t="str">
        <f t="shared" si="9"/>
        <v/>
      </c>
      <c r="M72" s="72" t="str">
        <f t="shared" si="10"/>
        <v/>
      </c>
      <c r="R72" s="5">
        <v>663110000</v>
      </c>
      <c r="S72" s="5" t="s">
        <v>32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333" t="str">
        <f>IF(E73="","",VLOOKUP('OPĆI DIO'!$C$3,'OPĆI DIO'!$L$6:$U$138,10,FALSE))</f>
        <v/>
      </c>
      <c r="B73" s="70" t="str">
        <f>IF(E73="","",VLOOKUP('OPĆI DIO'!$C$3,'OPĆI DIO'!$L$6:$U$138,9,FALSE))</f>
        <v/>
      </c>
      <c r="C73" s="115" t="str">
        <f t="shared" si="8"/>
        <v/>
      </c>
      <c r="D73" s="69" t="str">
        <f t="shared" si="7"/>
        <v/>
      </c>
      <c r="E73" s="81"/>
      <c r="F73" s="118" t="str">
        <f t="shared" si="6"/>
        <v/>
      </c>
      <c r="G73" s="113"/>
      <c r="H73" s="357"/>
      <c r="I73" s="113"/>
      <c r="J73" s="81"/>
      <c r="L73" s="72" t="str">
        <f t="shared" si="9"/>
        <v/>
      </c>
      <c r="M73" s="72" t="str">
        <f t="shared" si="10"/>
        <v/>
      </c>
      <c r="R73" s="5">
        <v>663120000</v>
      </c>
      <c r="S73" s="5" t="s">
        <v>33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333" t="str">
        <f>IF(E74="","",VLOOKUP('OPĆI DIO'!$C$3,'OPĆI DIO'!$L$6:$U$138,10,FALSE))</f>
        <v/>
      </c>
      <c r="B74" s="70" t="str">
        <f>IF(E74="","",VLOOKUP('OPĆI DIO'!$C$3,'OPĆI DIO'!$L$6:$U$138,9,FALSE))</f>
        <v/>
      </c>
      <c r="C74" s="115" t="str">
        <f t="shared" si="8"/>
        <v/>
      </c>
      <c r="D74" s="69" t="str">
        <f t="shared" si="7"/>
        <v/>
      </c>
      <c r="E74" s="81"/>
      <c r="F74" s="118" t="str">
        <f t="shared" si="6"/>
        <v/>
      </c>
      <c r="G74" s="113"/>
      <c r="H74" s="357"/>
      <c r="I74" s="113"/>
      <c r="J74" s="81"/>
      <c r="L74" s="72" t="str">
        <f t="shared" si="9"/>
        <v/>
      </c>
      <c r="M74" s="72" t="str">
        <f t="shared" si="10"/>
        <v/>
      </c>
      <c r="R74" s="5">
        <v>663130000</v>
      </c>
      <c r="S74" s="5" t="s">
        <v>34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333" t="str">
        <f>IF(E75="","",VLOOKUP('OPĆI DIO'!$C$3,'OPĆI DIO'!$L$6:$U$138,10,FALSE))</f>
        <v/>
      </c>
      <c r="B75" s="70" t="str">
        <f>IF(E75="","",VLOOKUP('OPĆI DIO'!$C$3,'OPĆI DIO'!$L$6:$U$138,9,FALSE))</f>
        <v/>
      </c>
      <c r="C75" s="115" t="str">
        <f t="shared" si="8"/>
        <v/>
      </c>
      <c r="D75" s="69" t="str">
        <f t="shared" si="7"/>
        <v/>
      </c>
      <c r="E75" s="81"/>
      <c r="F75" s="118" t="str">
        <f t="shared" si="6"/>
        <v/>
      </c>
      <c r="G75" s="113"/>
      <c r="H75" s="357"/>
      <c r="I75" s="113"/>
      <c r="J75" s="81"/>
      <c r="L75" s="72" t="str">
        <f t="shared" si="9"/>
        <v/>
      </c>
      <c r="M75" s="72" t="str">
        <f t="shared" si="10"/>
        <v/>
      </c>
      <c r="R75" s="5">
        <v>663140000</v>
      </c>
      <c r="S75" s="5" t="s">
        <v>1684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333" t="str">
        <f>IF(E76="","",VLOOKUP('OPĆI DIO'!$C$3,'OPĆI DIO'!$L$6:$U$138,10,FALSE))</f>
        <v/>
      </c>
      <c r="B76" s="70" t="str">
        <f>IF(E76="","",VLOOKUP('OPĆI DIO'!$C$3,'OPĆI DIO'!$L$6:$U$138,9,FALSE))</f>
        <v/>
      </c>
      <c r="C76" s="115" t="str">
        <f t="shared" si="8"/>
        <v/>
      </c>
      <c r="D76" s="69" t="str">
        <f t="shared" si="7"/>
        <v/>
      </c>
      <c r="E76" s="81"/>
      <c r="F76" s="118" t="str">
        <f t="shared" si="6"/>
        <v/>
      </c>
      <c r="G76" s="113"/>
      <c r="H76" s="357"/>
      <c r="I76" s="113"/>
      <c r="J76" s="81"/>
      <c r="L76" s="72" t="str">
        <f t="shared" si="9"/>
        <v/>
      </c>
      <c r="M76" s="72" t="str">
        <f t="shared" si="10"/>
        <v/>
      </c>
      <c r="R76" s="5">
        <v>663210000</v>
      </c>
      <c r="S76" s="5" t="s">
        <v>1685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333" t="str">
        <f>IF(E77="","",VLOOKUP('OPĆI DIO'!$C$3,'OPĆI DIO'!$L$6:$U$138,10,FALSE))</f>
        <v/>
      </c>
      <c r="B77" s="70" t="str">
        <f>IF(E77="","",VLOOKUP('OPĆI DIO'!$C$3,'OPĆI DIO'!$L$6:$U$138,9,FALSE))</f>
        <v/>
      </c>
      <c r="C77" s="115" t="str">
        <f t="shared" si="8"/>
        <v/>
      </c>
      <c r="D77" s="69" t="str">
        <f t="shared" si="7"/>
        <v/>
      </c>
      <c r="E77" s="81"/>
      <c r="F77" s="118" t="str">
        <f t="shared" si="6"/>
        <v/>
      </c>
      <c r="G77" s="113"/>
      <c r="H77" s="357"/>
      <c r="I77" s="113"/>
      <c r="J77" s="81"/>
      <c r="L77" s="72" t="str">
        <f t="shared" si="9"/>
        <v/>
      </c>
      <c r="M77" s="72" t="str">
        <f t="shared" si="10"/>
        <v/>
      </c>
      <c r="R77" s="5">
        <v>663220000</v>
      </c>
      <c r="S77" s="5" t="s">
        <v>35</v>
      </c>
      <c r="T77" s="5">
        <v>61</v>
      </c>
      <c r="U77" s="5" t="s">
        <v>1683</v>
      </c>
      <c r="V77">
        <v>663</v>
      </c>
      <c r="W77">
        <v>66</v>
      </c>
    </row>
    <row r="78" spans="1:23">
      <c r="A78" s="333" t="str">
        <f>IF(E78="","",VLOOKUP('OPĆI DIO'!$C$3,'OPĆI DIO'!$L$6:$U$138,10,FALSE))</f>
        <v/>
      </c>
      <c r="B78" s="70" t="str">
        <f>IF(E78="","",VLOOKUP('OPĆI DIO'!$C$3,'OPĆI DIO'!$L$6:$U$138,9,FALSE))</f>
        <v/>
      </c>
      <c r="C78" s="115" t="str">
        <f t="shared" si="8"/>
        <v/>
      </c>
      <c r="D78" s="69" t="str">
        <f t="shared" si="7"/>
        <v/>
      </c>
      <c r="E78" s="81"/>
      <c r="F78" s="118" t="str">
        <f t="shared" ref="F78:F141" si="11">IFERROR(VLOOKUP(E78,$R$6:$U$116,2,FALSE),"")</f>
        <v/>
      </c>
      <c r="G78" s="113"/>
      <c r="H78" s="357"/>
      <c r="I78" s="113"/>
      <c r="J78" s="81"/>
      <c r="L78" s="72" t="str">
        <f t="shared" si="9"/>
        <v/>
      </c>
      <c r="M78" s="72" t="str">
        <f t="shared" si="10"/>
        <v/>
      </c>
      <c r="R78" s="5">
        <v>663230000</v>
      </c>
      <c r="S78" s="5" t="s">
        <v>36</v>
      </c>
      <c r="T78" s="5">
        <v>61</v>
      </c>
      <c r="U78" s="5" t="s">
        <v>1683</v>
      </c>
      <c r="V78">
        <v>663</v>
      </c>
      <c r="W78">
        <v>66</v>
      </c>
    </row>
    <row r="79" spans="1:23">
      <c r="A79" s="333" t="str">
        <f>IF(E79="","",VLOOKUP('OPĆI DIO'!$C$3,'OPĆI DIO'!$L$6:$U$138,10,FALSE))</f>
        <v/>
      </c>
      <c r="B79" s="70" t="str">
        <f>IF(E79="","",VLOOKUP('OPĆI DIO'!$C$3,'OPĆI DIO'!$L$6:$U$138,9,FALSE))</f>
        <v/>
      </c>
      <c r="C79" s="115" t="str">
        <f t="shared" si="8"/>
        <v/>
      </c>
      <c r="D79" s="69" t="str">
        <f t="shared" si="7"/>
        <v/>
      </c>
      <c r="E79" s="81"/>
      <c r="F79" s="118" t="str">
        <f t="shared" si="11"/>
        <v/>
      </c>
      <c r="G79" s="113"/>
      <c r="H79" s="357"/>
      <c r="I79" s="113"/>
      <c r="J79" s="81"/>
      <c r="L79" s="72" t="str">
        <f t="shared" si="9"/>
        <v/>
      </c>
      <c r="M79" s="72" t="str">
        <f t="shared" si="10"/>
        <v/>
      </c>
      <c r="R79" s="5">
        <v>663240000</v>
      </c>
      <c r="S79" s="5" t="s">
        <v>1686</v>
      </c>
      <c r="T79" s="5">
        <v>61</v>
      </c>
      <c r="U79" s="5" t="s">
        <v>1683</v>
      </c>
      <c r="V79">
        <v>663</v>
      </c>
      <c r="W79">
        <v>66</v>
      </c>
    </row>
    <row r="80" spans="1:23">
      <c r="A80" s="333" t="str">
        <f>IF(E80="","",VLOOKUP('OPĆI DIO'!$C$3,'OPĆI DIO'!$L$6:$U$138,10,FALSE))</f>
        <v/>
      </c>
      <c r="B80" s="70" t="str">
        <f>IF(E80="","",VLOOKUP('OPĆI DIO'!$C$3,'OPĆI DIO'!$L$6:$U$138,9,FALSE))</f>
        <v/>
      </c>
      <c r="C80" s="115" t="str">
        <f t="shared" si="8"/>
        <v/>
      </c>
      <c r="D80" s="69" t="str">
        <f t="shared" si="7"/>
        <v/>
      </c>
      <c r="E80" s="81"/>
      <c r="F80" s="118" t="str">
        <f t="shared" si="11"/>
        <v/>
      </c>
      <c r="G80" s="113"/>
      <c r="H80" s="357"/>
      <c r="I80" s="113"/>
      <c r="J80" s="81"/>
      <c r="L80" s="72" t="str">
        <f t="shared" si="9"/>
        <v/>
      </c>
      <c r="M80" s="72" t="str">
        <f t="shared" si="10"/>
        <v/>
      </c>
      <c r="R80" s="5">
        <v>663121000</v>
      </c>
      <c r="S80" s="5" t="s">
        <v>5256</v>
      </c>
      <c r="T80" s="5">
        <v>63</v>
      </c>
      <c r="U80" s="5" t="s">
        <v>5260</v>
      </c>
      <c r="V80">
        <v>663</v>
      </c>
      <c r="W80">
        <v>66</v>
      </c>
    </row>
    <row r="81" spans="1:23">
      <c r="A81" s="333" t="str">
        <f>IF(E81="","",VLOOKUP('OPĆI DIO'!$C$3,'OPĆI DIO'!$L$6:$U$138,10,FALSE))</f>
        <v/>
      </c>
      <c r="B81" s="70" t="str">
        <f>IF(E81="","",VLOOKUP('OPĆI DIO'!$C$3,'OPĆI DIO'!$L$6:$U$138,9,FALSE))</f>
        <v/>
      </c>
      <c r="C81" s="115" t="str">
        <f t="shared" si="8"/>
        <v/>
      </c>
      <c r="D81" s="69" t="str">
        <f t="shared" si="7"/>
        <v/>
      </c>
      <c r="E81" s="81"/>
      <c r="F81" s="118" t="str">
        <f t="shared" si="11"/>
        <v/>
      </c>
      <c r="G81" s="113"/>
      <c r="H81" s="357"/>
      <c r="I81" s="113"/>
      <c r="J81" s="81"/>
      <c r="L81" s="72" t="str">
        <f t="shared" si="9"/>
        <v/>
      </c>
      <c r="M81" s="72" t="str">
        <f t="shared" si="10"/>
        <v/>
      </c>
      <c r="R81" s="5">
        <v>663131000</v>
      </c>
      <c r="S81" s="5" t="s">
        <v>5257</v>
      </c>
      <c r="T81" s="5">
        <v>63</v>
      </c>
      <c r="U81" s="5" t="s">
        <v>5260</v>
      </c>
      <c r="V81">
        <v>663</v>
      </c>
      <c r="W81">
        <v>66</v>
      </c>
    </row>
    <row r="82" spans="1:23">
      <c r="A82" s="333" t="str">
        <f>IF(E82="","",VLOOKUP('OPĆI DIO'!$C$3,'OPĆI DIO'!$L$6:$U$138,10,FALSE))</f>
        <v/>
      </c>
      <c r="B82" s="70" t="str">
        <f>IF(E82="","",VLOOKUP('OPĆI DIO'!$C$3,'OPĆI DIO'!$L$6:$U$138,9,FALSE))</f>
        <v/>
      </c>
      <c r="C82" s="115" t="str">
        <f t="shared" si="8"/>
        <v/>
      </c>
      <c r="D82" s="69" t="str">
        <f t="shared" si="7"/>
        <v/>
      </c>
      <c r="E82" s="81"/>
      <c r="F82" s="118" t="str">
        <f t="shared" si="11"/>
        <v/>
      </c>
      <c r="G82" s="113"/>
      <c r="H82" s="357"/>
      <c r="I82" s="113"/>
      <c r="J82" s="81"/>
      <c r="L82" s="72" t="str">
        <f t="shared" si="9"/>
        <v/>
      </c>
      <c r="M82" s="72" t="str">
        <f t="shared" si="10"/>
        <v/>
      </c>
      <c r="R82" s="5">
        <v>663221000</v>
      </c>
      <c r="S82" s="5" t="s">
        <v>5258</v>
      </c>
      <c r="T82" s="5">
        <v>63</v>
      </c>
      <c r="U82" s="5" t="s">
        <v>5260</v>
      </c>
      <c r="V82">
        <v>663</v>
      </c>
      <c r="W82">
        <v>66</v>
      </c>
    </row>
    <row r="83" spans="1:23">
      <c r="A83" s="333" t="str">
        <f>IF(E83="","",VLOOKUP('OPĆI DIO'!$C$3,'OPĆI DIO'!$L$6:$U$138,10,FALSE))</f>
        <v/>
      </c>
      <c r="B83" s="70" t="str">
        <f>IF(E83="","",VLOOKUP('OPĆI DIO'!$C$3,'OPĆI DIO'!$L$6:$U$138,9,FALSE))</f>
        <v/>
      </c>
      <c r="C83" s="115" t="str">
        <f t="shared" si="8"/>
        <v/>
      </c>
      <c r="D83" s="69" t="str">
        <f t="shared" si="7"/>
        <v/>
      </c>
      <c r="E83" s="81"/>
      <c r="F83" s="118" t="str">
        <f t="shared" si="11"/>
        <v/>
      </c>
      <c r="G83" s="113"/>
      <c r="H83" s="357"/>
      <c r="I83" s="113"/>
      <c r="J83" s="81"/>
      <c r="L83" s="72" t="str">
        <f t="shared" si="9"/>
        <v/>
      </c>
      <c r="M83" s="72" t="str">
        <f t="shared" si="10"/>
        <v/>
      </c>
      <c r="R83" s="5">
        <v>663231000</v>
      </c>
      <c r="S83" s="5" t="s">
        <v>5259</v>
      </c>
      <c r="T83" s="5">
        <v>63</v>
      </c>
      <c r="U83" s="5" t="s">
        <v>5260</v>
      </c>
      <c r="V83">
        <v>663</v>
      </c>
      <c r="W83">
        <v>66</v>
      </c>
    </row>
    <row r="84" spans="1:23">
      <c r="A84" s="333" t="str">
        <f>IF(E84="","",VLOOKUP('OPĆI DIO'!$C$3,'OPĆI DIO'!$L$6:$U$138,10,FALSE))</f>
        <v/>
      </c>
      <c r="B84" s="70" t="str">
        <f>IF(E84="","",VLOOKUP('OPĆI DIO'!$C$3,'OPĆI DIO'!$L$6:$U$138,9,FALSE))</f>
        <v/>
      </c>
      <c r="C84" s="115" t="str">
        <f t="shared" si="8"/>
        <v/>
      </c>
      <c r="D84" s="69" t="str">
        <f t="shared" si="7"/>
        <v/>
      </c>
      <c r="E84" s="81"/>
      <c r="F84" s="118" t="str">
        <f t="shared" si="11"/>
        <v/>
      </c>
      <c r="G84" s="113"/>
      <c r="H84" s="357"/>
      <c r="I84" s="113"/>
      <c r="J84" s="81"/>
      <c r="L84" s="72" t="str">
        <f t="shared" si="9"/>
        <v/>
      </c>
      <c r="M84" s="72" t="str">
        <f t="shared" si="10"/>
        <v/>
      </c>
      <c r="R84" s="5">
        <v>681910043</v>
      </c>
      <c r="S84" s="5" t="s">
        <v>215</v>
      </c>
      <c r="T84" s="5">
        <v>43</v>
      </c>
      <c r="U84" s="5" t="s">
        <v>96</v>
      </c>
      <c r="V84">
        <v>681</v>
      </c>
      <c r="W84">
        <v>68</v>
      </c>
    </row>
    <row r="85" spans="1:23">
      <c r="A85" s="333" t="str">
        <f>IF(E85="","",VLOOKUP('OPĆI DIO'!$C$3,'OPĆI DIO'!$L$6:$U$138,10,FALSE))</f>
        <v/>
      </c>
      <c r="B85" s="70" t="str">
        <f>IF(E85="","",VLOOKUP('OPĆI DIO'!$C$3,'OPĆI DIO'!$L$6:$U$138,9,FALSE))</f>
        <v/>
      </c>
      <c r="C85" s="115" t="str">
        <f t="shared" si="8"/>
        <v/>
      </c>
      <c r="D85" s="69" t="str">
        <f t="shared" si="7"/>
        <v/>
      </c>
      <c r="E85" s="81"/>
      <c r="F85" s="118" t="str">
        <f t="shared" si="11"/>
        <v/>
      </c>
      <c r="G85" s="113"/>
      <c r="H85" s="357"/>
      <c r="I85" s="113"/>
      <c r="J85" s="81"/>
      <c r="L85" s="72" t="str">
        <f t="shared" si="9"/>
        <v/>
      </c>
      <c r="M85" s="72" t="str">
        <f t="shared" si="10"/>
        <v/>
      </c>
      <c r="R85" s="5">
        <v>683110031</v>
      </c>
      <c r="S85" s="5" t="s">
        <v>1687</v>
      </c>
      <c r="T85" s="5">
        <v>31</v>
      </c>
      <c r="U85" s="5" t="s">
        <v>91</v>
      </c>
      <c r="V85">
        <v>683</v>
      </c>
      <c r="W85">
        <v>68</v>
      </c>
    </row>
    <row r="86" spans="1:23">
      <c r="A86" s="333" t="str">
        <f>IF(E86="","",VLOOKUP('OPĆI DIO'!$C$3,'OPĆI DIO'!$L$6:$U$138,10,FALSE))</f>
        <v/>
      </c>
      <c r="B86" s="70" t="str">
        <f>IF(E86="","",VLOOKUP('OPĆI DIO'!$C$3,'OPĆI DIO'!$L$6:$U$138,9,FALSE))</f>
        <v/>
      </c>
      <c r="C86" s="115" t="str">
        <f t="shared" si="8"/>
        <v/>
      </c>
      <c r="D86" s="69" t="str">
        <f t="shared" si="7"/>
        <v/>
      </c>
      <c r="E86" s="81"/>
      <c r="F86" s="118" t="str">
        <f t="shared" si="11"/>
        <v/>
      </c>
      <c r="G86" s="113"/>
      <c r="H86" s="357"/>
      <c r="I86" s="113"/>
      <c r="J86" s="81"/>
      <c r="L86" s="72" t="str">
        <f t="shared" si="9"/>
        <v/>
      </c>
      <c r="M86" s="72" t="str">
        <f t="shared" si="10"/>
        <v/>
      </c>
      <c r="R86" s="5">
        <v>683110043</v>
      </c>
      <c r="S86" s="5" t="s">
        <v>216</v>
      </c>
      <c r="T86" s="5">
        <v>43</v>
      </c>
      <c r="U86" s="5" t="s">
        <v>96</v>
      </c>
      <c r="V86">
        <v>683</v>
      </c>
      <c r="W86">
        <v>68</v>
      </c>
    </row>
    <row r="87" spans="1:23">
      <c r="A87" s="333" t="str">
        <f>IF(E87="","",VLOOKUP('OPĆI DIO'!$C$3,'OPĆI DIO'!$L$6:$U$138,10,FALSE))</f>
        <v/>
      </c>
      <c r="B87" s="70" t="str">
        <f>IF(E87="","",VLOOKUP('OPĆI DIO'!$C$3,'OPĆI DIO'!$L$6:$U$138,9,FALSE))</f>
        <v/>
      </c>
      <c r="C87" s="115" t="str">
        <f t="shared" si="8"/>
        <v/>
      </c>
      <c r="D87" s="69" t="str">
        <f t="shared" si="7"/>
        <v/>
      </c>
      <c r="E87" s="81"/>
      <c r="F87" s="118" t="str">
        <f t="shared" si="11"/>
        <v/>
      </c>
      <c r="G87" s="113"/>
      <c r="H87" s="357"/>
      <c r="I87" s="113"/>
      <c r="J87" s="81"/>
      <c r="L87" s="72" t="str">
        <f t="shared" si="9"/>
        <v/>
      </c>
      <c r="M87" s="72" t="str">
        <f t="shared" si="10"/>
        <v/>
      </c>
      <c r="R87" s="5">
        <v>711110071</v>
      </c>
      <c r="S87" s="5" t="s">
        <v>1688</v>
      </c>
      <c r="T87" s="5">
        <v>71</v>
      </c>
      <c r="U87" s="5" t="s">
        <v>1689</v>
      </c>
      <c r="V87">
        <v>711</v>
      </c>
      <c r="W87">
        <v>71</v>
      </c>
    </row>
    <row r="88" spans="1:23">
      <c r="A88" s="333" t="str">
        <f>IF(E88="","",VLOOKUP('OPĆI DIO'!$C$3,'OPĆI DIO'!$L$6:$U$138,10,FALSE))</f>
        <v/>
      </c>
      <c r="B88" s="70" t="str">
        <f>IF(E88="","",VLOOKUP('OPĆI DIO'!$C$3,'OPĆI DIO'!$L$6:$U$138,9,FALSE))</f>
        <v/>
      </c>
      <c r="C88" s="115" t="str">
        <f t="shared" si="8"/>
        <v/>
      </c>
      <c r="D88" s="69" t="str">
        <f t="shared" si="7"/>
        <v/>
      </c>
      <c r="E88" s="81"/>
      <c r="F88" s="118" t="str">
        <f t="shared" si="11"/>
        <v/>
      </c>
      <c r="G88" s="113"/>
      <c r="H88" s="357"/>
      <c r="I88" s="113"/>
      <c r="J88" s="81"/>
      <c r="L88" s="72" t="str">
        <f t="shared" si="9"/>
        <v/>
      </c>
      <c r="M88" s="72" t="str">
        <f t="shared" si="10"/>
        <v/>
      </c>
      <c r="R88" s="5">
        <v>711120071</v>
      </c>
      <c r="S88" s="5" t="s">
        <v>1690</v>
      </c>
      <c r="T88" s="5">
        <v>71</v>
      </c>
      <c r="U88" s="5" t="s">
        <v>1689</v>
      </c>
      <c r="V88">
        <v>711</v>
      </c>
      <c r="W88">
        <v>71</v>
      </c>
    </row>
    <row r="89" spans="1:23">
      <c r="A89" s="333" t="str">
        <f>IF(E89="","",VLOOKUP('OPĆI DIO'!$C$3,'OPĆI DIO'!$L$6:$U$138,10,FALSE))</f>
        <v/>
      </c>
      <c r="B89" s="70" t="str">
        <f>IF(E89="","",VLOOKUP('OPĆI DIO'!$C$3,'OPĆI DIO'!$L$6:$U$138,9,FALSE))</f>
        <v/>
      </c>
      <c r="C89" s="115" t="str">
        <f t="shared" si="8"/>
        <v/>
      </c>
      <c r="D89" s="69" t="str">
        <f t="shared" si="7"/>
        <v/>
      </c>
      <c r="E89" s="81"/>
      <c r="F89" s="118" t="str">
        <f t="shared" si="11"/>
        <v/>
      </c>
      <c r="G89" s="113"/>
      <c r="H89" s="357"/>
      <c r="I89" s="113"/>
      <c r="J89" s="81"/>
      <c r="L89" s="72" t="str">
        <f t="shared" si="9"/>
        <v/>
      </c>
      <c r="M89" s="72" t="str">
        <f t="shared" si="10"/>
        <v/>
      </c>
      <c r="R89" s="5">
        <v>712410071</v>
      </c>
      <c r="S89" s="5" t="s">
        <v>218</v>
      </c>
      <c r="T89" s="5">
        <v>71</v>
      </c>
      <c r="U89" s="5" t="s">
        <v>1689</v>
      </c>
      <c r="V89">
        <v>712</v>
      </c>
      <c r="W89">
        <v>71</v>
      </c>
    </row>
    <row r="90" spans="1:23">
      <c r="A90" s="333" t="str">
        <f>IF(E90="","",VLOOKUP('OPĆI DIO'!$C$3,'OPĆI DIO'!$L$6:$U$138,10,FALSE))</f>
        <v/>
      </c>
      <c r="B90" s="70" t="str">
        <f>IF(E90="","",VLOOKUP('OPĆI DIO'!$C$3,'OPĆI DIO'!$L$6:$U$138,9,FALSE))</f>
        <v/>
      </c>
      <c r="C90" s="115" t="str">
        <f t="shared" si="8"/>
        <v/>
      </c>
      <c r="D90" s="69" t="str">
        <f t="shared" si="7"/>
        <v/>
      </c>
      <c r="E90" s="81"/>
      <c r="F90" s="118" t="str">
        <f t="shared" si="11"/>
        <v/>
      </c>
      <c r="G90" s="113"/>
      <c r="H90" s="357"/>
      <c r="I90" s="113"/>
      <c r="J90" s="81"/>
      <c r="L90" s="72" t="str">
        <f t="shared" si="9"/>
        <v/>
      </c>
      <c r="M90" s="72" t="str">
        <f t="shared" si="10"/>
        <v/>
      </c>
      <c r="R90" s="5">
        <v>712490071</v>
      </c>
      <c r="S90" s="5" t="s">
        <v>219</v>
      </c>
      <c r="T90" s="5">
        <v>71</v>
      </c>
      <c r="U90" s="5" t="s">
        <v>1689</v>
      </c>
      <c r="V90">
        <v>712</v>
      </c>
      <c r="W90">
        <v>71</v>
      </c>
    </row>
    <row r="91" spans="1:23">
      <c r="A91" s="333" t="str">
        <f>IF(E91="","",VLOOKUP('OPĆI DIO'!$C$3,'OPĆI DIO'!$L$6:$U$138,10,FALSE))</f>
        <v/>
      </c>
      <c r="B91" s="70" t="str">
        <f>IF(E91="","",VLOOKUP('OPĆI DIO'!$C$3,'OPĆI DIO'!$L$6:$U$138,9,FALSE))</f>
        <v/>
      </c>
      <c r="C91" s="115" t="str">
        <f t="shared" si="8"/>
        <v/>
      </c>
      <c r="D91" s="69" t="str">
        <f t="shared" si="7"/>
        <v/>
      </c>
      <c r="E91" s="81"/>
      <c r="F91" s="118" t="str">
        <f t="shared" si="11"/>
        <v/>
      </c>
      <c r="G91" s="113"/>
      <c r="H91" s="357"/>
      <c r="I91" s="113"/>
      <c r="J91" s="81"/>
      <c r="L91" s="72" t="str">
        <f t="shared" si="9"/>
        <v/>
      </c>
      <c r="M91" s="72" t="str">
        <f t="shared" si="10"/>
        <v/>
      </c>
      <c r="R91" s="5">
        <v>721110071</v>
      </c>
      <c r="S91" s="5" t="s">
        <v>220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333" t="str">
        <f>IF(E92="","",VLOOKUP('OPĆI DIO'!$C$3,'OPĆI DIO'!$L$6:$U$138,10,FALSE))</f>
        <v/>
      </c>
      <c r="B92" s="70" t="str">
        <f>IF(E92="","",VLOOKUP('OPĆI DIO'!$C$3,'OPĆI DIO'!$L$6:$U$138,9,FALSE))</f>
        <v/>
      </c>
      <c r="C92" s="115" t="str">
        <f t="shared" si="8"/>
        <v/>
      </c>
      <c r="D92" s="69" t="str">
        <f t="shared" si="7"/>
        <v/>
      </c>
      <c r="E92" s="81"/>
      <c r="F92" s="118" t="str">
        <f t="shared" si="11"/>
        <v/>
      </c>
      <c r="G92" s="113"/>
      <c r="H92" s="357"/>
      <c r="I92" s="113"/>
      <c r="J92" s="81"/>
      <c r="L92" s="72" t="str">
        <f t="shared" si="9"/>
        <v/>
      </c>
      <c r="M92" s="72" t="str">
        <f t="shared" si="10"/>
        <v/>
      </c>
      <c r="R92" s="5">
        <v>721190071</v>
      </c>
      <c r="S92" s="5" t="s">
        <v>221</v>
      </c>
      <c r="T92" s="5">
        <v>71</v>
      </c>
      <c r="U92" s="5" t="s">
        <v>1689</v>
      </c>
      <c r="V92">
        <v>721</v>
      </c>
      <c r="W92">
        <v>72</v>
      </c>
    </row>
    <row r="93" spans="1:23">
      <c r="A93" s="333" t="str">
        <f>IF(E93="","",VLOOKUP('OPĆI DIO'!$C$3,'OPĆI DIO'!$L$6:$U$138,10,FALSE))</f>
        <v/>
      </c>
      <c r="B93" s="70" t="str">
        <f>IF(E93="","",VLOOKUP('OPĆI DIO'!$C$3,'OPĆI DIO'!$L$6:$U$138,9,FALSE))</f>
        <v/>
      </c>
      <c r="C93" s="115" t="str">
        <f t="shared" si="8"/>
        <v/>
      </c>
      <c r="D93" s="69" t="str">
        <f t="shared" si="7"/>
        <v/>
      </c>
      <c r="E93" s="81"/>
      <c r="F93" s="118" t="str">
        <f t="shared" si="11"/>
        <v/>
      </c>
      <c r="G93" s="113"/>
      <c r="H93" s="357"/>
      <c r="I93" s="113"/>
      <c r="J93" s="81"/>
      <c r="L93" s="72" t="str">
        <f t="shared" si="9"/>
        <v/>
      </c>
      <c r="M93" s="72" t="str">
        <f t="shared" si="10"/>
        <v/>
      </c>
      <c r="R93" s="5">
        <v>721230071</v>
      </c>
      <c r="S93" s="5" t="s">
        <v>222</v>
      </c>
      <c r="T93" s="5">
        <v>71</v>
      </c>
      <c r="U93" s="5" t="s">
        <v>1689</v>
      </c>
      <c r="V93">
        <v>721</v>
      </c>
      <c r="W93">
        <v>72</v>
      </c>
    </row>
    <row r="94" spans="1:23">
      <c r="A94" s="333" t="str">
        <f>IF(E94="","",VLOOKUP('OPĆI DIO'!$C$3,'OPĆI DIO'!$L$6:$U$138,10,FALSE))</f>
        <v/>
      </c>
      <c r="B94" s="70" t="str">
        <f>IF(E94="","",VLOOKUP('OPĆI DIO'!$C$3,'OPĆI DIO'!$L$6:$U$138,9,FALSE))</f>
        <v/>
      </c>
      <c r="C94" s="115" t="str">
        <f t="shared" si="8"/>
        <v/>
      </c>
      <c r="D94" s="69" t="str">
        <f t="shared" si="7"/>
        <v/>
      </c>
      <c r="E94" s="81"/>
      <c r="F94" s="118" t="str">
        <f t="shared" si="11"/>
        <v/>
      </c>
      <c r="G94" s="113"/>
      <c r="H94" s="357"/>
      <c r="I94" s="113"/>
      <c r="J94" s="81"/>
      <c r="L94" s="72" t="str">
        <f t="shared" si="9"/>
        <v/>
      </c>
      <c r="M94" s="72" t="str">
        <f t="shared" si="10"/>
        <v/>
      </c>
      <c r="R94" s="5">
        <v>721290071</v>
      </c>
      <c r="S94" s="5" t="s">
        <v>223</v>
      </c>
      <c r="T94" s="5">
        <v>71</v>
      </c>
      <c r="U94" s="5" t="s">
        <v>1689</v>
      </c>
      <c r="V94">
        <v>721</v>
      </c>
      <c r="W94">
        <v>72</v>
      </c>
    </row>
    <row r="95" spans="1:23">
      <c r="A95" s="333" t="str">
        <f>IF(E95="","",VLOOKUP('OPĆI DIO'!$C$3,'OPĆI DIO'!$L$6:$U$138,10,FALSE))</f>
        <v/>
      </c>
      <c r="B95" s="70" t="str">
        <f>IF(E95="","",VLOOKUP('OPĆI DIO'!$C$3,'OPĆI DIO'!$L$6:$U$138,9,FALSE))</f>
        <v/>
      </c>
      <c r="C95" s="115" t="str">
        <f t="shared" si="8"/>
        <v/>
      </c>
      <c r="D95" s="69" t="str">
        <f t="shared" si="7"/>
        <v/>
      </c>
      <c r="E95" s="81"/>
      <c r="F95" s="118" t="str">
        <f t="shared" si="11"/>
        <v/>
      </c>
      <c r="G95" s="113"/>
      <c r="H95" s="357"/>
      <c r="I95" s="113"/>
      <c r="J95" s="81"/>
      <c r="L95" s="72" t="str">
        <f t="shared" si="9"/>
        <v/>
      </c>
      <c r="M95" s="72" t="str">
        <f t="shared" si="10"/>
        <v/>
      </c>
      <c r="R95" s="5">
        <v>722110071</v>
      </c>
      <c r="S95" s="5" t="s">
        <v>224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333" t="str">
        <f>IF(E96="","",VLOOKUP('OPĆI DIO'!$C$3,'OPĆI DIO'!$L$6:$U$138,10,FALSE))</f>
        <v/>
      </c>
      <c r="B96" s="70" t="str">
        <f>IF(E96="","",VLOOKUP('OPĆI DIO'!$C$3,'OPĆI DIO'!$L$6:$U$138,9,FALSE))</f>
        <v/>
      </c>
      <c r="C96" s="115" t="str">
        <f t="shared" si="8"/>
        <v/>
      </c>
      <c r="D96" s="69" t="str">
        <f t="shared" si="7"/>
        <v/>
      </c>
      <c r="E96" s="81"/>
      <c r="F96" s="118" t="str">
        <f t="shared" si="11"/>
        <v/>
      </c>
      <c r="G96" s="113"/>
      <c r="H96" s="357"/>
      <c r="I96" s="113"/>
      <c r="J96" s="81"/>
      <c r="L96" s="72" t="str">
        <f t="shared" si="9"/>
        <v/>
      </c>
      <c r="M96" s="72" t="str">
        <f t="shared" si="10"/>
        <v/>
      </c>
      <c r="R96" s="5">
        <v>722120071</v>
      </c>
      <c r="S96" s="5" t="s">
        <v>1691</v>
      </c>
      <c r="T96" s="5">
        <v>71</v>
      </c>
      <c r="U96" s="5" t="s">
        <v>1689</v>
      </c>
      <c r="V96">
        <v>722</v>
      </c>
      <c r="W96">
        <v>72</v>
      </c>
    </row>
    <row r="97" spans="1:23">
      <c r="A97" s="333" t="str">
        <f>IF(E97="","",VLOOKUP('OPĆI DIO'!$C$3,'OPĆI DIO'!$L$6:$U$138,10,FALSE))</f>
        <v/>
      </c>
      <c r="B97" s="70" t="str">
        <f>IF(E97="","",VLOOKUP('OPĆI DIO'!$C$3,'OPĆI DIO'!$L$6:$U$138,9,FALSE))</f>
        <v/>
      </c>
      <c r="C97" s="115" t="str">
        <f t="shared" si="8"/>
        <v/>
      </c>
      <c r="D97" s="69" t="str">
        <f t="shared" si="7"/>
        <v/>
      </c>
      <c r="E97" s="81"/>
      <c r="F97" s="118" t="str">
        <f t="shared" si="11"/>
        <v/>
      </c>
      <c r="G97" s="113"/>
      <c r="H97" s="357"/>
      <c r="I97" s="113"/>
      <c r="J97" s="81"/>
      <c r="L97" s="72" t="str">
        <f t="shared" si="9"/>
        <v/>
      </c>
      <c r="M97" s="72" t="str">
        <f t="shared" si="10"/>
        <v/>
      </c>
      <c r="R97" s="5">
        <v>722190071</v>
      </c>
      <c r="S97" s="5" t="s">
        <v>225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333" t="str">
        <f>IF(E98="","",VLOOKUP('OPĆI DIO'!$C$3,'OPĆI DIO'!$L$6:$U$138,10,FALSE))</f>
        <v/>
      </c>
      <c r="B98" s="70" t="str">
        <f>IF(E98="","",VLOOKUP('OPĆI DIO'!$C$3,'OPĆI DIO'!$L$6:$U$138,9,FALSE))</f>
        <v/>
      </c>
      <c r="C98" s="115" t="str">
        <f t="shared" si="8"/>
        <v/>
      </c>
      <c r="D98" s="69" t="str">
        <f t="shared" si="7"/>
        <v/>
      </c>
      <c r="E98" s="81"/>
      <c r="F98" s="118" t="str">
        <f t="shared" si="11"/>
        <v/>
      </c>
      <c r="G98" s="113"/>
      <c r="H98" s="357"/>
      <c r="I98" s="113"/>
      <c r="J98" s="81"/>
      <c r="L98" s="72" t="str">
        <f t="shared" si="9"/>
        <v/>
      </c>
      <c r="M98" s="72" t="str">
        <f t="shared" si="10"/>
        <v/>
      </c>
      <c r="R98" s="5">
        <v>722620071</v>
      </c>
      <c r="S98" s="5" t="s">
        <v>226</v>
      </c>
      <c r="T98" s="5">
        <v>71</v>
      </c>
      <c r="U98" s="5" t="s">
        <v>1689</v>
      </c>
      <c r="V98">
        <v>722</v>
      </c>
      <c r="W98">
        <v>72</v>
      </c>
    </row>
    <row r="99" spans="1:23">
      <c r="A99" s="333" t="str">
        <f>IF(E99="","",VLOOKUP('OPĆI DIO'!$C$3,'OPĆI DIO'!$L$6:$U$138,10,FALSE))</f>
        <v/>
      </c>
      <c r="B99" s="70" t="str">
        <f>IF(E99="","",VLOOKUP('OPĆI DIO'!$C$3,'OPĆI DIO'!$L$6:$U$138,9,FALSE))</f>
        <v/>
      </c>
      <c r="C99" s="115" t="str">
        <f t="shared" si="8"/>
        <v/>
      </c>
      <c r="D99" s="69" t="str">
        <f t="shared" si="7"/>
        <v/>
      </c>
      <c r="E99" s="81"/>
      <c r="F99" s="118" t="str">
        <f t="shared" si="11"/>
        <v/>
      </c>
      <c r="G99" s="113"/>
      <c r="H99" s="357"/>
      <c r="I99" s="113"/>
      <c r="J99" s="81"/>
      <c r="L99" s="72" t="str">
        <f t="shared" si="9"/>
        <v/>
      </c>
      <c r="M99" s="72" t="str">
        <f t="shared" si="10"/>
        <v/>
      </c>
      <c r="R99" s="5">
        <v>722720071</v>
      </c>
      <c r="S99" s="5" t="s">
        <v>1786</v>
      </c>
      <c r="T99" s="5">
        <v>71</v>
      </c>
      <c r="U99" s="5" t="s">
        <v>173</v>
      </c>
      <c r="V99">
        <v>722</v>
      </c>
      <c r="W99">
        <v>72</v>
      </c>
    </row>
    <row r="100" spans="1:23">
      <c r="A100" s="333" t="str">
        <f>IF(E100="","",VLOOKUP('OPĆI DIO'!$C$3,'OPĆI DIO'!$L$6:$U$138,10,FALSE))</f>
        <v/>
      </c>
      <c r="B100" s="70" t="str">
        <f>IF(E100="","",VLOOKUP('OPĆI DIO'!$C$3,'OPĆI DIO'!$L$6:$U$138,9,FALSE))</f>
        <v/>
      </c>
      <c r="C100" s="115" t="str">
        <f t="shared" si="8"/>
        <v/>
      </c>
      <c r="D100" s="69" t="str">
        <f t="shared" si="7"/>
        <v/>
      </c>
      <c r="E100" s="81"/>
      <c r="F100" s="118" t="str">
        <f t="shared" si="11"/>
        <v/>
      </c>
      <c r="G100" s="113"/>
      <c r="H100" s="357"/>
      <c r="I100" s="113"/>
      <c r="J100" s="81"/>
      <c r="L100" s="72" t="str">
        <f t="shared" si="9"/>
        <v/>
      </c>
      <c r="M100" s="72" t="str">
        <f t="shared" si="10"/>
        <v/>
      </c>
      <c r="R100" s="5">
        <v>722730071</v>
      </c>
      <c r="S100" s="5" t="s">
        <v>227</v>
      </c>
      <c r="T100" s="5">
        <v>71</v>
      </c>
      <c r="U100" s="5" t="s">
        <v>1689</v>
      </c>
      <c r="V100">
        <v>722</v>
      </c>
      <c r="W100">
        <v>72</v>
      </c>
    </row>
    <row r="101" spans="1:23">
      <c r="A101" s="333" t="str">
        <f>IF(E101="","",VLOOKUP('OPĆI DIO'!$C$3,'OPĆI DIO'!$L$6:$U$138,10,FALSE))</f>
        <v/>
      </c>
      <c r="B101" s="70" t="str">
        <f>IF(E101="","",VLOOKUP('OPĆI DIO'!$C$3,'OPĆI DIO'!$L$6:$U$138,9,FALSE))</f>
        <v/>
      </c>
      <c r="C101" s="115" t="str">
        <f t="shared" si="8"/>
        <v/>
      </c>
      <c r="D101" s="69" t="str">
        <f t="shared" si="7"/>
        <v/>
      </c>
      <c r="E101" s="81"/>
      <c r="F101" s="118" t="str">
        <f t="shared" si="11"/>
        <v/>
      </c>
      <c r="G101" s="113"/>
      <c r="H101" s="357"/>
      <c r="I101" s="113"/>
      <c r="J101" s="81"/>
      <c r="L101" s="72" t="str">
        <f t="shared" si="9"/>
        <v/>
      </c>
      <c r="M101" s="72" t="str">
        <f t="shared" si="10"/>
        <v/>
      </c>
      <c r="R101" s="5">
        <v>723110071</v>
      </c>
      <c r="S101" s="5" t="s">
        <v>228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333" t="str">
        <f>IF(E102="","",VLOOKUP('OPĆI DIO'!$C$3,'OPĆI DIO'!$L$6:$U$138,10,FALSE))</f>
        <v/>
      </c>
      <c r="B102" s="70" t="str">
        <f>IF(E102="","",VLOOKUP('OPĆI DIO'!$C$3,'OPĆI DIO'!$L$6:$U$138,9,FALSE))</f>
        <v/>
      </c>
      <c r="C102" s="115" t="str">
        <f t="shared" si="8"/>
        <v/>
      </c>
      <c r="D102" s="69" t="str">
        <f t="shared" si="7"/>
        <v/>
      </c>
      <c r="E102" s="81"/>
      <c r="F102" s="118" t="str">
        <f t="shared" si="11"/>
        <v/>
      </c>
      <c r="G102" s="113"/>
      <c r="H102" s="357"/>
      <c r="I102" s="113"/>
      <c r="J102" s="81"/>
      <c r="L102" s="72" t="str">
        <f t="shared" si="9"/>
        <v/>
      </c>
      <c r="M102" s="72" t="str">
        <f t="shared" si="10"/>
        <v/>
      </c>
      <c r="R102" s="5">
        <v>723130071</v>
      </c>
      <c r="S102" s="5" t="s">
        <v>1692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333" t="str">
        <f>IF(E103="","",VLOOKUP('OPĆI DIO'!$C$3,'OPĆI DIO'!$L$6:$U$138,10,FALSE))</f>
        <v/>
      </c>
      <c r="B103" s="70" t="str">
        <f>IF(E103="","",VLOOKUP('OPĆI DIO'!$C$3,'OPĆI DIO'!$L$6:$U$138,9,FALSE))</f>
        <v/>
      </c>
      <c r="C103" s="115" t="str">
        <f t="shared" si="8"/>
        <v/>
      </c>
      <c r="D103" s="69" t="str">
        <f t="shared" si="7"/>
        <v/>
      </c>
      <c r="E103" s="81"/>
      <c r="F103" s="118" t="str">
        <f t="shared" si="11"/>
        <v/>
      </c>
      <c r="G103" s="113"/>
      <c r="H103" s="357"/>
      <c r="I103" s="113"/>
      <c r="J103" s="81"/>
      <c r="L103" s="72" t="str">
        <f t="shared" si="9"/>
        <v/>
      </c>
      <c r="M103" s="72" t="str">
        <f t="shared" si="10"/>
        <v/>
      </c>
      <c r="R103" s="5">
        <v>723140071</v>
      </c>
      <c r="S103" s="5" t="s">
        <v>1693</v>
      </c>
      <c r="T103" s="5">
        <v>71</v>
      </c>
      <c r="U103" s="5" t="s">
        <v>1689</v>
      </c>
      <c r="V103">
        <v>723</v>
      </c>
      <c r="W103">
        <v>72</v>
      </c>
    </row>
    <row r="104" spans="1:23">
      <c r="A104" s="333" t="str">
        <f>IF(E104="","",VLOOKUP('OPĆI DIO'!$C$3,'OPĆI DIO'!$L$6:$U$138,10,FALSE))</f>
        <v/>
      </c>
      <c r="B104" s="70" t="str">
        <f>IF(E104="","",VLOOKUP('OPĆI DIO'!$C$3,'OPĆI DIO'!$L$6:$U$138,9,FALSE))</f>
        <v/>
      </c>
      <c r="C104" s="115" t="str">
        <f t="shared" si="8"/>
        <v/>
      </c>
      <c r="D104" s="69" t="str">
        <f t="shared" si="7"/>
        <v/>
      </c>
      <c r="E104" s="81"/>
      <c r="F104" s="118" t="str">
        <f t="shared" si="11"/>
        <v/>
      </c>
      <c r="G104" s="113"/>
      <c r="H104" s="357"/>
      <c r="I104" s="113"/>
      <c r="J104" s="81"/>
      <c r="L104" s="72" t="str">
        <f t="shared" si="9"/>
        <v/>
      </c>
      <c r="M104" s="72" t="str">
        <f t="shared" si="10"/>
        <v/>
      </c>
      <c r="R104" s="5">
        <v>723150071</v>
      </c>
      <c r="S104" s="5" t="s">
        <v>1694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333" t="str">
        <f>IF(E105="","",VLOOKUP('OPĆI DIO'!$C$3,'OPĆI DIO'!$L$6:$U$138,10,FALSE))</f>
        <v/>
      </c>
      <c r="B105" s="70" t="str">
        <f>IF(E105="","",VLOOKUP('OPĆI DIO'!$C$3,'OPĆI DIO'!$L$6:$U$138,9,FALSE))</f>
        <v/>
      </c>
      <c r="C105" s="115" t="str">
        <f t="shared" si="8"/>
        <v/>
      </c>
      <c r="D105" s="69" t="str">
        <f t="shared" si="7"/>
        <v/>
      </c>
      <c r="E105" s="81"/>
      <c r="F105" s="118" t="str">
        <f t="shared" si="11"/>
        <v/>
      </c>
      <c r="G105" s="113"/>
      <c r="H105" s="357"/>
      <c r="I105" s="113"/>
      <c r="J105" s="81"/>
      <c r="L105" s="72" t="str">
        <f t="shared" si="9"/>
        <v/>
      </c>
      <c r="M105" s="72" t="str">
        <f t="shared" si="10"/>
        <v/>
      </c>
      <c r="R105" s="5">
        <v>723160071</v>
      </c>
      <c r="S105" s="5" t="s">
        <v>1695</v>
      </c>
      <c r="T105" s="5">
        <v>71</v>
      </c>
      <c r="U105" s="5" t="s">
        <v>1689</v>
      </c>
      <c r="V105">
        <v>723</v>
      </c>
      <c r="W105">
        <v>72</v>
      </c>
    </row>
    <row r="106" spans="1:23">
      <c r="A106" s="333" t="str">
        <f>IF(E106="","",VLOOKUP('OPĆI DIO'!$C$3,'OPĆI DIO'!$L$6:$U$138,10,FALSE))</f>
        <v/>
      </c>
      <c r="B106" s="70" t="str">
        <f>IF(E106="","",VLOOKUP('OPĆI DIO'!$C$3,'OPĆI DIO'!$L$6:$U$138,9,FALSE))</f>
        <v/>
      </c>
      <c r="C106" s="115" t="str">
        <f t="shared" si="8"/>
        <v/>
      </c>
      <c r="D106" s="69" t="str">
        <f t="shared" si="7"/>
        <v/>
      </c>
      <c r="E106" s="81"/>
      <c r="F106" s="118" t="str">
        <f t="shared" si="11"/>
        <v/>
      </c>
      <c r="G106" s="113"/>
      <c r="H106" s="357"/>
      <c r="I106" s="113"/>
      <c r="J106" s="81"/>
      <c r="L106" s="72" t="str">
        <f t="shared" si="9"/>
        <v/>
      </c>
      <c r="M106" s="72" t="str">
        <f t="shared" si="10"/>
        <v/>
      </c>
      <c r="R106" s="5">
        <v>723190071</v>
      </c>
      <c r="S106" s="5" t="s">
        <v>1787</v>
      </c>
      <c r="T106" s="5">
        <v>71</v>
      </c>
      <c r="U106" s="5" t="s">
        <v>173</v>
      </c>
      <c r="V106">
        <v>723</v>
      </c>
      <c r="W106">
        <v>72</v>
      </c>
    </row>
    <row r="107" spans="1:23">
      <c r="A107" s="333" t="str">
        <f>IF(E107="","",VLOOKUP('OPĆI DIO'!$C$3,'OPĆI DIO'!$L$6:$U$138,10,FALSE))</f>
        <v/>
      </c>
      <c r="B107" s="70" t="str">
        <f>IF(E107="","",VLOOKUP('OPĆI DIO'!$C$3,'OPĆI DIO'!$L$6:$U$138,9,FALSE))</f>
        <v/>
      </c>
      <c r="C107" s="115" t="str">
        <f t="shared" si="8"/>
        <v/>
      </c>
      <c r="D107" s="69" t="str">
        <f t="shared" si="7"/>
        <v/>
      </c>
      <c r="E107" s="81"/>
      <c r="F107" s="118" t="str">
        <f t="shared" si="11"/>
        <v/>
      </c>
      <c r="G107" s="113"/>
      <c r="H107" s="357"/>
      <c r="I107" s="113"/>
      <c r="J107" s="81"/>
      <c r="L107" s="72" t="str">
        <f t="shared" si="9"/>
        <v/>
      </c>
      <c r="M107" s="72" t="str">
        <f t="shared" si="10"/>
        <v/>
      </c>
      <c r="R107" s="5">
        <v>723310071</v>
      </c>
      <c r="S107" s="5" t="s">
        <v>1696</v>
      </c>
      <c r="T107" s="5">
        <v>71</v>
      </c>
      <c r="U107" s="5" t="s">
        <v>1689</v>
      </c>
      <c r="V107">
        <v>723</v>
      </c>
      <c r="W107">
        <v>72</v>
      </c>
    </row>
    <row r="108" spans="1:23">
      <c r="A108" s="333" t="str">
        <f>IF(E108="","",VLOOKUP('OPĆI DIO'!$C$3,'OPĆI DIO'!$L$6:$U$138,10,FALSE))</f>
        <v/>
      </c>
      <c r="B108" s="70" t="str">
        <f>IF(E108="","",VLOOKUP('OPĆI DIO'!$C$3,'OPĆI DIO'!$L$6:$U$138,9,FALSE))</f>
        <v/>
      </c>
      <c r="C108" s="115" t="str">
        <f t="shared" si="8"/>
        <v/>
      </c>
      <c r="D108" s="69" t="str">
        <f t="shared" si="7"/>
        <v/>
      </c>
      <c r="E108" s="81"/>
      <c r="F108" s="118" t="str">
        <f t="shared" si="11"/>
        <v/>
      </c>
      <c r="G108" s="113"/>
      <c r="H108" s="357"/>
      <c r="I108" s="113"/>
      <c r="J108" s="81"/>
      <c r="L108" s="72" t="str">
        <f t="shared" si="9"/>
        <v/>
      </c>
      <c r="M108" s="72" t="str">
        <f t="shared" si="10"/>
        <v/>
      </c>
      <c r="R108" s="5">
        <v>725210071</v>
      </c>
      <c r="S108" s="5" t="s">
        <v>229</v>
      </c>
      <c r="T108" s="5">
        <v>71</v>
      </c>
      <c r="U108" s="5" t="s">
        <v>1689</v>
      </c>
      <c r="V108">
        <v>725</v>
      </c>
      <c r="W108">
        <v>72</v>
      </c>
    </row>
    <row r="109" spans="1:23">
      <c r="A109" s="333" t="str">
        <f>IF(E109="","",VLOOKUP('OPĆI DIO'!$C$3,'OPĆI DIO'!$L$6:$U$138,10,FALSE))</f>
        <v/>
      </c>
      <c r="B109" s="70" t="str">
        <f>IF(E109="","",VLOOKUP('OPĆI DIO'!$C$3,'OPĆI DIO'!$L$6:$U$138,9,FALSE))</f>
        <v/>
      </c>
      <c r="C109" s="115" t="str">
        <f t="shared" si="8"/>
        <v/>
      </c>
      <c r="D109" s="69" t="str">
        <f t="shared" si="7"/>
        <v/>
      </c>
      <c r="E109" s="81"/>
      <c r="F109" s="118" t="str">
        <f t="shared" si="11"/>
        <v/>
      </c>
      <c r="G109" s="113"/>
      <c r="H109" s="357"/>
      <c r="I109" s="113"/>
      <c r="J109" s="81"/>
      <c r="L109" s="72" t="str">
        <f t="shared" si="9"/>
        <v/>
      </c>
      <c r="M109" s="72" t="str">
        <f t="shared" si="10"/>
        <v/>
      </c>
      <c r="R109" s="5">
        <v>818110043</v>
      </c>
      <c r="S109" s="5" t="s">
        <v>1788</v>
      </c>
      <c r="T109" s="5">
        <v>43</v>
      </c>
      <c r="U109" s="5" t="s">
        <v>96</v>
      </c>
      <c r="V109">
        <v>818</v>
      </c>
      <c r="W109">
        <v>81</v>
      </c>
    </row>
    <row r="110" spans="1:23">
      <c r="A110" s="333" t="str">
        <f>IF(E110="","",VLOOKUP('OPĆI DIO'!$C$3,'OPĆI DIO'!$L$6:$U$138,10,FALSE))</f>
        <v/>
      </c>
      <c r="B110" s="70" t="str">
        <f>IF(E110="","",VLOOKUP('OPĆI DIO'!$C$3,'OPĆI DIO'!$L$6:$U$138,9,FALSE))</f>
        <v/>
      </c>
      <c r="C110" s="115" t="str">
        <f t="shared" si="8"/>
        <v/>
      </c>
      <c r="D110" s="69" t="str">
        <f t="shared" si="7"/>
        <v/>
      </c>
      <c r="E110" s="81"/>
      <c r="F110" s="118" t="str">
        <f t="shared" si="11"/>
        <v/>
      </c>
      <c r="G110" s="113"/>
      <c r="H110" s="357"/>
      <c r="I110" s="113"/>
      <c r="J110" s="81"/>
      <c r="L110" s="72" t="str">
        <f t="shared" si="9"/>
        <v/>
      </c>
      <c r="M110" s="72" t="str">
        <f t="shared" si="10"/>
        <v/>
      </c>
      <c r="R110" s="5">
        <v>818120043</v>
      </c>
      <c r="S110" s="5" t="s">
        <v>1227</v>
      </c>
      <c r="T110" s="5">
        <v>43</v>
      </c>
      <c r="U110" s="5" t="s">
        <v>96</v>
      </c>
      <c r="V110">
        <v>818</v>
      </c>
      <c r="W110">
        <v>81</v>
      </c>
    </row>
    <row r="111" spans="1:23">
      <c r="A111" s="333" t="str">
        <f>IF(E111="","",VLOOKUP('OPĆI DIO'!$C$3,'OPĆI DIO'!$L$6:$U$138,10,FALSE))</f>
        <v/>
      </c>
      <c r="B111" s="70" t="str">
        <f>IF(E111="","",VLOOKUP('OPĆI DIO'!$C$3,'OPĆI DIO'!$L$6:$U$138,9,FALSE))</f>
        <v/>
      </c>
      <c r="C111" s="115" t="str">
        <f t="shared" si="8"/>
        <v/>
      </c>
      <c r="D111" s="69" t="str">
        <f t="shared" si="7"/>
        <v/>
      </c>
      <c r="E111" s="81"/>
      <c r="F111" s="118" t="str">
        <f t="shared" si="11"/>
        <v/>
      </c>
      <c r="G111" s="113"/>
      <c r="H111" s="357"/>
      <c r="I111" s="113"/>
      <c r="J111" s="81"/>
      <c r="L111" s="72" t="str">
        <f t="shared" si="9"/>
        <v/>
      </c>
      <c r="M111" s="72" t="str">
        <f t="shared" si="10"/>
        <v/>
      </c>
      <c r="R111" s="5">
        <v>832120043</v>
      </c>
      <c r="S111" s="5" t="s">
        <v>1228</v>
      </c>
      <c r="T111" s="5">
        <v>43</v>
      </c>
      <c r="U111" s="5" t="s">
        <v>96</v>
      </c>
      <c r="V111">
        <v>832</v>
      </c>
      <c r="W111">
        <v>83</v>
      </c>
    </row>
    <row r="112" spans="1:23">
      <c r="A112" s="333" t="str">
        <f>IF(E112="","",VLOOKUP('OPĆI DIO'!$C$3,'OPĆI DIO'!$L$6:$U$138,10,FALSE))</f>
        <v/>
      </c>
      <c r="B112" s="70" t="str">
        <f>IF(E112="","",VLOOKUP('OPĆI DIO'!$C$3,'OPĆI DIO'!$L$6:$U$138,9,FALSE))</f>
        <v/>
      </c>
      <c r="C112" s="115" t="str">
        <f t="shared" si="8"/>
        <v/>
      </c>
      <c r="D112" s="69" t="str">
        <f t="shared" si="7"/>
        <v/>
      </c>
      <c r="E112" s="81"/>
      <c r="F112" s="118" t="str">
        <f t="shared" si="11"/>
        <v/>
      </c>
      <c r="G112" s="113"/>
      <c r="H112" s="357"/>
      <c r="I112" s="113"/>
      <c r="J112" s="81"/>
      <c r="L112" s="72" t="str">
        <f t="shared" si="9"/>
        <v/>
      </c>
      <c r="M112" s="72" t="str">
        <f t="shared" si="10"/>
        <v/>
      </c>
      <c r="R112" s="5">
        <v>833130043</v>
      </c>
      <c r="S112" s="5" t="s">
        <v>1698</v>
      </c>
      <c r="T112" s="5">
        <v>43</v>
      </c>
      <c r="U112" s="5" t="s">
        <v>96</v>
      </c>
      <c r="V112">
        <v>833</v>
      </c>
      <c r="W112">
        <v>83</v>
      </c>
    </row>
    <row r="113" spans="1:23">
      <c r="A113" s="333" t="str">
        <f>IF(E113="","",VLOOKUP('OPĆI DIO'!$C$3,'OPĆI DIO'!$L$6:$U$138,10,FALSE))</f>
        <v/>
      </c>
      <c r="B113" s="70" t="str">
        <f>IF(E113="","",VLOOKUP('OPĆI DIO'!$C$3,'OPĆI DIO'!$L$6:$U$138,9,FALSE))</f>
        <v/>
      </c>
      <c r="C113" s="115" t="str">
        <f t="shared" si="8"/>
        <v/>
      </c>
      <c r="D113" s="69" t="str">
        <f t="shared" si="7"/>
        <v/>
      </c>
      <c r="E113" s="81"/>
      <c r="F113" s="118" t="str">
        <f t="shared" si="11"/>
        <v/>
      </c>
      <c r="G113" s="113"/>
      <c r="H113" s="357"/>
      <c r="I113" s="113"/>
      <c r="J113" s="81"/>
      <c r="L113" s="72" t="str">
        <f t="shared" si="9"/>
        <v/>
      </c>
      <c r="M113" s="72" t="str">
        <f t="shared" si="10"/>
        <v/>
      </c>
      <c r="R113" s="5">
        <v>841320000</v>
      </c>
      <c r="S113" s="5" t="s">
        <v>1784</v>
      </c>
      <c r="T113" s="5">
        <v>81</v>
      </c>
      <c r="U113" s="5" t="s">
        <v>1697</v>
      </c>
      <c r="V113">
        <v>841</v>
      </c>
      <c r="W113">
        <v>84</v>
      </c>
    </row>
    <row r="114" spans="1:23">
      <c r="A114" s="333" t="str">
        <f>IF(E114="","",VLOOKUP('OPĆI DIO'!$C$3,'OPĆI DIO'!$L$6:$U$138,10,FALSE))</f>
        <v/>
      </c>
      <c r="B114" s="70" t="str">
        <f>IF(E114="","",VLOOKUP('OPĆI DIO'!$C$3,'OPĆI DIO'!$L$6:$U$138,9,FALSE))</f>
        <v/>
      </c>
      <c r="C114" s="115" t="str">
        <f t="shared" si="8"/>
        <v/>
      </c>
      <c r="D114" s="69" t="str">
        <f t="shared" si="7"/>
        <v/>
      </c>
      <c r="E114" s="81"/>
      <c r="F114" s="118" t="str">
        <f t="shared" si="11"/>
        <v/>
      </c>
      <c r="G114" s="113"/>
      <c r="H114" s="357"/>
      <c r="I114" s="113"/>
      <c r="J114" s="81"/>
      <c r="L114" s="72" t="str">
        <f t="shared" si="9"/>
        <v/>
      </c>
      <c r="M114" s="72" t="str">
        <f t="shared" si="10"/>
        <v/>
      </c>
      <c r="R114" s="217">
        <v>841320150</v>
      </c>
      <c r="S114" s="217" t="s">
        <v>3525</v>
      </c>
      <c r="T114" s="217">
        <v>81</v>
      </c>
      <c r="U114" s="217" t="s">
        <v>1697</v>
      </c>
      <c r="V114" s="138">
        <v>841</v>
      </c>
      <c r="W114" s="138">
        <v>84</v>
      </c>
    </row>
    <row r="115" spans="1:23">
      <c r="A115" s="333" t="str">
        <f>IF(E115="","",VLOOKUP('OPĆI DIO'!$C$3,'OPĆI DIO'!$L$6:$U$138,10,FALSE))</f>
        <v/>
      </c>
      <c r="B115" s="70" t="str">
        <f>IF(E115="","",VLOOKUP('OPĆI DIO'!$C$3,'OPĆI DIO'!$L$6:$U$138,9,FALSE))</f>
        <v/>
      </c>
      <c r="C115" s="115" t="str">
        <f t="shared" si="8"/>
        <v/>
      </c>
      <c r="D115" s="69" t="str">
        <f t="shared" si="7"/>
        <v/>
      </c>
      <c r="E115" s="81"/>
      <c r="F115" s="118" t="str">
        <f t="shared" si="11"/>
        <v/>
      </c>
      <c r="G115" s="113"/>
      <c r="H115" s="357"/>
      <c r="I115" s="113"/>
      <c r="J115" s="81"/>
      <c r="L115" s="72" t="str">
        <f t="shared" si="9"/>
        <v/>
      </c>
      <c r="M115" s="72" t="str">
        <f t="shared" si="10"/>
        <v/>
      </c>
      <c r="R115" s="217">
        <v>844320000</v>
      </c>
      <c r="S115" s="217" t="s">
        <v>5255</v>
      </c>
      <c r="T115" s="217">
        <v>81</v>
      </c>
      <c r="U115" s="217" t="s">
        <v>1697</v>
      </c>
      <c r="V115" s="138">
        <v>844</v>
      </c>
      <c r="W115" s="138">
        <v>84</v>
      </c>
    </row>
    <row r="116" spans="1:23">
      <c r="A116" s="333" t="str">
        <f>IF(E116="","",VLOOKUP('OPĆI DIO'!$C$3,'OPĆI DIO'!$L$6:$U$138,10,FALSE))</f>
        <v/>
      </c>
      <c r="B116" s="70" t="str">
        <f>IF(E116="","",VLOOKUP('OPĆI DIO'!$C$3,'OPĆI DIO'!$L$6:$U$138,9,FALSE))</f>
        <v/>
      </c>
      <c r="C116" s="115" t="str">
        <f t="shared" si="8"/>
        <v/>
      </c>
      <c r="D116" s="69" t="str">
        <f t="shared" si="7"/>
        <v/>
      </c>
      <c r="E116" s="81"/>
      <c r="F116" s="118" t="str">
        <f t="shared" si="11"/>
        <v/>
      </c>
      <c r="G116" s="113"/>
      <c r="H116" s="357"/>
      <c r="I116" s="113"/>
      <c r="J116" s="81"/>
      <c r="L116" s="72" t="str">
        <f t="shared" si="9"/>
        <v/>
      </c>
      <c r="M116" s="72" t="str">
        <f t="shared" si="10"/>
        <v/>
      </c>
      <c r="R116" s="5">
        <v>842220081</v>
      </c>
      <c r="S116" s="5" t="s">
        <v>1699</v>
      </c>
      <c r="T116" s="5">
        <v>81</v>
      </c>
      <c r="U116" s="5" t="s">
        <v>1697</v>
      </c>
      <c r="V116">
        <v>842</v>
      </c>
      <c r="W116">
        <v>84</v>
      </c>
    </row>
    <row r="117" spans="1:23">
      <c r="A117" s="333" t="str">
        <f>IF(E117="","",VLOOKUP('OPĆI DIO'!$C$3,'OPĆI DIO'!$L$6:$U$138,10,FALSE))</f>
        <v/>
      </c>
      <c r="B117" s="70" t="str">
        <f>IF(E117="","",VLOOKUP('OPĆI DIO'!$C$3,'OPĆI DIO'!$L$6:$U$138,9,FALSE))</f>
        <v/>
      </c>
      <c r="C117" s="115" t="str">
        <f t="shared" si="8"/>
        <v/>
      </c>
      <c r="D117" s="69" t="str">
        <f t="shared" si="7"/>
        <v/>
      </c>
      <c r="E117" s="81"/>
      <c r="F117" s="118" t="str">
        <f t="shared" si="11"/>
        <v/>
      </c>
      <c r="G117" s="113"/>
      <c r="H117" s="357"/>
      <c r="I117" s="113"/>
      <c r="J117" s="81"/>
      <c r="L117" s="72" t="str">
        <f t="shared" si="9"/>
        <v/>
      </c>
      <c r="M117" s="72" t="str">
        <f t="shared" si="10"/>
        <v/>
      </c>
    </row>
    <row r="118" spans="1:23">
      <c r="A118" s="333" t="str">
        <f>IF(E118="","",VLOOKUP('OPĆI DIO'!$C$3,'OPĆI DIO'!$L$6:$U$138,10,FALSE))</f>
        <v/>
      </c>
      <c r="B118" s="70" t="str">
        <f>IF(E118="","",VLOOKUP('OPĆI DIO'!$C$3,'OPĆI DIO'!$L$6:$U$138,9,FALSE))</f>
        <v/>
      </c>
      <c r="C118" s="115" t="str">
        <f t="shared" si="8"/>
        <v/>
      </c>
      <c r="D118" s="69" t="str">
        <f t="shared" si="7"/>
        <v/>
      </c>
      <c r="E118" s="81"/>
      <c r="F118" s="118" t="str">
        <f t="shared" si="11"/>
        <v/>
      </c>
      <c r="G118" s="113"/>
      <c r="H118" s="357"/>
      <c r="I118" s="113"/>
      <c r="J118" s="81"/>
      <c r="L118" s="72" t="str">
        <f t="shared" si="9"/>
        <v/>
      </c>
      <c r="M118" s="72" t="str">
        <f t="shared" si="10"/>
        <v/>
      </c>
    </row>
    <row r="119" spans="1:23">
      <c r="A119" s="333" t="str">
        <f>IF(E119="","",VLOOKUP('OPĆI DIO'!$C$3,'OPĆI DIO'!$L$6:$U$138,10,FALSE))</f>
        <v/>
      </c>
      <c r="B119" s="70" t="str">
        <f>IF(E119="","",VLOOKUP('OPĆI DIO'!$C$3,'OPĆI DIO'!$L$6:$U$138,9,FALSE))</f>
        <v/>
      </c>
      <c r="C119" s="115" t="str">
        <f t="shared" si="8"/>
        <v/>
      </c>
      <c r="D119" s="69" t="str">
        <f t="shared" si="7"/>
        <v/>
      </c>
      <c r="E119" s="81"/>
      <c r="F119" s="118" t="str">
        <f t="shared" si="11"/>
        <v/>
      </c>
      <c r="G119" s="113"/>
      <c r="H119" s="357"/>
      <c r="I119" s="113"/>
      <c r="J119" s="81"/>
      <c r="L119" s="72" t="str">
        <f t="shared" si="9"/>
        <v/>
      </c>
      <c r="M119" s="72" t="str">
        <f t="shared" si="10"/>
        <v/>
      </c>
    </row>
    <row r="120" spans="1:23">
      <c r="A120" s="333" t="str">
        <f>IF(E120="","",VLOOKUP('OPĆI DIO'!$C$3,'OPĆI DIO'!$L$6:$U$138,10,FALSE))</f>
        <v/>
      </c>
      <c r="B120" s="70" t="str">
        <f>IF(E120="","",VLOOKUP('OPĆI DIO'!$C$3,'OPĆI DIO'!$L$6:$U$138,9,FALSE))</f>
        <v/>
      </c>
      <c r="C120" s="115" t="str">
        <f t="shared" si="8"/>
        <v/>
      </c>
      <c r="D120" s="69" t="str">
        <f t="shared" si="7"/>
        <v/>
      </c>
      <c r="E120" s="81"/>
      <c r="F120" s="118" t="str">
        <f t="shared" si="11"/>
        <v/>
      </c>
      <c r="G120" s="113"/>
      <c r="H120" s="357"/>
      <c r="I120" s="113"/>
      <c r="J120" s="81"/>
      <c r="L120" s="72" t="str">
        <f t="shared" si="9"/>
        <v/>
      </c>
      <c r="M120" s="72" t="str">
        <f t="shared" si="10"/>
        <v/>
      </c>
    </row>
    <row r="121" spans="1:23">
      <c r="A121" s="333" t="str">
        <f>IF(E121="","",VLOOKUP('OPĆI DIO'!$C$3,'OPĆI DIO'!$L$6:$U$138,10,FALSE))</f>
        <v/>
      </c>
      <c r="B121" s="70" t="str">
        <f>IF(E121="","",VLOOKUP('OPĆI DIO'!$C$3,'OPĆI DIO'!$L$6:$U$138,9,FALSE))</f>
        <v/>
      </c>
      <c r="C121" s="115" t="str">
        <f t="shared" si="8"/>
        <v/>
      </c>
      <c r="D121" s="69" t="str">
        <f t="shared" si="7"/>
        <v/>
      </c>
      <c r="E121" s="81"/>
      <c r="F121" s="118" t="str">
        <f t="shared" si="11"/>
        <v/>
      </c>
      <c r="G121" s="113"/>
      <c r="H121" s="357"/>
      <c r="I121" s="113"/>
      <c r="J121" s="81"/>
      <c r="L121" s="72" t="str">
        <f t="shared" si="9"/>
        <v/>
      </c>
      <c r="M121" s="72" t="str">
        <f t="shared" si="10"/>
        <v/>
      </c>
    </row>
    <row r="122" spans="1:23">
      <c r="A122" s="333" t="str">
        <f>IF(E122="","",VLOOKUP('OPĆI DIO'!$C$3,'OPĆI DIO'!$L$6:$U$138,10,FALSE))</f>
        <v/>
      </c>
      <c r="B122" s="70" t="str">
        <f>IF(E122="","",VLOOKUP('OPĆI DIO'!$C$3,'OPĆI DIO'!$L$6:$U$138,9,FALSE))</f>
        <v/>
      </c>
      <c r="C122" s="115" t="str">
        <f t="shared" si="8"/>
        <v/>
      </c>
      <c r="D122" s="69" t="str">
        <f t="shared" si="7"/>
        <v/>
      </c>
      <c r="E122" s="81"/>
      <c r="F122" s="118" t="str">
        <f t="shared" si="11"/>
        <v/>
      </c>
      <c r="G122" s="113"/>
      <c r="H122" s="357"/>
      <c r="I122" s="113"/>
      <c r="J122" s="81"/>
      <c r="L122" s="72" t="str">
        <f t="shared" si="9"/>
        <v/>
      </c>
      <c r="M122" s="72" t="str">
        <f t="shared" si="10"/>
        <v/>
      </c>
    </row>
    <row r="123" spans="1:23">
      <c r="A123" s="333" t="str">
        <f>IF(E123="","",VLOOKUP('OPĆI DIO'!$C$3,'OPĆI DIO'!$L$6:$U$138,10,FALSE))</f>
        <v/>
      </c>
      <c r="B123" s="70" t="str">
        <f>IF(E123="","",VLOOKUP('OPĆI DIO'!$C$3,'OPĆI DIO'!$L$6:$U$138,9,FALSE))</f>
        <v/>
      </c>
      <c r="C123" s="115" t="str">
        <f t="shared" si="8"/>
        <v/>
      </c>
      <c r="D123" s="69" t="str">
        <f t="shared" si="7"/>
        <v/>
      </c>
      <c r="E123" s="81"/>
      <c r="F123" s="118" t="str">
        <f t="shared" si="11"/>
        <v/>
      </c>
      <c r="G123" s="113"/>
      <c r="H123" s="357"/>
      <c r="I123" s="113"/>
      <c r="J123" s="81"/>
      <c r="L123" s="72" t="str">
        <f t="shared" si="9"/>
        <v/>
      </c>
      <c r="M123" s="72" t="str">
        <f t="shared" si="10"/>
        <v/>
      </c>
    </row>
    <row r="124" spans="1:23">
      <c r="A124" s="333" t="str">
        <f>IF(E124="","",VLOOKUP('OPĆI DIO'!$C$3,'OPĆI DIO'!$L$6:$U$138,10,FALSE))</f>
        <v/>
      </c>
      <c r="B124" s="70" t="str">
        <f>IF(E124="","",VLOOKUP('OPĆI DIO'!$C$3,'OPĆI DIO'!$L$6:$U$138,9,FALSE))</f>
        <v/>
      </c>
      <c r="C124" s="115" t="str">
        <f t="shared" si="8"/>
        <v/>
      </c>
      <c r="D124" s="69" t="str">
        <f t="shared" si="7"/>
        <v/>
      </c>
      <c r="E124" s="81"/>
      <c r="F124" s="118" t="str">
        <f t="shared" si="11"/>
        <v/>
      </c>
      <c r="G124" s="113"/>
      <c r="H124" s="357"/>
      <c r="I124" s="113"/>
      <c r="J124" s="81"/>
      <c r="L124" s="72" t="str">
        <f t="shared" si="9"/>
        <v/>
      </c>
      <c r="M124" s="72" t="str">
        <f t="shared" si="10"/>
        <v/>
      </c>
    </row>
    <row r="125" spans="1:23">
      <c r="A125" s="333" t="str">
        <f>IF(E125="","",VLOOKUP('OPĆI DIO'!$C$3,'OPĆI DIO'!$L$6:$U$138,10,FALSE))</f>
        <v/>
      </c>
      <c r="B125" s="70" t="str">
        <f>IF(E125="","",VLOOKUP('OPĆI DIO'!$C$3,'OPĆI DIO'!$L$6:$U$138,9,FALSE))</f>
        <v/>
      </c>
      <c r="C125" s="115" t="str">
        <f t="shared" si="8"/>
        <v/>
      </c>
      <c r="D125" s="69" t="str">
        <f t="shared" si="7"/>
        <v/>
      </c>
      <c r="E125" s="81"/>
      <c r="F125" s="118" t="str">
        <f t="shared" si="11"/>
        <v/>
      </c>
      <c r="G125" s="113"/>
      <c r="H125" s="357"/>
      <c r="I125" s="113"/>
      <c r="J125" s="81"/>
      <c r="L125" s="72" t="str">
        <f t="shared" si="9"/>
        <v/>
      </c>
      <c r="M125" s="72" t="str">
        <f t="shared" si="10"/>
        <v/>
      </c>
    </row>
    <row r="126" spans="1:23">
      <c r="A126" s="333" t="str">
        <f>IF(E126="","",VLOOKUP('OPĆI DIO'!$C$3,'OPĆI DIO'!$L$6:$U$138,10,FALSE))</f>
        <v/>
      </c>
      <c r="B126" s="70" t="str">
        <f>IF(E126="","",VLOOKUP('OPĆI DIO'!$C$3,'OPĆI DIO'!$L$6:$U$138,9,FALSE))</f>
        <v/>
      </c>
      <c r="C126" s="115" t="str">
        <f t="shared" si="8"/>
        <v/>
      </c>
      <c r="D126" s="69" t="str">
        <f t="shared" si="7"/>
        <v/>
      </c>
      <c r="E126" s="81"/>
      <c r="F126" s="118" t="str">
        <f t="shared" si="11"/>
        <v/>
      </c>
      <c r="G126" s="113"/>
      <c r="H126" s="357"/>
      <c r="I126" s="113"/>
      <c r="J126" s="81"/>
      <c r="L126" s="72" t="str">
        <f t="shared" si="9"/>
        <v/>
      </c>
      <c r="M126" s="72" t="str">
        <f t="shared" si="10"/>
        <v/>
      </c>
    </row>
    <row r="127" spans="1:23">
      <c r="A127" s="333" t="str">
        <f>IF(E127="","",VLOOKUP('OPĆI DIO'!$C$3,'OPĆI DIO'!$L$6:$U$138,10,FALSE))</f>
        <v/>
      </c>
      <c r="B127" s="70" t="str">
        <f>IF(E127="","",VLOOKUP('OPĆI DIO'!$C$3,'OPĆI DIO'!$L$6:$U$138,9,FALSE))</f>
        <v/>
      </c>
      <c r="C127" s="115" t="str">
        <f t="shared" si="8"/>
        <v/>
      </c>
      <c r="D127" s="69" t="str">
        <f t="shared" si="7"/>
        <v/>
      </c>
      <c r="E127" s="81"/>
      <c r="F127" s="118" t="str">
        <f t="shared" si="11"/>
        <v/>
      </c>
      <c r="G127" s="113"/>
      <c r="H127" s="357"/>
      <c r="I127" s="113"/>
      <c r="J127" s="81"/>
      <c r="L127" s="72" t="str">
        <f t="shared" si="9"/>
        <v/>
      </c>
      <c r="M127" s="72" t="str">
        <f t="shared" si="10"/>
        <v/>
      </c>
    </row>
    <row r="128" spans="1:23">
      <c r="A128" s="333" t="str">
        <f>IF(E128="","",VLOOKUP('OPĆI DIO'!$C$3,'OPĆI DIO'!$L$6:$U$138,10,FALSE))</f>
        <v/>
      </c>
      <c r="B128" s="70" t="str">
        <f>IF(E128="","",VLOOKUP('OPĆI DIO'!$C$3,'OPĆI DIO'!$L$6:$U$138,9,FALSE))</f>
        <v/>
      </c>
      <c r="C128" s="115" t="str">
        <f t="shared" si="8"/>
        <v/>
      </c>
      <c r="D128" s="69" t="str">
        <f t="shared" si="7"/>
        <v/>
      </c>
      <c r="E128" s="81"/>
      <c r="F128" s="118" t="str">
        <f t="shared" si="11"/>
        <v/>
      </c>
      <c r="G128" s="113"/>
      <c r="H128" s="357"/>
      <c r="I128" s="113"/>
      <c r="J128" s="81"/>
      <c r="L128" s="72" t="str">
        <f t="shared" si="9"/>
        <v/>
      </c>
      <c r="M128" s="72" t="str">
        <f t="shared" si="10"/>
        <v/>
      </c>
    </row>
    <row r="129" spans="1:13">
      <c r="A129" s="333" t="str">
        <f>IF(E129="","",VLOOKUP('OPĆI DIO'!$C$3,'OPĆI DIO'!$L$6:$U$138,10,FALSE))</f>
        <v/>
      </c>
      <c r="B129" s="70" t="str">
        <f>IF(E129="","",VLOOKUP('OPĆI DIO'!$C$3,'OPĆI DIO'!$L$6:$U$138,9,FALSE))</f>
        <v/>
      </c>
      <c r="C129" s="115" t="str">
        <f t="shared" si="8"/>
        <v/>
      </c>
      <c r="D129" s="69" t="str">
        <f t="shared" si="7"/>
        <v/>
      </c>
      <c r="E129" s="81"/>
      <c r="F129" s="118" t="str">
        <f t="shared" si="11"/>
        <v/>
      </c>
      <c r="G129" s="113"/>
      <c r="H129" s="357"/>
      <c r="I129" s="113"/>
      <c r="J129" s="81"/>
      <c r="L129" s="72" t="str">
        <f t="shared" si="9"/>
        <v/>
      </c>
      <c r="M129" s="72" t="str">
        <f t="shared" si="10"/>
        <v/>
      </c>
    </row>
    <row r="130" spans="1:13">
      <c r="A130" s="333" t="str">
        <f>IF(E130="","",VLOOKUP('OPĆI DIO'!$C$3,'OPĆI DIO'!$L$6:$U$138,10,FALSE))</f>
        <v/>
      </c>
      <c r="B130" s="70" t="str">
        <f>IF(E130="","",VLOOKUP('OPĆI DIO'!$C$3,'OPĆI DIO'!$L$6:$U$138,9,FALSE))</f>
        <v/>
      </c>
      <c r="C130" s="115" t="str">
        <f t="shared" si="8"/>
        <v/>
      </c>
      <c r="D130" s="69" t="str">
        <f t="shared" si="7"/>
        <v/>
      </c>
      <c r="E130" s="81"/>
      <c r="F130" s="118" t="str">
        <f t="shared" si="11"/>
        <v/>
      </c>
      <c r="G130" s="113"/>
      <c r="H130" s="357"/>
      <c r="I130" s="113"/>
      <c r="J130" s="81"/>
      <c r="L130" s="72" t="str">
        <f t="shared" si="9"/>
        <v/>
      </c>
      <c r="M130" s="72" t="str">
        <f t="shared" si="10"/>
        <v/>
      </c>
    </row>
    <row r="131" spans="1:13">
      <c r="A131" s="333" t="str">
        <f>IF(E131="","",VLOOKUP('OPĆI DIO'!$C$3,'OPĆI DIO'!$L$6:$U$138,10,FALSE))</f>
        <v/>
      </c>
      <c r="B131" s="70" t="str">
        <f>IF(E131="","",VLOOKUP('OPĆI DIO'!$C$3,'OPĆI DIO'!$L$6:$U$138,9,FALSE))</f>
        <v/>
      </c>
      <c r="C131" s="115" t="str">
        <f t="shared" si="8"/>
        <v/>
      </c>
      <c r="D131" s="69" t="str">
        <f t="shared" si="7"/>
        <v/>
      </c>
      <c r="E131" s="81"/>
      <c r="F131" s="118" t="str">
        <f t="shared" si="11"/>
        <v/>
      </c>
      <c r="G131" s="113"/>
      <c r="H131" s="357"/>
      <c r="I131" s="113"/>
      <c r="J131" s="81"/>
      <c r="L131" s="72" t="str">
        <f t="shared" si="9"/>
        <v/>
      </c>
      <c r="M131" s="72" t="str">
        <f t="shared" si="10"/>
        <v/>
      </c>
    </row>
    <row r="132" spans="1:13">
      <c r="A132" s="333" t="str">
        <f>IF(E132="","",VLOOKUP('OPĆI DIO'!$C$3,'OPĆI DIO'!$L$6:$U$138,10,FALSE))</f>
        <v/>
      </c>
      <c r="B132" s="70" t="str">
        <f>IF(E132="","",VLOOKUP('OPĆI DIO'!$C$3,'OPĆI DIO'!$L$6:$U$138,9,FALSE))</f>
        <v/>
      </c>
      <c r="C132" s="115" t="str">
        <f t="shared" si="8"/>
        <v/>
      </c>
      <c r="D132" s="69" t="str">
        <f t="shared" ref="D132:D195" si="12">IFERROR(VLOOKUP(E132,$R$6:$U$116,4,FALSE),"")</f>
        <v/>
      </c>
      <c r="E132" s="81"/>
      <c r="F132" s="118" t="str">
        <f t="shared" si="11"/>
        <v/>
      </c>
      <c r="G132" s="113"/>
      <c r="H132" s="357"/>
      <c r="I132" s="113"/>
      <c r="J132" s="81"/>
      <c r="L132" s="72" t="str">
        <f t="shared" si="9"/>
        <v/>
      </c>
      <c r="M132" s="72" t="str">
        <f t="shared" si="10"/>
        <v/>
      </c>
    </row>
    <row r="133" spans="1:13">
      <c r="A133" s="333" t="str">
        <f>IF(E133="","",VLOOKUP('OPĆI DIO'!$C$3,'OPĆI DIO'!$L$6:$U$138,10,FALSE))</f>
        <v/>
      </c>
      <c r="B133" s="70" t="str">
        <f>IF(E133="","",VLOOKUP('OPĆI DIO'!$C$3,'OPĆI DIO'!$L$6:$U$138,9,FALSE))</f>
        <v/>
      </c>
      <c r="C133" s="115" t="str">
        <f t="shared" si="8"/>
        <v/>
      </c>
      <c r="D133" s="69" t="str">
        <f t="shared" si="12"/>
        <v/>
      </c>
      <c r="E133" s="81"/>
      <c r="F133" s="118" t="str">
        <f t="shared" si="11"/>
        <v/>
      </c>
      <c r="G133" s="113"/>
      <c r="H133" s="357"/>
      <c r="I133" s="113"/>
      <c r="J133" s="81"/>
      <c r="L133" s="72" t="str">
        <f t="shared" si="9"/>
        <v/>
      </c>
      <c r="M133" s="72" t="str">
        <f t="shared" si="10"/>
        <v/>
      </c>
    </row>
    <row r="134" spans="1:13">
      <c r="A134" s="333" t="str">
        <f>IF(E134="","",VLOOKUP('OPĆI DIO'!$C$3,'OPĆI DIO'!$L$6:$U$138,10,FALSE))</f>
        <v/>
      </c>
      <c r="B134" s="70" t="str">
        <f>IF(E134="","",VLOOKUP('OPĆI DIO'!$C$3,'OPĆI DIO'!$L$6:$U$138,9,FALSE))</f>
        <v/>
      </c>
      <c r="C134" s="115" t="str">
        <f t="shared" ref="C134:C197" si="13">IFERROR(VLOOKUP(E134,$R$6:$U$116,3,FALSE),"")</f>
        <v/>
      </c>
      <c r="D134" s="69" t="str">
        <f t="shared" si="12"/>
        <v/>
      </c>
      <c r="E134" s="81"/>
      <c r="F134" s="118" t="str">
        <f t="shared" si="11"/>
        <v/>
      </c>
      <c r="G134" s="113"/>
      <c r="H134" s="357"/>
      <c r="I134" s="113"/>
      <c r="J134" s="81"/>
      <c r="L134" s="72" t="str">
        <f t="shared" si="9"/>
        <v/>
      </c>
      <c r="M134" s="72" t="str">
        <f t="shared" si="10"/>
        <v/>
      </c>
    </row>
    <row r="135" spans="1:13">
      <c r="A135" s="333" t="str">
        <f>IF(E135="","",VLOOKUP('OPĆI DIO'!$C$3,'OPĆI DIO'!$L$6:$U$138,10,FALSE))</f>
        <v/>
      </c>
      <c r="B135" s="70" t="str">
        <f>IF(E135="","",VLOOKUP('OPĆI DIO'!$C$3,'OPĆI DIO'!$L$6:$U$138,9,FALSE))</f>
        <v/>
      </c>
      <c r="C135" s="115" t="str">
        <f t="shared" si="13"/>
        <v/>
      </c>
      <c r="D135" s="69" t="str">
        <f t="shared" si="12"/>
        <v/>
      </c>
      <c r="E135" s="81"/>
      <c r="F135" s="118" t="str">
        <f t="shared" si="11"/>
        <v/>
      </c>
      <c r="G135" s="113"/>
      <c r="H135" s="357"/>
      <c r="I135" s="113"/>
      <c r="J135" s="81"/>
      <c r="L135" s="72" t="str">
        <f t="shared" ref="L135:L198" si="14">LEFT(E135,2)</f>
        <v/>
      </c>
      <c r="M135" s="72" t="str">
        <f t="shared" ref="M135:M198" si="15">LEFT(E135,3)</f>
        <v/>
      </c>
    </row>
    <row r="136" spans="1:13">
      <c r="A136" s="333" t="str">
        <f>IF(E136="","",VLOOKUP('OPĆI DIO'!$C$3,'OPĆI DIO'!$L$6:$U$138,10,FALSE))</f>
        <v/>
      </c>
      <c r="B136" s="70" t="str">
        <f>IF(E136="","",VLOOKUP('OPĆI DIO'!$C$3,'OPĆI DIO'!$L$6:$U$138,9,FALSE))</f>
        <v/>
      </c>
      <c r="C136" s="115" t="str">
        <f t="shared" si="13"/>
        <v/>
      </c>
      <c r="D136" s="69" t="str">
        <f t="shared" si="12"/>
        <v/>
      </c>
      <c r="E136" s="81"/>
      <c r="F136" s="118" t="str">
        <f t="shared" si="11"/>
        <v/>
      </c>
      <c r="G136" s="113"/>
      <c r="H136" s="357"/>
      <c r="I136" s="113"/>
      <c r="J136" s="81"/>
      <c r="L136" s="72" t="str">
        <f t="shared" si="14"/>
        <v/>
      </c>
      <c r="M136" s="72" t="str">
        <f t="shared" si="15"/>
        <v/>
      </c>
    </row>
    <row r="137" spans="1:13">
      <c r="A137" s="333" t="str">
        <f>IF(E137="","",VLOOKUP('OPĆI DIO'!$C$3,'OPĆI DIO'!$L$6:$U$138,10,FALSE))</f>
        <v/>
      </c>
      <c r="B137" s="70" t="str">
        <f>IF(E137="","",VLOOKUP('OPĆI DIO'!$C$3,'OPĆI DIO'!$L$6:$U$138,9,FALSE))</f>
        <v/>
      </c>
      <c r="C137" s="115" t="str">
        <f t="shared" si="13"/>
        <v/>
      </c>
      <c r="D137" s="69" t="str">
        <f t="shared" si="12"/>
        <v/>
      </c>
      <c r="E137" s="81"/>
      <c r="F137" s="118" t="str">
        <f t="shared" si="11"/>
        <v/>
      </c>
      <c r="G137" s="113"/>
      <c r="H137" s="357"/>
      <c r="I137" s="113"/>
      <c r="J137" s="81"/>
      <c r="L137" s="72" t="str">
        <f t="shared" si="14"/>
        <v/>
      </c>
      <c r="M137" s="72" t="str">
        <f t="shared" si="15"/>
        <v/>
      </c>
    </row>
    <row r="138" spans="1:13">
      <c r="A138" s="333" t="str">
        <f>IF(E138="","",VLOOKUP('OPĆI DIO'!$C$3,'OPĆI DIO'!$L$6:$U$138,10,FALSE))</f>
        <v/>
      </c>
      <c r="B138" s="70" t="str">
        <f>IF(E138="","",VLOOKUP('OPĆI DIO'!$C$3,'OPĆI DIO'!$L$6:$U$138,9,FALSE))</f>
        <v/>
      </c>
      <c r="C138" s="115" t="str">
        <f t="shared" si="13"/>
        <v/>
      </c>
      <c r="D138" s="69" t="str">
        <f t="shared" si="12"/>
        <v/>
      </c>
      <c r="E138" s="81"/>
      <c r="F138" s="118" t="str">
        <f t="shared" si="11"/>
        <v/>
      </c>
      <c r="G138" s="113"/>
      <c r="H138" s="357"/>
      <c r="I138" s="113"/>
      <c r="J138" s="81"/>
      <c r="L138" s="72" t="str">
        <f t="shared" si="14"/>
        <v/>
      </c>
      <c r="M138" s="72" t="str">
        <f t="shared" si="15"/>
        <v/>
      </c>
    </row>
    <row r="139" spans="1:13">
      <c r="A139" s="333" t="str">
        <f>IF(E139="","",VLOOKUP('OPĆI DIO'!$C$3,'OPĆI DIO'!$L$6:$U$138,10,FALSE))</f>
        <v/>
      </c>
      <c r="B139" s="70" t="str">
        <f>IF(E139="","",VLOOKUP('OPĆI DIO'!$C$3,'OPĆI DIO'!$L$6:$U$138,9,FALSE))</f>
        <v/>
      </c>
      <c r="C139" s="115" t="str">
        <f t="shared" si="13"/>
        <v/>
      </c>
      <c r="D139" s="69" t="str">
        <f t="shared" si="12"/>
        <v/>
      </c>
      <c r="E139" s="81"/>
      <c r="F139" s="118" t="str">
        <f t="shared" si="11"/>
        <v/>
      </c>
      <c r="G139" s="113"/>
      <c r="H139" s="357"/>
      <c r="I139" s="113"/>
      <c r="J139" s="81"/>
      <c r="L139" s="72" t="str">
        <f t="shared" si="14"/>
        <v/>
      </c>
      <c r="M139" s="72" t="str">
        <f t="shared" si="15"/>
        <v/>
      </c>
    </row>
    <row r="140" spans="1:13">
      <c r="A140" s="333" t="str">
        <f>IF(E140="","",VLOOKUP('OPĆI DIO'!$C$3,'OPĆI DIO'!$L$6:$U$138,10,FALSE))</f>
        <v/>
      </c>
      <c r="B140" s="70" t="str">
        <f>IF(E140="","",VLOOKUP('OPĆI DIO'!$C$3,'OPĆI DIO'!$L$6:$U$138,9,FALSE))</f>
        <v/>
      </c>
      <c r="C140" s="115" t="str">
        <f t="shared" si="13"/>
        <v/>
      </c>
      <c r="D140" s="69" t="str">
        <f t="shared" si="12"/>
        <v/>
      </c>
      <c r="E140" s="81"/>
      <c r="F140" s="118" t="str">
        <f t="shared" si="11"/>
        <v/>
      </c>
      <c r="G140" s="113"/>
      <c r="H140" s="357"/>
      <c r="I140" s="113"/>
      <c r="J140" s="81"/>
      <c r="L140" s="72" t="str">
        <f t="shared" si="14"/>
        <v/>
      </c>
      <c r="M140" s="72" t="str">
        <f t="shared" si="15"/>
        <v/>
      </c>
    </row>
    <row r="141" spans="1:13">
      <c r="A141" s="333" t="str">
        <f>IF(E141="","",VLOOKUP('OPĆI DIO'!$C$3,'OPĆI DIO'!$L$6:$U$138,10,FALSE))</f>
        <v/>
      </c>
      <c r="B141" s="70" t="str">
        <f>IF(E141="","",VLOOKUP('OPĆI DIO'!$C$3,'OPĆI DIO'!$L$6:$U$138,9,FALSE))</f>
        <v/>
      </c>
      <c r="C141" s="115" t="str">
        <f t="shared" si="13"/>
        <v/>
      </c>
      <c r="D141" s="69" t="str">
        <f t="shared" si="12"/>
        <v/>
      </c>
      <c r="E141" s="81"/>
      <c r="F141" s="118" t="str">
        <f t="shared" si="11"/>
        <v/>
      </c>
      <c r="G141" s="113"/>
      <c r="H141" s="357"/>
      <c r="I141" s="113"/>
      <c r="J141" s="81"/>
      <c r="L141" s="72" t="str">
        <f t="shared" si="14"/>
        <v/>
      </c>
      <c r="M141" s="72" t="str">
        <f t="shared" si="15"/>
        <v/>
      </c>
    </row>
    <row r="142" spans="1:13">
      <c r="A142" s="333" t="str">
        <f>IF(E142="","",VLOOKUP('OPĆI DIO'!$C$3,'OPĆI DIO'!$L$6:$U$138,10,FALSE))</f>
        <v/>
      </c>
      <c r="B142" s="70" t="str">
        <f>IF(E142="","",VLOOKUP('OPĆI DIO'!$C$3,'OPĆI DIO'!$L$6:$U$138,9,FALSE))</f>
        <v/>
      </c>
      <c r="C142" s="115" t="str">
        <f t="shared" si="13"/>
        <v/>
      </c>
      <c r="D142" s="69" t="str">
        <f t="shared" si="12"/>
        <v/>
      </c>
      <c r="E142" s="81"/>
      <c r="F142" s="118" t="str">
        <f t="shared" ref="F142:F205" si="16">IFERROR(VLOOKUP(E142,$R$6:$U$116,2,FALSE),"")</f>
        <v/>
      </c>
      <c r="G142" s="113"/>
      <c r="H142" s="357"/>
      <c r="I142" s="113"/>
      <c r="J142" s="81"/>
      <c r="L142" s="72" t="str">
        <f t="shared" si="14"/>
        <v/>
      </c>
      <c r="M142" s="72" t="str">
        <f t="shared" si="15"/>
        <v/>
      </c>
    </row>
    <row r="143" spans="1:13">
      <c r="A143" s="333" t="str">
        <f>IF(E143="","",VLOOKUP('OPĆI DIO'!$C$3,'OPĆI DIO'!$L$6:$U$138,10,FALSE))</f>
        <v/>
      </c>
      <c r="B143" s="70" t="str">
        <f>IF(E143="","",VLOOKUP('OPĆI DIO'!$C$3,'OPĆI DIO'!$L$6:$U$138,9,FALSE))</f>
        <v/>
      </c>
      <c r="C143" s="115" t="str">
        <f t="shared" si="13"/>
        <v/>
      </c>
      <c r="D143" s="69" t="str">
        <f t="shared" si="12"/>
        <v/>
      </c>
      <c r="E143" s="81"/>
      <c r="F143" s="118" t="str">
        <f t="shared" si="16"/>
        <v/>
      </c>
      <c r="G143" s="113"/>
      <c r="H143" s="357"/>
      <c r="I143" s="113"/>
      <c r="J143" s="81"/>
      <c r="L143" s="72" t="str">
        <f t="shared" si="14"/>
        <v/>
      </c>
      <c r="M143" s="72" t="str">
        <f t="shared" si="15"/>
        <v/>
      </c>
    </row>
    <row r="144" spans="1:13">
      <c r="A144" s="333" t="str">
        <f>IF(E144="","",VLOOKUP('OPĆI DIO'!$C$3,'OPĆI DIO'!$L$6:$U$138,10,FALSE))</f>
        <v/>
      </c>
      <c r="B144" s="70" t="str">
        <f>IF(E144="","",VLOOKUP('OPĆI DIO'!$C$3,'OPĆI DIO'!$L$6:$U$138,9,FALSE))</f>
        <v/>
      </c>
      <c r="C144" s="115" t="str">
        <f t="shared" si="13"/>
        <v/>
      </c>
      <c r="D144" s="69" t="str">
        <f t="shared" si="12"/>
        <v/>
      </c>
      <c r="E144" s="81"/>
      <c r="F144" s="118" t="str">
        <f t="shared" si="16"/>
        <v/>
      </c>
      <c r="G144" s="113"/>
      <c r="H144" s="357"/>
      <c r="I144" s="113"/>
      <c r="J144" s="81"/>
      <c r="L144" s="72" t="str">
        <f t="shared" si="14"/>
        <v/>
      </c>
      <c r="M144" s="72" t="str">
        <f t="shared" si="15"/>
        <v/>
      </c>
    </row>
    <row r="145" spans="1:13">
      <c r="A145" s="333" t="str">
        <f>IF(E145="","",VLOOKUP('OPĆI DIO'!$C$3,'OPĆI DIO'!$L$6:$U$138,10,FALSE))</f>
        <v/>
      </c>
      <c r="B145" s="70" t="str">
        <f>IF(E145="","",VLOOKUP('OPĆI DIO'!$C$3,'OPĆI DIO'!$L$6:$U$138,9,FALSE))</f>
        <v/>
      </c>
      <c r="C145" s="115" t="str">
        <f t="shared" si="13"/>
        <v/>
      </c>
      <c r="D145" s="69" t="str">
        <f t="shared" si="12"/>
        <v/>
      </c>
      <c r="E145" s="81"/>
      <c r="F145" s="118" t="str">
        <f t="shared" si="16"/>
        <v/>
      </c>
      <c r="G145" s="113"/>
      <c r="H145" s="357"/>
      <c r="I145" s="113"/>
      <c r="J145" s="81"/>
      <c r="L145" s="72" t="str">
        <f t="shared" si="14"/>
        <v/>
      </c>
      <c r="M145" s="72" t="str">
        <f t="shared" si="15"/>
        <v/>
      </c>
    </row>
    <row r="146" spans="1:13">
      <c r="A146" s="333" t="str">
        <f>IF(E146="","",VLOOKUP('OPĆI DIO'!$C$3,'OPĆI DIO'!$L$6:$U$138,10,FALSE))</f>
        <v/>
      </c>
      <c r="B146" s="70" t="str">
        <f>IF(E146="","",VLOOKUP('OPĆI DIO'!$C$3,'OPĆI DIO'!$L$6:$U$138,9,FALSE))</f>
        <v/>
      </c>
      <c r="C146" s="115" t="str">
        <f t="shared" si="13"/>
        <v/>
      </c>
      <c r="D146" s="69" t="str">
        <f t="shared" si="12"/>
        <v/>
      </c>
      <c r="E146" s="81"/>
      <c r="F146" s="118" t="str">
        <f t="shared" si="16"/>
        <v/>
      </c>
      <c r="G146" s="113"/>
      <c r="H146" s="357"/>
      <c r="I146" s="113"/>
      <c r="J146" s="81"/>
      <c r="L146" s="72" t="str">
        <f t="shared" si="14"/>
        <v/>
      </c>
      <c r="M146" s="72" t="str">
        <f t="shared" si="15"/>
        <v/>
      </c>
    </row>
    <row r="147" spans="1:13">
      <c r="A147" s="333" t="str">
        <f>IF(E147="","",VLOOKUP('OPĆI DIO'!$C$3,'OPĆI DIO'!$L$6:$U$138,10,FALSE))</f>
        <v/>
      </c>
      <c r="B147" s="70" t="str">
        <f>IF(E147="","",VLOOKUP('OPĆI DIO'!$C$3,'OPĆI DIO'!$L$6:$U$138,9,FALSE))</f>
        <v/>
      </c>
      <c r="C147" s="115" t="str">
        <f t="shared" si="13"/>
        <v/>
      </c>
      <c r="D147" s="69" t="str">
        <f t="shared" si="12"/>
        <v/>
      </c>
      <c r="E147" s="81"/>
      <c r="F147" s="118" t="str">
        <f t="shared" si="16"/>
        <v/>
      </c>
      <c r="G147" s="113"/>
      <c r="H147" s="357"/>
      <c r="I147" s="113"/>
      <c r="J147" s="81"/>
      <c r="L147" s="72" t="str">
        <f t="shared" si="14"/>
        <v/>
      </c>
      <c r="M147" s="72" t="str">
        <f t="shared" si="15"/>
        <v/>
      </c>
    </row>
    <row r="148" spans="1:13">
      <c r="A148" s="333" t="str">
        <f>IF(E148="","",VLOOKUP('OPĆI DIO'!$C$3,'OPĆI DIO'!$L$6:$U$138,10,FALSE))</f>
        <v/>
      </c>
      <c r="B148" s="70" t="str">
        <f>IF(E148="","",VLOOKUP('OPĆI DIO'!$C$3,'OPĆI DIO'!$L$6:$U$138,9,FALSE))</f>
        <v/>
      </c>
      <c r="C148" s="115" t="str">
        <f t="shared" si="13"/>
        <v/>
      </c>
      <c r="D148" s="69" t="str">
        <f t="shared" si="12"/>
        <v/>
      </c>
      <c r="E148" s="81"/>
      <c r="F148" s="118" t="str">
        <f t="shared" si="16"/>
        <v/>
      </c>
      <c r="G148" s="113"/>
      <c r="H148" s="357"/>
      <c r="I148" s="113"/>
      <c r="J148" s="81"/>
      <c r="L148" s="72" t="str">
        <f t="shared" si="14"/>
        <v/>
      </c>
      <c r="M148" s="72" t="str">
        <f t="shared" si="15"/>
        <v/>
      </c>
    </row>
    <row r="149" spans="1:13">
      <c r="A149" s="333" t="str">
        <f>IF(E149="","",VLOOKUP('OPĆI DIO'!$C$3,'OPĆI DIO'!$L$6:$U$138,10,FALSE))</f>
        <v/>
      </c>
      <c r="B149" s="70" t="str">
        <f>IF(E149="","",VLOOKUP('OPĆI DIO'!$C$3,'OPĆI DIO'!$L$6:$U$138,9,FALSE))</f>
        <v/>
      </c>
      <c r="C149" s="115" t="str">
        <f t="shared" si="13"/>
        <v/>
      </c>
      <c r="D149" s="69" t="str">
        <f t="shared" si="12"/>
        <v/>
      </c>
      <c r="E149" s="81"/>
      <c r="F149" s="118" t="str">
        <f t="shared" si="16"/>
        <v/>
      </c>
      <c r="G149" s="113"/>
      <c r="H149" s="357"/>
      <c r="I149" s="113"/>
      <c r="J149" s="81"/>
      <c r="L149" s="72" t="str">
        <f t="shared" si="14"/>
        <v/>
      </c>
      <c r="M149" s="72" t="str">
        <f t="shared" si="15"/>
        <v/>
      </c>
    </row>
    <row r="150" spans="1:13">
      <c r="A150" s="333" t="str">
        <f>IF(E150="","",VLOOKUP('OPĆI DIO'!$C$3,'OPĆI DIO'!$L$6:$U$138,10,FALSE))</f>
        <v/>
      </c>
      <c r="B150" s="70" t="str">
        <f>IF(E150="","",VLOOKUP('OPĆI DIO'!$C$3,'OPĆI DIO'!$L$6:$U$138,9,FALSE))</f>
        <v/>
      </c>
      <c r="C150" s="115" t="str">
        <f t="shared" si="13"/>
        <v/>
      </c>
      <c r="D150" s="69" t="str">
        <f t="shared" si="12"/>
        <v/>
      </c>
      <c r="E150" s="81"/>
      <c r="F150" s="118" t="str">
        <f t="shared" si="16"/>
        <v/>
      </c>
      <c r="G150" s="113"/>
      <c r="H150" s="357"/>
      <c r="I150" s="113"/>
      <c r="J150" s="81"/>
      <c r="L150" s="72" t="str">
        <f t="shared" si="14"/>
        <v/>
      </c>
      <c r="M150" s="72" t="str">
        <f t="shared" si="15"/>
        <v/>
      </c>
    </row>
    <row r="151" spans="1:13">
      <c r="A151" s="333" t="str">
        <f>IF(E151="","",VLOOKUP('OPĆI DIO'!$C$3,'OPĆI DIO'!$L$6:$U$138,10,FALSE))</f>
        <v/>
      </c>
      <c r="B151" s="70" t="str">
        <f>IF(E151="","",VLOOKUP('OPĆI DIO'!$C$3,'OPĆI DIO'!$L$6:$U$138,9,FALSE))</f>
        <v/>
      </c>
      <c r="C151" s="115" t="str">
        <f t="shared" si="13"/>
        <v/>
      </c>
      <c r="D151" s="69" t="str">
        <f t="shared" si="12"/>
        <v/>
      </c>
      <c r="E151" s="81"/>
      <c r="F151" s="118" t="str">
        <f t="shared" si="16"/>
        <v/>
      </c>
      <c r="G151" s="113"/>
      <c r="H151" s="357"/>
      <c r="I151" s="113"/>
      <c r="J151" s="81"/>
      <c r="L151" s="72" t="str">
        <f t="shared" si="14"/>
        <v/>
      </c>
      <c r="M151" s="72" t="str">
        <f t="shared" si="15"/>
        <v/>
      </c>
    </row>
    <row r="152" spans="1:13">
      <c r="A152" s="333" t="str">
        <f>IF(E152="","",VLOOKUP('OPĆI DIO'!$C$3,'OPĆI DIO'!$L$6:$U$138,10,FALSE))</f>
        <v/>
      </c>
      <c r="B152" s="70" t="str">
        <f>IF(E152="","",VLOOKUP('OPĆI DIO'!$C$3,'OPĆI DIO'!$L$6:$U$138,9,FALSE))</f>
        <v/>
      </c>
      <c r="C152" s="115" t="str">
        <f t="shared" si="13"/>
        <v/>
      </c>
      <c r="D152" s="69" t="str">
        <f t="shared" si="12"/>
        <v/>
      </c>
      <c r="E152" s="81"/>
      <c r="F152" s="118" t="str">
        <f t="shared" si="16"/>
        <v/>
      </c>
      <c r="G152" s="113"/>
      <c r="H152" s="357"/>
      <c r="I152" s="113"/>
      <c r="J152" s="81"/>
      <c r="L152" s="72" t="str">
        <f t="shared" si="14"/>
        <v/>
      </c>
      <c r="M152" s="72" t="str">
        <f t="shared" si="15"/>
        <v/>
      </c>
    </row>
    <row r="153" spans="1:13">
      <c r="A153" s="333" t="str">
        <f>IF(E153="","",VLOOKUP('OPĆI DIO'!$C$3,'OPĆI DIO'!$L$6:$U$138,10,FALSE))</f>
        <v/>
      </c>
      <c r="B153" s="70" t="str">
        <f>IF(E153="","",VLOOKUP('OPĆI DIO'!$C$3,'OPĆI DIO'!$L$6:$U$138,9,FALSE))</f>
        <v/>
      </c>
      <c r="C153" s="115" t="str">
        <f t="shared" si="13"/>
        <v/>
      </c>
      <c r="D153" s="69" t="str">
        <f t="shared" si="12"/>
        <v/>
      </c>
      <c r="E153" s="81"/>
      <c r="F153" s="118" t="str">
        <f t="shared" si="16"/>
        <v/>
      </c>
      <c r="G153" s="113"/>
      <c r="H153" s="357"/>
      <c r="I153" s="113"/>
      <c r="J153" s="81"/>
      <c r="L153" s="72" t="str">
        <f t="shared" si="14"/>
        <v/>
      </c>
      <c r="M153" s="72" t="str">
        <f t="shared" si="15"/>
        <v/>
      </c>
    </row>
    <row r="154" spans="1:13">
      <c r="A154" s="333" t="str">
        <f>IF(E154="","",VLOOKUP('OPĆI DIO'!$C$3,'OPĆI DIO'!$L$6:$U$138,10,FALSE))</f>
        <v/>
      </c>
      <c r="B154" s="70" t="str">
        <f>IF(E154="","",VLOOKUP('OPĆI DIO'!$C$3,'OPĆI DIO'!$L$6:$U$138,9,FALSE))</f>
        <v/>
      </c>
      <c r="C154" s="115" t="str">
        <f t="shared" si="13"/>
        <v/>
      </c>
      <c r="D154" s="69" t="str">
        <f t="shared" si="12"/>
        <v/>
      </c>
      <c r="E154" s="81"/>
      <c r="F154" s="118" t="str">
        <f t="shared" si="16"/>
        <v/>
      </c>
      <c r="G154" s="113"/>
      <c r="H154" s="357"/>
      <c r="I154" s="113"/>
      <c r="J154" s="81"/>
      <c r="L154" s="72" t="str">
        <f t="shared" si="14"/>
        <v/>
      </c>
      <c r="M154" s="72" t="str">
        <f t="shared" si="15"/>
        <v/>
      </c>
    </row>
    <row r="155" spans="1:13">
      <c r="A155" s="333" t="str">
        <f>IF(E155="","",VLOOKUP('OPĆI DIO'!$C$3,'OPĆI DIO'!$L$6:$U$138,10,FALSE))</f>
        <v/>
      </c>
      <c r="B155" s="70" t="str">
        <f>IF(E155="","",VLOOKUP('OPĆI DIO'!$C$3,'OPĆI DIO'!$L$6:$U$138,9,FALSE))</f>
        <v/>
      </c>
      <c r="C155" s="115" t="str">
        <f t="shared" si="13"/>
        <v/>
      </c>
      <c r="D155" s="69" t="str">
        <f t="shared" si="12"/>
        <v/>
      </c>
      <c r="E155" s="81"/>
      <c r="F155" s="118" t="str">
        <f t="shared" si="16"/>
        <v/>
      </c>
      <c r="G155" s="113"/>
      <c r="H155" s="357"/>
      <c r="I155" s="113"/>
      <c r="J155" s="81"/>
      <c r="L155" s="72" t="str">
        <f t="shared" si="14"/>
        <v/>
      </c>
      <c r="M155" s="72" t="str">
        <f t="shared" si="15"/>
        <v/>
      </c>
    </row>
    <row r="156" spans="1:13">
      <c r="A156" s="333" t="str">
        <f>IF(E156="","",VLOOKUP('OPĆI DIO'!$C$3,'OPĆI DIO'!$L$6:$U$138,10,FALSE))</f>
        <v/>
      </c>
      <c r="B156" s="70" t="str">
        <f>IF(E156="","",VLOOKUP('OPĆI DIO'!$C$3,'OPĆI DIO'!$L$6:$U$138,9,FALSE))</f>
        <v/>
      </c>
      <c r="C156" s="115" t="str">
        <f t="shared" si="13"/>
        <v/>
      </c>
      <c r="D156" s="69" t="str">
        <f t="shared" si="12"/>
        <v/>
      </c>
      <c r="E156" s="81"/>
      <c r="F156" s="118" t="str">
        <f t="shared" si="16"/>
        <v/>
      </c>
      <c r="G156" s="113"/>
      <c r="H156" s="357"/>
      <c r="I156" s="113"/>
      <c r="J156" s="81"/>
      <c r="L156" s="72" t="str">
        <f t="shared" si="14"/>
        <v/>
      </c>
      <c r="M156" s="72" t="str">
        <f t="shared" si="15"/>
        <v/>
      </c>
    </row>
    <row r="157" spans="1:13">
      <c r="A157" s="333" t="str">
        <f>IF(E157="","",VLOOKUP('OPĆI DIO'!$C$3,'OPĆI DIO'!$L$6:$U$138,10,FALSE))</f>
        <v/>
      </c>
      <c r="B157" s="70" t="str">
        <f>IF(E157="","",VLOOKUP('OPĆI DIO'!$C$3,'OPĆI DIO'!$L$6:$U$138,9,FALSE))</f>
        <v/>
      </c>
      <c r="C157" s="115" t="str">
        <f t="shared" si="13"/>
        <v/>
      </c>
      <c r="D157" s="69" t="str">
        <f t="shared" si="12"/>
        <v/>
      </c>
      <c r="E157" s="81"/>
      <c r="F157" s="118" t="str">
        <f t="shared" si="16"/>
        <v/>
      </c>
      <c r="G157" s="113"/>
      <c r="H157" s="357"/>
      <c r="I157" s="113"/>
      <c r="J157" s="81"/>
      <c r="L157" s="72" t="str">
        <f t="shared" si="14"/>
        <v/>
      </c>
      <c r="M157" s="72" t="str">
        <f t="shared" si="15"/>
        <v/>
      </c>
    </row>
    <row r="158" spans="1:13">
      <c r="A158" s="333" t="str">
        <f>IF(E158="","",VLOOKUP('OPĆI DIO'!$C$3,'OPĆI DIO'!$L$6:$U$138,10,FALSE))</f>
        <v/>
      </c>
      <c r="B158" s="70" t="str">
        <f>IF(E158="","",VLOOKUP('OPĆI DIO'!$C$3,'OPĆI DIO'!$L$6:$U$138,9,FALSE))</f>
        <v/>
      </c>
      <c r="C158" s="115" t="str">
        <f t="shared" si="13"/>
        <v/>
      </c>
      <c r="D158" s="69" t="str">
        <f t="shared" si="12"/>
        <v/>
      </c>
      <c r="E158" s="81"/>
      <c r="F158" s="118" t="str">
        <f t="shared" si="16"/>
        <v/>
      </c>
      <c r="G158" s="113"/>
      <c r="H158" s="357"/>
      <c r="I158" s="113"/>
      <c r="J158" s="81"/>
      <c r="L158" s="72" t="str">
        <f t="shared" si="14"/>
        <v/>
      </c>
      <c r="M158" s="72" t="str">
        <f t="shared" si="15"/>
        <v/>
      </c>
    </row>
    <row r="159" spans="1:13">
      <c r="A159" s="333" t="str">
        <f>IF(E159="","",VLOOKUP('OPĆI DIO'!$C$3,'OPĆI DIO'!$L$6:$U$138,10,FALSE))</f>
        <v/>
      </c>
      <c r="B159" s="70" t="str">
        <f>IF(E159="","",VLOOKUP('OPĆI DIO'!$C$3,'OPĆI DIO'!$L$6:$U$138,9,FALSE))</f>
        <v/>
      </c>
      <c r="C159" s="115" t="str">
        <f t="shared" si="13"/>
        <v/>
      </c>
      <c r="D159" s="69" t="str">
        <f t="shared" si="12"/>
        <v/>
      </c>
      <c r="E159" s="81"/>
      <c r="F159" s="118" t="str">
        <f t="shared" si="16"/>
        <v/>
      </c>
      <c r="G159" s="113"/>
      <c r="H159" s="357"/>
      <c r="I159" s="113"/>
      <c r="J159" s="81"/>
      <c r="L159" s="72" t="str">
        <f t="shared" si="14"/>
        <v/>
      </c>
      <c r="M159" s="72" t="str">
        <f t="shared" si="15"/>
        <v/>
      </c>
    </row>
    <row r="160" spans="1:13">
      <c r="A160" s="333" t="str">
        <f>IF(E160="","",VLOOKUP('OPĆI DIO'!$C$3,'OPĆI DIO'!$L$6:$U$138,10,FALSE))</f>
        <v/>
      </c>
      <c r="B160" s="70" t="str">
        <f>IF(E160="","",VLOOKUP('OPĆI DIO'!$C$3,'OPĆI DIO'!$L$6:$U$138,9,FALSE))</f>
        <v/>
      </c>
      <c r="C160" s="115" t="str">
        <f t="shared" si="13"/>
        <v/>
      </c>
      <c r="D160" s="69" t="str">
        <f t="shared" si="12"/>
        <v/>
      </c>
      <c r="E160" s="81"/>
      <c r="F160" s="118" t="str">
        <f t="shared" si="16"/>
        <v/>
      </c>
      <c r="G160" s="113"/>
      <c r="H160" s="357"/>
      <c r="I160" s="113"/>
      <c r="J160" s="81"/>
      <c r="L160" s="72" t="str">
        <f t="shared" si="14"/>
        <v/>
      </c>
      <c r="M160" s="72" t="str">
        <f t="shared" si="15"/>
        <v/>
      </c>
    </row>
    <row r="161" spans="1:13">
      <c r="A161" s="333" t="str">
        <f>IF(E161="","",VLOOKUP('OPĆI DIO'!$C$3,'OPĆI DIO'!$L$6:$U$138,10,FALSE))</f>
        <v/>
      </c>
      <c r="B161" s="70" t="str">
        <f>IF(E161="","",VLOOKUP('OPĆI DIO'!$C$3,'OPĆI DIO'!$L$6:$U$138,9,FALSE))</f>
        <v/>
      </c>
      <c r="C161" s="115" t="str">
        <f t="shared" si="13"/>
        <v/>
      </c>
      <c r="D161" s="69" t="str">
        <f t="shared" si="12"/>
        <v/>
      </c>
      <c r="E161" s="81"/>
      <c r="F161" s="118" t="str">
        <f t="shared" si="16"/>
        <v/>
      </c>
      <c r="G161" s="113"/>
      <c r="H161" s="357"/>
      <c r="I161" s="113"/>
      <c r="J161" s="81"/>
      <c r="L161" s="72" t="str">
        <f t="shared" si="14"/>
        <v/>
      </c>
      <c r="M161" s="72" t="str">
        <f t="shared" si="15"/>
        <v/>
      </c>
    </row>
    <row r="162" spans="1:13">
      <c r="A162" s="333" t="str">
        <f>IF(E162="","",VLOOKUP('OPĆI DIO'!$C$3,'OPĆI DIO'!$L$6:$U$138,10,FALSE))</f>
        <v/>
      </c>
      <c r="B162" s="70" t="str">
        <f>IF(E162="","",VLOOKUP('OPĆI DIO'!$C$3,'OPĆI DIO'!$L$6:$U$138,9,FALSE))</f>
        <v/>
      </c>
      <c r="C162" s="115" t="str">
        <f t="shared" si="13"/>
        <v/>
      </c>
      <c r="D162" s="69" t="str">
        <f t="shared" si="12"/>
        <v/>
      </c>
      <c r="E162" s="81"/>
      <c r="F162" s="118" t="str">
        <f t="shared" si="16"/>
        <v/>
      </c>
      <c r="G162" s="113"/>
      <c r="H162" s="357"/>
      <c r="I162" s="113"/>
      <c r="J162" s="81"/>
      <c r="L162" s="72" t="str">
        <f t="shared" si="14"/>
        <v/>
      </c>
      <c r="M162" s="72" t="str">
        <f t="shared" si="15"/>
        <v/>
      </c>
    </row>
    <row r="163" spans="1:13">
      <c r="A163" s="333" t="str">
        <f>IF(E163="","",VLOOKUP('OPĆI DIO'!$C$3,'OPĆI DIO'!$L$6:$U$138,10,FALSE))</f>
        <v/>
      </c>
      <c r="B163" s="70" t="str">
        <f>IF(E163="","",VLOOKUP('OPĆI DIO'!$C$3,'OPĆI DIO'!$L$6:$U$138,9,FALSE))</f>
        <v/>
      </c>
      <c r="C163" s="115" t="str">
        <f t="shared" si="13"/>
        <v/>
      </c>
      <c r="D163" s="69" t="str">
        <f t="shared" si="12"/>
        <v/>
      </c>
      <c r="E163" s="81"/>
      <c r="F163" s="118" t="str">
        <f t="shared" si="16"/>
        <v/>
      </c>
      <c r="G163" s="113"/>
      <c r="H163" s="357"/>
      <c r="I163" s="113"/>
      <c r="J163" s="81"/>
      <c r="L163" s="72" t="str">
        <f t="shared" si="14"/>
        <v/>
      </c>
      <c r="M163" s="72" t="str">
        <f t="shared" si="15"/>
        <v/>
      </c>
    </row>
    <row r="164" spans="1:13">
      <c r="A164" s="333" t="str">
        <f>IF(E164="","",VLOOKUP('OPĆI DIO'!$C$3,'OPĆI DIO'!$L$6:$U$138,10,FALSE))</f>
        <v/>
      </c>
      <c r="B164" s="70" t="str">
        <f>IF(E164="","",VLOOKUP('OPĆI DIO'!$C$3,'OPĆI DIO'!$L$6:$U$138,9,FALSE))</f>
        <v/>
      </c>
      <c r="C164" s="115" t="str">
        <f t="shared" si="13"/>
        <v/>
      </c>
      <c r="D164" s="69" t="str">
        <f t="shared" si="12"/>
        <v/>
      </c>
      <c r="E164" s="81"/>
      <c r="F164" s="118" t="str">
        <f t="shared" si="16"/>
        <v/>
      </c>
      <c r="G164" s="113"/>
      <c r="H164" s="357"/>
      <c r="I164" s="113"/>
      <c r="J164" s="81"/>
      <c r="L164" s="72" t="str">
        <f t="shared" si="14"/>
        <v/>
      </c>
      <c r="M164" s="72" t="str">
        <f t="shared" si="15"/>
        <v/>
      </c>
    </row>
    <row r="165" spans="1:13">
      <c r="A165" s="333" t="str">
        <f>IF(E165="","",VLOOKUP('OPĆI DIO'!$C$3,'OPĆI DIO'!$L$6:$U$138,10,FALSE))</f>
        <v/>
      </c>
      <c r="B165" s="70" t="str">
        <f>IF(E165="","",VLOOKUP('OPĆI DIO'!$C$3,'OPĆI DIO'!$L$6:$U$138,9,FALSE))</f>
        <v/>
      </c>
      <c r="C165" s="115" t="str">
        <f t="shared" si="13"/>
        <v/>
      </c>
      <c r="D165" s="69" t="str">
        <f t="shared" si="12"/>
        <v/>
      </c>
      <c r="E165" s="81"/>
      <c r="F165" s="118" t="str">
        <f t="shared" si="16"/>
        <v/>
      </c>
      <c r="G165" s="113"/>
      <c r="H165" s="357"/>
      <c r="I165" s="113"/>
      <c r="J165" s="81"/>
      <c r="L165" s="72" t="str">
        <f t="shared" si="14"/>
        <v/>
      </c>
      <c r="M165" s="72" t="str">
        <f t="shared" si="15"/>
        <v/>
      </c>
    </row>
    <row r="166" spans="1:13">
      <c r="A166" s="333" t="str">
        <f>IF(E166="","",VLOOKUP('OPĆI DIO'!$C$3,'OPĆI DIO'!$L$6:$U$138,10,FALSE))</f>
        <v/>
      </c>
      <c r="B166" s="70" t="str">
        <f>IF(E166="","",VLOOKUP('OPĆI DIO'!$C$3,'OPĆI DIO'!$L$6:$U$138,9,FALSE))</f>
        <v/>
      </c>
      <c r="C166" s="115" t="str">
        <f t="shared" si="13"/>
        <v/>
      </c>
      <c r="D166" s="69" t="str">
        <f t="shared" si="12"/>
        <v/>
      </c>
      <c r="E166" s="81"/>
      <c r="F166" s="118" t="str">
        <f t="shared" si="16"/>
        <v/>
      </c>
      <c r="G166" s="113"/>
      <c r="H166" s="357"/>
      <c r="I166" s="113"/>
      <c r="J166" s="81"/>
      <c r="L166" s="72" t="str">
        <f t="shared" si="14"/>
        <v/>
      </c>
      <c r="M166" s="72" t="str">
        <f t="shared" si="15"/>
        <v/>
      </c>
    </row>
    <row r="167" spans="1:13">
      <c r="A167" s="333" t="str">
        <f>IF(E167="","",VLOOKUP('OPĆI DIO'!$C$3,'OPĆI DIO'!$L$6:$U$138,10,FALSE))</f>
        <v/>
      </c>
      <c r="B167" s="70" t="str">
        <f>IF(E167="","",VLOOKUP('OPĆI DIO'!$C$3,'OPĆI DIO'!$L$6:$U$138,9,FALSE))</f>
        <v/>
      </c>
      <c r="C167" s="115" t="str">
        <f t="shared" si="13"/>
        <v/>
      </c>
      <c r="D167" s="69" t="str">
        <f t="shared" si="12"/>
        <v/>
      </c>
      <c r="E167" s="81"/>
      <c r="F167" s="118" t="str">
        <f t="shared" si="16"/>
        <v/>
      </c>
      <c r="G167" s="113"/>
      <c r="H167" s="357"/>
      <c r="I167" s="113"/>
      <c r="J167" s="81"/>
      <c r="L167" s="72" t="str">
        <f t="shared" si="14"/>
        <v/>
      </c>
      <c r="M167" s="72" t="str">
        <f t="shared" si="15"/>
        <v/>
      </c>
    </row>
    <row r="168" spans="1:13">
      <c r="A168" s="333" t="str">
        <f>IF(E168="","",VLOOKUP('OPĆI DIO'!$C$3,'OPĆI DIO'!$L$6:$U$138,10,FALSE))</f>
        <v/>
      </c>
      <c r="B168" s="70" t="str">
        <f>IF(E168="","",VLOOKUP('OPĆI DIO'!$C$3,'OPĆI DIO'!$L$6:$U$138,9,FALSE))</f>
        <v/>
      </c>
      <c r="C168" s="115" t="str">
        <f t="shared" si="13"/>
        <v/>
      </c>
      <c r="D168" s="69" t="str">
        <f t="shared" si="12"/>
        <v/>
      </c>
      <c r="E168" s="81"/>
      <c r="F168" s="118" t="str">
        <f t="shared" si="16"/>
        <v/>
      </c>
      <c r="G168" s="113"/>
      <c r="H168" s="357"/>
      <c r="I168" s="113"/>
      <c r="J168" s="81"/>
      <c r="L168" s="72" t="str">
        <f t="shared" si="14"/>
        <v/>
      </c>
      <c r="M168" s="72" t="str">
        <f t="shared" si="15"/>
        <v/>
      </c>
    </row>
    <row r="169" spans="1:13">
      <c r="A169" s="333" t="str">
        <f>IF(E169="","",VLOOKUP('OPĆI DIO'!$C$3,'OPĆI DIO'!$L$6:$U$138,10,FALSE))</f>
        <v/>
      </c>
      <c r="B169" s="70" t="str">
        <f>IF(E169="","",VLOOKUP('OPĆI DIO'!$C$3,'OPĆI DIO'!$L$6:$U$138,9,FALSE))</f>
        <v/>
      </c>
      <c r="C169" s="115" t="str">
        <f t="shared" si="13"/>
        <v/>
      </c>
      <c r="D169" s="69" t="str">
        <f t="shared" si="12"/>
        <v/>
      </c>
      <c r="E169" s="81"/>
      <c r="F169" s="118" t="str">
        <f t="shared" si="16"/>
        <v/>
      </c>
      <c r="G169" s="113"/>
      <c r="H169" s="357"/>
      <c r="I169" s="113"/>
      <c r="J169" s="81"/>
      <c r="L169" s="72" t="str">
        <f t="shared" si="14"/>
        <v/>
      </c>
      <c r="M169" s="72" t="str">
        <f t="shared" si="15"/>
        <v/>
      </c>
    </row>
    <row r="170" spans="1:13">
      <c r="A170" s="333" t="str">
        <f>IF(E170="","",VLOOKUP('OPĆI DIO'!$C$3,'OPĆI DIO'!$L$6:$U$138,10,FALSE))</f>
        <v/>
      </c>
      <c r="B170" s="70" t="str">
        <f>IF(E170="","",VLOOKUP('OPĆI DIO'!$C$3,'OPĆI DIO'!$L$6:$U$138,9,FALSE))</f>
        <v/>
      </c>
      <c r="C170" s="115" t="str">
        <f t="shared" si="13"/>
        <v/>
      </c>
      <c r="D170" s="69" t="str">
        <f t="shared" si="12"/>
        <v/>
      </c>
      <c r="E170" s="81"/>
      <c r="F170" s="118" t="str">
        <f t="shared" si="16"/>
        <v/>
      </c>
      <c r="G170" s="113"/>
      <c r="H170" s="357"/>
      <c r="I170" s="113"/>
      <c r="J170" s="81"/>
      <c r="L170" s="72" t="str">
        <f t="shared" si="14"/>
        <v/>
      </c>
      <c r="M170" s="72" t="str">
        <f t="shared" si="15"/>
        <v/>
      </c>
    </row>
    <row r="171" spans="1:13">
      <c r="A171" s="333" t="str">
        <f>IF(E171="","",VLOOKUP('OPĆI DIO'!$C$3,'OPĆI DIO'!$L$6:$U$138,10,FALSE))</f>
        <v/>
      </c>
      <c r="B171" s="70" t="str">
        <f>IF(E171="","",VLOOKUP('OPĆI DIO'!$C$3,'OPĆI DIO'!$L$6:$U$138,9,FALSE))</f>
        <v/>
      </c>
      <c r="C171" s="115" t="str">
        <f t="shared" si="13"/>
        <v/>
      </c>
      <c r="D171" s="69" t="str">
        <f t="shared" si="12"/>
        <v/>
      </c>
      <c r="E171" s="81"/>
      <c r="F171" s="118" t="str">
        <f t="shared" si="16"/>
        <v/>
      </c>
      <c r="G171" s="113"/>
      <c r="H171" s="357"/>
      <c r="I171" s="113"/>
      <c r="J171" s="81"/>
      <c r="L171" s="72" t="str">
        <f t="shared" si="14"/>
        <v/>
      </c>
      <c r="M171" s="72" t="str">
        <f t="shared" si="15"/>
        <v/>
      </c>
    </row>
    <row r="172" spans="1:13">
      <c r="A172" s="333" t="str">
        <f>IF(E172="","",VLOOKUP('OPĆI DIO'!$C$3,'OPĆI DIO'!$L$6:$U$138,10,FALSE))</f>
        <v/>
      </c>
      <c r="B172" s="70" t="str">
        <f>IF(E172="","",VLOOKUP('OPĆI DIO'!$C$3,'OPĆI DIO'!$L$6:$U$138,9,FALSE))</f>
        <v/>
      </c>
      <c r="C172" s="115" t="str">
        <f t="shared" si="13"/>
        <v/>
      </c>
      <c r="D172" s="69" t="str">
        <f t="shared" si="12"/>
        <v/>
      </c>
      <c r="E172" s="81"/>
      <c r="F172" s="118" t="str">
        <f t="shared" si="16"/>
        <v/>
      </c>
      <c r="G172" s="113"/>
      <c r="H172" s="357"/>
      <c r="I172" s="113"/>
      <c r="J172" s="81"/>
      <c r="L172" s="72" t="str">
        <f t="shared" si="14"/>
        <v/>
      </c>
      <c r="M172" s="72" t="str">
        <f t="shared" si="15"/>
        <v/>
      </c>
    </row>
    <row r="173" spans="1:13">
      <c r="A173" s="333" t="str">
        <f>IF(E173="","",VLOOKUP('OPĆI DIO'!$C$3,'OPĆI DIO'!$L$6:$U$138,10,FALSE))</f>
        <v/>
      </c>
      <c r="B173" s="70" t="str">
        <f>IF(E173="","",VLOOKUP('OPĆI DIO'!$C$3,'OPĆI DIO'!$L$6:$U$138,9,FALSE))</f>
        <v/>
      </c>
      <c r="C173" s="115" t="str">
        <f t="shared" si="13"/>
        <v/>
      </c>
      <c r="D173" s="69" t="str">
        <f t="shared" si="12"/>
        <v/>
      </c>
      <c r="E173" s="81"/>
      <c r="F173" s="118" t="str">
        <f t="shared" si="16"/>
        <v/>
      </c>
      <c r="G173" s="113"/>
      <c r="H173" s="357"/>
      <c r="I173" s="113"/>
      <c r="J173" s="81"/>
      <c r="L173" s="72" t="str">
        <f t="shared" si="14"/>
        <v/>
      </c>
      <c r="M173" s="72" t="str">
        <f t="shared" si="15"/>
        <v/>
      </c>
    </row>
    <row r="174" spans="1:13">
      <c r="A174" s="333" t="str">
        <f>IF(E174="","",VLOOKUP('OPĆI DIO'!$C$3,'OPĆI DIO'!$L$6:$U$138,10,FALSE))</f>
        <v/>
      </c>
      <c r="B174" s="70" t="str">
        <f>IF(E174="","",VLOOKUP('OPĆI DIO'!$C$3,'OPĆI DIO'!$L$6:$U$138,9,FALSE))</f>
        <v/>
      </c>
      <c r="C174" s="115" t="str">
        <f t="shared" si="13"/>
        <v/>
      </c>
      <c r="D174" s="69" t="str">
        <f t="shared" si="12"/>
        <v/>
      </c>
      <c r="E174" s="81"/>
      <c r="F174" s="118" t="str">
        <f t="shared" si="16"/>
        <v/>
      </c>
      <c r="G174" s="113"/>
      <c r="H174" s="357"/>
      <c r="I174" s="113"/>
      <c r="J174" s="81"/>
      <c r="L174" s="72" t="str">
        <f t="shared" si="14"/>
        <v/>
      </c>
      <c r="M174" s="72" t="str">
        <f t="shared" si="15"/>
        <v/>
      </c>
    </row>
    <row r="175" spans="1:13">
      <c r="A175" s="333" t="str">
        <f>IF(E175="","",VLOOKUP('OPĆI DIO'!$C$3,'OPĆI DIO'!$L$6:$U$138,10,FALSE))</f>
        <v/>
      </c>
      <c r="B175" s="70" t="str">
        <f>IF(E175="","",VLOOKUP('OPĆI DIO'!$C$3,'OPĆI DIO'!$L$6:$U$138,9,FALSE))</f>
        <v/>
      </c>
      <c r="C175" s="115" t="str">
        <f t="shared" si="13"/>
        <v/>
      </c>
      <c r="D175" s="69" t="str">
        <f t="shared" si="12"/>
        <v/>
      </c>
      <c r="E175" s="81"/>
      <c r="F175" s="118" t="str">
        <f t="shared" si="16"/>
        <v/>
      </c>
      <c r="G175" s="113"/>
      <c r="H175" s="357"/>
      <c r="I175" s="113"/>
      <c r="J175" s="81"/>
      <c r="L175" s="72" t="str">
        <f t="shared" si="14"/>
        <v/>
      </c>
      <c r="M175" s="72" t="str">
        <f t="shared" si="15"/>
        <v/>
      </c>
    </row>
    <row r="176" spans="1:13">
      <c r="A176" s="333" t="str">
        <f>IF(E176="","",VLOOKUP('OPĆI DIO'!$C$3,'OPĆI DIO'!$L$6:$U$138,10,FALSE))</f>
        <v/>
      </c>
      <c r="B176" s="70" t="str">
        <f>IF(E176="","",VLOOKUP('OPĆI DIO'!$C$3,'OPĆI DIO'!$L$6:$U$138,9,FALSE))</f>
        <v/>
      </c>
      <c r="C176" s="115" t="str">
        <f t="shared" si="13"/>
        <v/>
      </c>
      <c r="D176" s="69" t="str">
        <f t="shared" si="12"/>
        <v/>
      </c>
      <c r="E176" s="81"/>
      <c r="F176" s="118" t="str">
        <f t="shared" si="16"/>
        <v/>
      </c>
      <c r="G176" s="113"/>
      <c r="H176" s="357"/>
      <c r="I176" s="113"/>
      <c r="J176" s="81"/>
      <c r="L176" s="72" t="str">
        <f t="shared" si="14"/>
        <v/>
      </c>
      <c r="M176" s="72" t="str">
        <f t="shared" si="15"/>
        <v/>
      </c>
    </row>
    <row r="177" spans="1:13">
      <c r="A177" s="333" t="str">
        <f>IF(E177="","",VLOOKUP('OPĆI DIO'!$C$3,'OPĆI DIO'!$L$6:$U$138,10,FALSE))</f>
        <v/>
      </c>
      <c r="B177" s="70" t="str">
        <f>IF(E177="","",VLOOKUP('OPĆI DIO'!$C$3,'OPĆI DIO'!$L$6:$U$138,9,FALSE))</f>
        <v/>
      </c>
      <c r="C177" s="115" t="str">
        <f t="shared" si="13"/>
        <v/>
      </c>
      <c r="D177" s="69" t="str">
        <f t="shared" si="12"/>
        <v/>
      </c>
      <c r="E177" s="81"/>
      <c r="F177" s="118" t="str">
        <f t="shared" si="16"/>
        <v/>
      </c>
      <c r="G177" s="113"/>
      <c r="H177" s="357"/>
      <c r="I177" s="113"/>
      <c r="J177" s="81"/>
      <c r="L177" s="72" t="str">
        <f t="shared" si="14"/>
        <v/>
      </c>
      <c r="M177" s="72" t="str">
        <f t="shared" si="15"/>
        <v/>
      </c>
    </row>
    <row r="178" spans="1:13">
      <c r="A178" s="333" t="str">
        <f>IF(E178="","",VLOOKUP('OPĆI DIO'!$C$3,'OPĆI DIO'!$L$6:$U$138,10,FALSE))</f>
        <v/>
      </c>
      <c r="B178" s="70" t="str">
        <f>IF(E178="","",VLOOKUP('OPĆI DIO'!$C$3,'OPĆI DIO'!$L$6:$U$138,9,FALSE))</f>
        <v/>
      </c>
      <c r="C178" s="115" t="str">
        <f t="shared" si="13"/>
        <v/>
      </c>
      <c r="D178" s="69" t="str">
        <f t="shared" si="12"/>
        <v/>
      </c>
      <c r="E178" s="81"/>
      <c r="F178" s="118" t="str">
        <f t="shared" si="16"/>
        <v/>
      </c>
      <c r="G178" s="113"/>
      <c r="H178" s="357"/>
      <c r="I178" s="113"/>
      <c r="J178" s="81"/>
      <c r="L178" s="72" t="str">
        <f t="shared" si="14"/>
        <v/>
      </c>
      <c r="M178" s="72" t="str">
        <f t="shared" si="15"/>
        <v/>
      </c>
    </row>
    <row r="179" spans="1:13">
      <c r="A179" s="333" t="str">
        <f>IF(E179="","",VLOOKUP('OPĆI DIO'!$C$3,'OPĆI DIO'!$L$6:$U$138,10,FALSE))</f>
        <v/>
      </c>
      <c r="B179" s="70" t="str">
        <f>IF(E179="","",VLOOKUP('OPĆI DIO'!$C$3,'OPĆI DIO'!$L$6:$U$138,9,FALSE))</f>
        <v/>
      </c>
      <c r="C179" s="115" t="str">
        <f t="shared" si="13"/>
        <v/>
      </c>
      <c r="D179" s="69" t="str">
        <f t="shared" si="12"/>
        <v/>
      </c>
      <c r="E179" s="81"/>
      <c r="F179" s="118" t="str">
        <f t="shared" si="16"/>
        <v/>
      </c>
      <c r="G179" s="113"/>
      <c r="H179" s="357"/>
      <c r="I179" s="113"/>
      <c r="J179" s="81"/>
      <c r="L179" s="72" t="str">
        <f t="shared" si="14"/>
        <v/>
      </c>
      <c r="M179" s="72" t="str">
        <f t="shared" si="15"/>
        <v/>
      </c>
    </row>
    <row r="180" spans="1:13">
      <c r="A180" s="333" t="str">
        <f>IF(E180="","",VLOOKUP('OPĆI DIO'!$C$3,'OPĆI DIO'!$L$6:$U$138,10,FALSE))</f>
        <v/>
      </c>
      <c r="B180" s="70" t="str">
        <f>IF(E180="","",VLOOKUP('OPĆI DIO'!$C$3,'OPĆI DIO'!$L$6:$U$138,9,FALSE))</f>
        <v/>
      </c>
      <c r="C180" s="115" t="str">
        <f t="shared" si="13"/>
        <v/>
      </c>
      <c r="D180" s="69" t="str">
        <f t="shared" si="12"/>
        <v/>
      </c>
      <c r="E180" s="81"/>
      <c r="F180" s="118" t="str">
        <f t="shared" si="16"/>
        <v/>
      </c>
      <c r="G180" s="113"/>
      <c r="H180" s="357"/>
      <c r="I180" s="113"/>
      <c r="J180" s="81"/>
      <c r="L180" s="72" t="str">
        <f t="shared" si="14"/>
        <v/>
      </c>
      <c r="M180" s="72" t="str">
        <f t="shared" si="15"/>
        <v/>
      </c>
    </row>
    <row r="181" spans="1:13">
      <c r="A181" s="333" t="str">
        <f>IF(E181="","",VLOOKUP('OPĆI DIO'!$C$3,'OPĆI DIO'!$L$6:$U$138,10,FALSE))</f>
        <v/>
      </c>
      <c r="B181" s="70" t="str">
        <f>IF(E181="","",VLOOKUP('OPĆI DIO'!$C$3,'OPĆI DIO'!$L$6:$U$138,9,FALSE))</f>
        <v/>
      </c>
      <c r="C181" s="115" t="str">
        <f t="shared" si="13"/>
        <v/>
      </c>
      <c r="D181" s="69" t="str">
        <f t="shared" si="12"/>
        <v/>
      </c>
      <c r="E181" s="81"/>
      <c r="F181" s="118" t="str">
        <f t="shared" si="16"/>
        <v/>
      </c>
      <c r="G181" s="113"/>
      <c r="H181" s="357"/>
      <c r="I181" s="113"/>
      <c r="J181" s="81"/>
      <c r="L181" s="72" t="str">
        <f t="shared" si="14"/>
        <v/>
      </c>
      <c r="M181" s="72" t="str">
        <f t="shared" si="15"/>
        <v/>
      </c>
    </row>
    <row r="182" spans="1:13">
      <c r="A182" s="333" t="str">
        <f>IF(E182="","",VLOOKUP('OPĆI DIO'!$C$3,'OPĆI DIO'!$L$6:$U$138,10,FALSE))</f>
        <v/>
      </c>
      <c r="B182" s="70" t="str">
        <f>IF(E182="","",VLOOKUP('OPĆI DIO'!$C$3,'OPĆI DIO'!$L$6:$U$138,9,FALSE))</f>
        <v/>
      </c>
      <c r="C182" s="115" t="str">
        <f t="shared" si="13"/>
        <v/>
      </c>
      <c r="D182" s="69" t="str">
        <f t="shared" si="12"/>
        <v/>
      </c>
      <c r="E182" s="81"/>
      <c r="F182" s="118" t="str">
        <f t="shared" si="16"/>
        <v/>
      </c>
      <c r="G182" s="113"/>
      <c r="H182" s="357"/>
      <c r="I182" s="113"/>
      <c r="J182" s="81"/>
      <c r="L182" s="72" t="str">
        <f t="shared" si="14"/>
        <v/>
      </c>
      <c r="M182" s="72" t="str">
        <f t="shared" si="15"/>
        <v/>
      </c>
    </row>
    <row r="183" spans="1:13">
      <c r="A183" s="333" t="str">
        <f>IF(E183="","",VLOOKUP('OPĆI DIO'!$C$3,'OPĆI DIO'!$L$6:$U$138,10,FALSE))</f>
        <v/>
      </c>
      <c r="B183" s="70" t="str">
        <f>IF(E183="","",VLOOKUP('OPĆI DIO'!$C$3,'OPĆI DIO'!$L$6:$U$138,9,FALSE))</f>
        <v/>
      </c>
      <c r="C183" s="115" t="str">
        <f t="shared" si="13"/>
        <v/>
      </c>
      <c r="D183" s="69" t="str">
        <f t="shared" si="12"/>
        <v/>
      </c>
      <c r="E183" s="81"/>
      <c r="F183" s="118" t="str">
        <f t="shared" si="16"/>
        <v/>
      </c>
      <c r="G183" s="113"/>
      <c r="H183" s="357"/>
      <c r="I183" s="113"/>
      <c r="J183" s="81"/>
      <c r="L183" s="72" t="str">
        <f t="shared" si="14"/>
        <v/>
      </c>
      <c r="M183" s="72" t="str">
        <f t="shared" si="15"/>
        <v/>
      </c>
    </row>
    <row r="184" spans="1:13">
      <c r="A184" s="333" t="str">
        <f>IF(E184="","",VLOOKUP('OPĆI DIO'!$C$3,'OPĆI DIO'!$L$6:$U$138,10,FALSE))</f>
        <v/>
      </c>
      <c r="B184" s="70" t="str">
        <f>IF(E184="","",VLOOKUP('OPĆI DIO'!$C$3,'OPĆI DIO'!$L$6:$U$138,9,FALSE))</f>
        <v/>
      </c>
      <c r="C184" s="115" t="str">
        <f t="shared" si="13"/>
        <v/>
      </c>
      <c r="D184" s="69" t="str">
        <f t="shared" si="12"/>
        <v/>
      </c>
      <c r="E184" s="81"/>
      <c r="F184" s="118" t="str">
        <f t="shared" si="16"/>
        <v/>
      </c>
      <c r="G184" s="113"/>
      <c r="H184" s="357"/>
      <c r="I184" s="113"/>
      <c r="J184" s="81"/>
      <c r="L184" s="72" t="str">
        <f t="shared" si="14"/>
        <v/>
      </c>
      <c r="M184" s="72" t="str">
        <f t="shared" si="15"/>
        <v/>
      </c>
    </row>
    <row r="185" spans="1:13">
      <c r="A185" s="333" t="str">
        <f>IF(E185="","",VLOOKUP('OPĆI DIO'!$C$3,'OPĆI DIO'!$L$6:$U$138,10,FALSE))</f>
        <v/>
      </c>
      <c r="B185" s="70" t="str">
        <f>IF(E185="","",VLOOKUP('OPĆI DIO'!$C$3,'OPĆI DIO'!$L$6:$U$138,9,FALSE))</f>
        <v/>
      </c>
      <c r="C185" s="115" t="str">
        <f t="shared" si="13"/>
        <v/>
      </c>
      <c r="D185" s="69" t="str">
        <f t="shared" si="12"/>
        <v/>
      </c>
      <c r="E185" s="81"/>
      <c r="F185" s="118" t="str">
        <f t="shared" si="16"/>
        <v/>
      </c>
      <c r="G185" s="113"/>
      <c r="H185" s="357"/>
      <c r="I185" s="113"/>
      <c r="J185" s="81"/>
      <c r="L185" s="72" t="str">
        <f t="shared" si="14"/>
        <v/>
      </c>
      <c r="M185" s="72" t="str">
        <f t="shared" si="15"/>
        <v/>
      </c>
    </row>
    <row r="186" spans="1:13">
      <c r="A186" s="333" t="str">
        <f>IF(E186="","",VLOOKUP('OPĆI DIO'!$C$3,'OPĆI DIO'!$L$6:$U$138,10,FALSE))</f>
        <v/>
      </c>
      <c r="B186" s="70" t="str">
        <f>IF(E186="","",VLOOKUP('OPĆI DIO'!$C$3,'OPĆI DIO'!$L$6:$U$138,9,FALSE))</f>
        <v/>
      </c>
      <c r="C186" s="115" t="str">
        <f t="shared" si="13"/>
        <v/>
      </c>
      <c r="D186" s="69" t="str">
        <f t="shared" si="12"/>
        <v/>
      </c>
      <c r="E186" s="81"/>
      <c r="F186" s="118" t="str">
        <f t="shared" si="16"/>
        <v/>
      </c>
      <c r="G186" s="113"/>
      <c r="H186" s="357"/>
      <c r="I186" s="113"/>
      <c r="J186" s="81"/>
      <c r="L186" s="72" t="str">
        <f t="shared" si="14"/>
        <v/>
      </c>
      <c r="M186" s="72" t="str">
        <f t="shared" si="15"/>
        <v/>
      </c>
    </row>
    <row r="187" spans="1:13">
      <c r="A187" s="333" t="str">
        <f>IF(E187="","",VLOOKUP('OPĆI DIO'!$C$3,'OPĆI DIO'!$L$6:$U$138,10,FALSE))</f>
        <v/>
      </c>
      <c r="B187" s="70" t="str">
        <f>IF(E187="","",VLOOKUP('OPĆI DIO'!$C$3,'OPĆI DIO'!$L$6:$U$138,9,FALSE))</f>
        <v/>
      </c>
      <c r="C187" s="115" t="str">
        <f t="shared" si="13"/>
        <v/>
      </c>
      <c r="D187" s="69" t="str">
        <f t="shared" si="12"/>
        <v/>
      </c>
      <c r="E187" s="81"/>
      <c r="F187" s="118" t="str">
        <f t="shared" si="16"/>
        <v/>
      </c>
      <c r="G187" s="113"/>
      <c r="H187" s="357"/>
      <c r="I187" s="113"/>
      <c r="J187" s="81"/>
      <c r="L187" s="72" t="str">
        <f t="shared" si="14"/>
        <v/>
      </c>
      <c r="M187" s="72" t="str">
        <f t="shared" si="15"/>
        <v/>
      </c>
    </row>
    <row r="188" spans="1:13">
      <c r="A188" s="333" t="str">
        <f>IF(E188="","",VLOOKUP('OPĆI DIO'!$C$3,'OPĆI DIO'!$L$6:$U$138,10,FALSE))</f>
        <v/>
      </c>
      <c r="B188" s="70" t="str">
        <f>IF(E188="","",VLOOKUP('OPĆI DIO'!$C$3,'OPĆI DIO'!$L$6:$U$138,9,FALSE))</f>
        <v/>
      </c>
      <c r="C188" s="115" t="str">
        <f t="shared" si="13"/>
        <v/>
      </c>
      <c r="D188" s="69" t="str">
        <f t="shared" si="12"/>
        <v/>
      </c>
      <c r="E188" s="81"/>
      <c r="F188" s="118" t="str">
        <f t="shared" si="16"/>
        <v/>
      </c>
      <c r="G188" s="113"/>
      <c r="H188" s="357"/>
      <c r="I188" s="113"/>
      <c r="J188" s="81"/>
      <c r="L188" s="72" t="str">
        <f t="shared" si="14"/>
        <v/>
      </c>
      <c r="M188" s="72" t="str">
        <f t="shared" si="15"/>
        <v/>
      </c>
    </row>
    <row r="189" spans="1:13">
      <c r="A189" s="333" t="str">
        <f>IF(E189="","",VLOOKUP('OPĆI DIO'!$C$3,'OPĆI DIO'!$L$6:$U$138,10,FALSE))</f>
        <v/>
      </c>
      <c r="B189" s="70" t="str">
        <f>IF(E189="","",VLOOKUP('OPĆI DIO'!$C$3,'OPĆI DIO'!$L$6:$U$138,9,FALSE))</f>
        <v/>
      </c>
      <c r="C189" s="115" t="str">
        <f t="shared" si="13"/>
        <v/>
      </c>
      <c r="D189" s="69" t="str">
        <f t="shared" si="12"/>
        <v/>
      </c>
      <c r="E189" s="81"/>
      <c r="F189" s="118" t="str">
        <f t="shared" si="16"/>
        <v/>
      </c>
      <c r="G189" s="113"/>
      <c r="H189" s="357"/>
      <c r="I189" s="113"/>
      <c r="J189" s="81"/>
      <c r="L189" s="72" t="str">
        <f t="shared" si="14"/>
        <v/>
      </c>
      <c r="M189" s="72" t="str">
        <f t="shared" si="15"/>
        <v/>
      </c>
    </row>
    <row r="190" spans="1:13">
      <c r="A190" s="333" t="str">
        <f>IF(E190="","",VLOOKUP('OPĆI DIO'!$C$3,'OPĆI DIO'!$L$6:$U$138,10,FALSE))</f>
        <v/>
      </c>
      <c r="B190" s="70" t="str">
        <f>IF(E190="","",VLOOKUP('OPĆI DIO'!$C$3,'OPĆI DIO'!$L$6:$U$138,9,FALSE))</f>
        <v/>
      </c>
      <c r="C190" s="115" t="str">
        <f t="shared" si="13"/>
        <v/>
      </c>
      <c r="D190" s="69" t="str">
        <f t="shared" si="12"/>
        <v/>
      </c>
      <c r="E190" s="81"/>
      <c r="F190" s="118" t="str">
        <f t="shared" si="16"/>
        <v/>
      </c>
      <c r="G190" s="113"/>
      <c r="H190" s="357"/>
      <c r="I190" s="113"/>
      <c r="J190" s="81"/>
      <c r="L190" s="72" t="str">
        <f t="shared" si="14"/>
        <v/>
      </c>
      <c r="M190" s="72" t="str">
        <f t="shared" si="15"/>
        <v/>
      </c>
    </row>
    <row r="191" spans="1:13">
      <c r="A191" s="333" t="str">
        <f>IF(E191="","",VLOOKUP('OPĆI DIO'!$C$3,'OPĆI DIO'!$L$6:$U$138,10,FALSE))</f>
        <v/>
      </c>
      <c r="B191" s="70" t="str">
        <f>IF(E191="","",VLOOKUP('OPĆI DIO'!$C$3,'OPĆI DIO'!$L$6:$U$138,9,FALSE))</f>
        <v/>
      </c>
      <c r="C191" s="115" t="str">
        <f t="shared" si="13"/>
        <v/>
      </c>
      <c r="D191" s="69" t="str">
        <f t="shared" si="12"/>
        <v/>
      </c>
      <c r="E191" s="81"/>
      <c r="F191" s="118" t="str">
        <f t="shared" si="16"/>
        <v/>
      </c>
      <c r="G191" s="113"/>
      <c r="H191" s="357"/>
      <c r="I191" s="113"/>
      <c r="J191" s="81"/>
      <c r="L191" s="72" t="str">
        <f t="shared" si="14"/>
        <v/>
      </c>
      <c r="M191" s="72" t="str">
        <f t="shared" si="15"/>
        <v/>
      </c>
    </row>
    <row r="192" spans="1:13">
      <c r="A192" s="333" t="str">
        <f>IF(E192="","",VLOOKUP('OPĆI DIO'!$C$3,'OPĆI DIO'!$L$6:$U$138,10,FALSE))</f>
        <v/>
      </c>
      <c r="B192" s="70" t="str">
        <f>IF(E192="","",VLOOKUP('OPĆI DIO'!$C$3,'OPĆI DIO'!$L$6:$U$138,9,FALSE))</f>
        <v/>
      </c>
      <c r="C192" s="115" t="str">
        <f t="shared" si="13"/>
        <v/>
      </c>
      <c r="D192" s="69" t="str">
        <f t="shared" si="12"/>
        <v/>
      </c>
      <c r="E192" s="81"/>
      <c r="F192" s="118" t="str">
        <f t="shared" si="16"/>
        <v/>
      </c>
      <c r="G192" s="113"/>
      <c r="H192" s="357"/>
      <c r="I192" s="113"/>
      <c r="J192" s="81"/>
      <c r="L192" s="72" t="str">
        <f t="shared" si="14"/>
        <v/>
      </c>
      <c r="M192" s="72" t="str">
        <f t="shared" si="15"/>
        <v/>
      </c>
    </row>
    <row r="193" spans="1:13">
      <c r="A193" s="333" t="str">
        <f>IF(E193="","",VLOOKUP('OPĆI DIO'!$C$3,'OPĆI DIO'!$L$6:$U$138,10,FALSE))</f>
        <v/>
      </c>
      <c r="B193" s="70" t="str">
        <f>IF(E193="","",VLOOKUP('OPĆI DIO'!$C$3,'OPĆI DIO'!$L$6:$U$138,9,FALSE))</f>
        <v/>
      </c>
      <c r="C193" s="115" t="str">
        <f t="shared" si="13"/>
        <v/>
      </c>
      <c r="D193" s="69" t="str">
        <f t="shared" si="12"/>
        <v/>
      </c>
      <c r="E193" s="81"/>
      <c r="F193" s="118" t="str">
        <f t="shared" si="16"/>
        <v/>
      </c>
      <c r="G193" s="113"/>
      <c r="H193" s="357"/>
      <c r="I193" s="113"/>
      <c r="J193" s="81"/>
      <c r="L193" s="72" t="str">
        <f t="shared" si="14"/>
        <v/>
      </c>
      <c r="M193" s="72" t="str">
        <f t="shared" si="15"/>
        <v/>
      </c>
    </row>
    <row r="194" spans="1:13">
      <c r="A194" s="333" t="str">
        <f>IF(E194="","",VLOOKUP('OPĆI DIO'!$C$3,'OPĆI DIO'!$L$6:$U$138,10,FALSE))</f>
        <v/>
      </c>
      <c r="B194" s="70" t="str">
        <f>IF(E194="","",VLOOKUP('OPĆI DIO'!$C$3,'OPĆI DIO'!$L$6:$U$138,9,FALSE))</f>
        <v/>
      </c>
      <c r="C194" s="115" t="str">
        <f t="shared" si="13"/>
        <v/>
      </c>
      <c r="D194" s="69" t="str">
        <f t="shared" si="12"/>
        <v/>
      </c>
      <c r="E194" s="81"/>
      <c r="F194" s="118" t="str">
        <f t="shared" si="16"/>
        <v/>
      </c>
      <c r="G194" s="113"/>
      <c r="H194" s="357"/>
      <c r="I194" s="113"/>
      <c r="J194" s="81"/>
      <c r="L194" s="72" t="str">
        <f t="shared" si="14"/>
        <v/>
      </c>
      <c r="M194" s="72" t="str">
        <f t="shared" si="15"/>
        <v/>
      </c>
    </row>
    <row r="195" spans="1:13">
      <c r="A195" s="333" t="str">
        <f>IF(E195="","",VLOOKUP('OPĆI DIO'!$C$3,'OPĆI DIO'!$L$6:$U$138,10,FALSE))</f>
        <v/>
      </c>
      <c r="B195" s="70" t="str">
        <f>IF(E195="","",VLOOKUP('OPĆI DIO'!$C$3,'OPĆI DIO'!$L$6:$U$138,9,FALSE))</f>
        <v/>
      </c>
      <c r="C195" s="115" t="str">
        <f t="shared" si="13"/>
        <v/>
      </c>
      <c r="D195" s="69" t="str">
        <f t="shared" si="12"/>
        <v/>
      </c>
      <c r="E195" s="81"/>
      <c r="F195" s="118" t="str">
        <f t="shared" si="16"/>
        <v/>
      </c>
      <c r="G195" s="113"/>
      <c r="H195" s="357"/>
      <c r="I195" s="113"/>
      <c r="J195" s="81"/>
      <c r="L195" s="72" t="str">
        <f t="shared" si="14"/>
        <v/>
      </c>
      <c r="M195" s="72" t="str">
        <f t="shared" si="15"/>
        <v/>
      </c>
    </row>
    <row r="196" spans="1:13">
      <c r="A196" s="333" t="str">
        <f>IF(E196="","",VLOOKUP('OPĆI DIO'!$C$3,'OPĆI DIO'!$L$6:$U$138,10,FALSE))</f>
        <v/>
      </c>
      <c r="B196" s="70" t="str">
        <f>IF(E196="","",VLOOKUP('OPĆI DIO'!$C$3,'OPĆI DIO'!$L$6:$U$138,9,FALSE))</f>
        <v/>
      </c>
      <c r="C196" s="115" t="str">
        <f t="shared" si="13"/>
        <v/>
      </c>
      <c r="D196" s="69" t="str">
        <f t="shared" ref="D196:D259" si="17">IFERROR(VLOOKUP(E196,$R$6:$U$116,4,FALSE),"")</f>
        <v/>
      </c>
      <c r="E196" s="81"/>
      <c r="F196" s="118" t="str">
        <f t="shared" si="16"/>
        <v/>
      </c>
      <c r="G196" s="113"/>
      <c r="H196" s="357"/>
      <c r="I196" s="113"/>
      <c r="J196" s="81"/>
      <c r="L196" s="72" t="str">
        <f t="shared" si="14"/>
        <v/>
      </c>
      <c r="M196" s="72" t="str">
        <f t="shared" si="15"/>
        <v/>
      </c>
    </row>
    <row r="197" spans="1:13">
      <c r="A197" s="333" t="str">
        <f>IF(E197="","",VLOOKUP('OPĆI DIO'!$C$3,'OPĆI DIO'!$L$6:$U$138,10,FALSE))</f>
        <v/>
      </c>
      <c r="B197" s="70" t="str">
        <f>IF(E197="","",VLOOKUP('OPĆI DIO'!$C$3,'OPĆI DIO'!$L$6:$U$138,9,FALSE))</f>
        <v/>
      </c>
      <c r="C197" s="115" t="str">
        <f t="shared" si="13"/>
        <v/>
      </c>
      <c r="D197" s="69" t="str">
        <f t="shared" si="17"/>
        <v/>
      </c>
      <c r="E197" s="81"/>
      <c r="F197" s="118" t="str">
        <f t="shared" si="16"/>
        <v/>
      </c>
      <c r="G197" s="113"/>
      <c r="H197" s="357"/>
      <c r="I197" s="113"/>
      <c r="J197" s="81"/>
      <c r="L197" s="72" t="str">
        <f t="shared" si="14"/>
        <v/>
      </c>
      <c r="M197" s="72" t="str">
        <f t="shared" si="15"/>
        <v/>
      </c>
    </row>
    <row r="198" spans="1:13">
      <c r="A198" s="333" t="str">
        <f>IF(E198="","",VLOOKUP('OPĆI DIO'!$C$3,'OPĆI DIO'!$L$6:$U$138,10,FALSE))</f>
        <v/>
      </c>
      <c r="B198" s="70" t="str">
        <f>IF(E198="","",VLOOKUP('OPĆI DIO'!$C$3,'OPĆI DIO'!$L$6:$U$138,9,FALSE))</f>
        <v/>
      </c>
      <c r="C198" s="115" t="str">
        <f t="shared" ref="C198:C261" si="18">IFERROR(VLOOKUP(E198,$R$6:$U$116,3,FALSE),"")</f>
        <v/>
      </c>
      <c r="D198" s="69" t="str">
        <f t="shared" si="17"/>
        <v/>
      </c>
      <c r="E198" s="81"/>
      <c r="F198" s="118" t="str">
        <f t="shared" si="16"/>
        <v/>
      </c>
      <c r="G198" s="113"/>
      <c r="H198" s="357"/>
      <c r="I198" s="113"/>
      <c r="J198" s="81"/>
      <c r="L198" s="72" t="str">
        <f t="shared" si="14"/>
        <v/>
      </c>
      <c r="M198" s="72" t="str">
        <f t="shared" si="15"/>
        <v/>
      </c>
    </row>
    <row r="199" spans="1:13">
      <c r="A199" s="333" t="str">
        <f>IF(E199="","",VLOOKUP('OPĆI DIO'!$C$3,'OPĆI DIO'!$L$6:$U$138,10,FALSE))</f>
        <v/>
      </c>
      <c r="B199" s="70" t="str">
        <f>IF(E199="","",VLOOKUP('OPĆI DIO'!$C$3,'OPĆI DIO'!$L$6:$U$138,9,FALSE))</f>
        <v/>
      </c>
      <c r="C199" s="115" t="str">
        <f t="shared" si="18"/>
        <v/>
      </c>
      <c r="D199" s="69" t="str">
        <f t="shared" si="17"/>
        <v/>
      </c>
      <c r="E199" s="81"/>
      <c r="F199" s="118" t="str">
        <f t="shared" si="16"/>
        <v/>
      </c>
      <c r="G199" s="113"/>
      <c r="H199" s="357"/>
      <c r="I199" s="113"/>
      <c r="J199" s="81"/>
      <c r="L199" s="72" t="str">
        <f t="shared" ref="L199:L262" si="19">LEFT(E199,2)</f>
        <v/>
      </c>
      <c r="M199" s="72" t="str">
        <f t="shared" ref="M199:M262" si="20">LEFT(E199,3)</f>
        <v/>
      </c>
    </row>
    <row r="200" spans="1:13">
      <c r="A200" s="333" t="str">
        <f>IF(E200="","",VLOOKUP('OPĆI DIO'!$C$3,'OPĆI DIO'!$L$6:$U$138,10,FALSE))</f>
        <v/>
      </c>
      <c r="B200" s="70" t="str">
        <f>IF(E200="","",VLOOKUP('OPĆI DIO'!$C$3,'OPĆI DIO'!$L$6:$U$138,9,FALSE))</f>
        <v/>
      </c>
      <c r="C200" s="115" t="str">
        <f t="shared" si="18"/>
        <v/>
      </c>
      <c r="D200" s="69" t="str">
        <f t="shared" si="17"/>
        <v/>
      </c>
      <c r="E200" s="81"/>
      <c r="F200" s="118" t="str">
        <f t="shared" si="16"/>
        <v/>
      </c>
      <c r="G200" s="113"/>
      <c r="H200" s="357"/>
      <c r="I200" s="113"/>
      <c r="J200" s="81"/>
      <c r="L200" s="72" t="str">
        <f t="shared" si="19"/>
        <v/>
      </c>
      <c r="M200" s="72" t="str">
        <f t="shared" si="20"/>
        <v/>
      </c>
    </row>
    <row r="201" spans="1:13">
      <c r="A201" s="333" t="str">
        <f>IF(E201="","",VLOOKUP('OPĆI DIO'!$C$3,'OPĆI DIO'!$L$6:$U$138,10,FALSE))</f>
        <v/>
      </c>
      <c r="B201" s="70" t="str">
        <f>IF(E201="","",VLOOKUP('OPĆI DIO'!$C$3,'OPĆI DIO'!$L$6:$U$138,9,FALSE))</f>
        <v/>
      </c>
      <c r="C201" s="115" t="str">
        <f t="shared" si="18"/>
        <v/>
      </c>
      <c r="D201" s="69" t="str">
        <f t="shared" si="17"/>
        <v/>
      </c>
      <c r="E201" s="81"/>
      <c r="F201" s="118" t="str">
        <f t="shared" si="16"/>
        <v/>
      </c>
      <c r="G201" s="113"/>
      <c r="H201" s="357"/>
      <c r="I201" s="113"/>
      <c r="J201" s="81"/>
      <c r="L201" s="72" t="str">
        <f t="shared" si="19"/>
        <v/>
      </c>
      <c r="M201" s="72" t="str">
        <f t="shared" si="20"/>
        <v/>
      </c>
    </row>
    <row r="202" spans="1:13">
      <c r="A202" s="333" t="str">
        <f>IF(E202="","",VLOOKUP('OPĆI DIO'!$C$3,'OPĆI DIO'!$L$6:$U$138,10,FALSE))</f>
        <v/>
      </c>
      <c r="B202" s="70" t="str">
        <f>IF(E202="","",VLOOKUP('OPĆI DIO'!$C$3,'OPĆI DIO'!$L$6:$U$138,9,FALSE))</f>
        <v/>
      </c>
      <c r="C202" s="115" t="str">
        <f t="shared" si="18"/>
        <v/>
      </c>
      <c r="D202" s="69" t="str">
        <f t="shared" si="17"/>
        <v/>
      </c>
      <c r="E202" s="81"/>
      <c r="F202" s="118" t="str">
        <f t="shared" si="16"/>
        <v/>
      </c>
      <c r="G202" s="113"/>
      <c r="H202" s="357"/>
      <c r="I202" s="113"/>
      <c r="J202" s="81"/>
      <c r="L202" s="72" t="str">
        <f t="shared" si="19"/>
        <v/>
      </c>
      <c r="M202" s="72" t="str">
        <f t="shared" si="20"/>
        <v/>
      </c>
    </row>
    <row r="203" spans="1:13">
      <c r="A203" s="333" t="str">
        <f>IF(E203="","",VLOOKUP('OPĆI DIO'!$C$3,'OPĆI DIO'!$L$6:$U$138,10,FALSE))</f>
        <v/>
      </c>
      <c r="B203" s="70" t="str">
        <f>IF(E203="","",VLOOKUP('OPĆI DIO'!$C$3,'OPĆI DIO'!$L$6:$U$138,9,FALSE))</f>
        <v/>
      </c>
      <c r="C203" s="115" t="str">
        <f t="shared" si="18"/>
        <v/>
      </c>
      <c r="D203" s="69" t="str">
        <f t="shared" si="17"/>
        <v/>
      </c>
      <c r="E203" s="81"/>
      <c r="F203" s="118" t="str">
        <f t="shared" si="16"/>
        <v/>
      </c>
      <c r="G203" s="113"/>
      <c r="H203" s="357"/>
      <c r="I203" s="113"/>
      <c r="J203" s="81"/>
      <c r="L203" s="72" t="str">
        <f t="shared" si="19"/>
        <v/>
      </c>
      <c r="M203" s="72" t="str">
        <f t="shared" si="20"/>
        <v/>
      </c>
    </row>
    <row r="204" spans="1:13">
      <c r="A204" s="333" t="str">
        <f>IF(E204="","",VLOOKUP('OPĆI DIO'!$C$3,'OPĆI DIO'!$L$6:$U$138,10,FALSE))</f>
        <v/>
      </c>
      <c r="B204" s="70" t="str">
        <f>IF(E204="","",VLOOKUP('OPĆI DIO'!$C$3,'OPĆI DIO'!$L$6:$U$138,9,FALSE))</f>
        <v/>
      </c>
      <c r="C204" s="115" t="str">
        <f t="shared" si="18"/>
        <v/>
      </c>
      <c r="D204" s="69" t="str">
        <f t="shared" si="17"/>
        <v/>
      </c>
      <c r="E204" s="81"/>
      <c r="F204" s="118" t="str">
        <f t="shared" si="16"/>
        <v/>
      </c>
      <c r="G204" s="113"/>
      <c r="H204" s="357"/>
      <c r="I204" s="113"/>
      <c r="J204" s="81"/>
      <c r="L204" s="72" t="str">
        <f t="shared" si="19"/>
        <v/>
      </c>
      <c r="M204" s="72" t="str">
        <f t="shared" si="20"/>
        <v/>
      </c>
    </row>
    <row r="205" spans="1:13">
      <c r="A205" s="333" t="str">
        <f>IF(E205="","",VLOOKUP('OPĆI DIO'!$C$3,'OPĆI DIO'!$L$6:$U$138,10,FALSE))</f>
        <v/>
      </c>
      <c r="B205" s="70" t="str">
        <f>IF(E205="","",VLOOKUP('OPĆI DIO'!$C$3,'OPĆI DIO'!$L$6:$U$138,9,FALSE))</f>
        <v/>
      </c>
      <c r="C205" s="115" t="str">
        <f t="shared" si="18"/>
        <v/>
      </c>
      <c r="D205" s="69" t="str">
        <f t="shared" si="17"/>
        <v/>
      </c>
      <c r="E205" s="81"/>
      <c r="F205" s="118" t="str">
        <f t="shared" si="16"/>
        <v/>
      </c>
      <c r="G205" s="113"/>
      <c r="H205" s="357"/>
      <c r="I205" s="113"/>
      <c r="J205" s="81"/>
      <c r="L205" s="72" t="str">
        <f t="shared" si="19"/>
        <v/>
      </c>
      <c r="M205" s="72" t="str">
        <f t="shared" si="20"/>
        <v/>
      </c>
    </row>
    <row r="206" spans="1:13">
      <c r="A206" s="333" t="str">
        <f>IF(E206="","",VLOOKUP('OPĆI DIO'!$C$3,'OPĆI DIO'!$L$6:$U$138,10,FALSE))</f>
        <v/>
      </c>
      <c r="B206" s="70" t="str">
        <f>IF(E206="","",VLOOKUP('OPĆI DIO'!$C$3,'OPĆI DIO'!$L$6:$U$138,9,FALSE))</f>
        <v/>
      </c>
      <c r="C206" s="115" t="str">
        <f t="shared" si="18"/>
        <v/>
      </c>
      <c r="D206" s="69" t="str">
        <f t="shared" si="17"/>
        <v/>
      </c>
      <c r="E206" s="81"/>
      <c r="F206" s="118" t="str">
        <f t="shared" ref="F206:F269" si="21">IFERROR(VLOOKUP(E206,$R$6:$U$116,2,FALSE),"")</f>
        <v/>
      </c>
      <c r="G206" s="113"/>
      <c r="H206" s="357"/>
      <c r="I206" s="113"/>
      <c r="J206" s="81"/>
      <c r="L206" s="72" t="str">
        <f t="shared" si="19"/>
        <v/>
      </c>
      <c r="M206" s="72" t="str">
        <f t="shared" si="20"/>
        <v/>
      </c>
    </row>
    <row r="207" spans="1:13">
      <c r="A207" s="333" t="str">
        <f>IF(E207="","",VLOOKUP('OPĆI DIO'!$C$3,'OPĆI DIO'!$L$6:$U$138,10,FALSE))</f>
        <v/>
      </c>
      <c r="B207" s="70" t="str">
        <f>IF(E207="","",VLOOKUP('OPĆI DIO'!$C$3,'OPĆI DIO'!$L$6:$U$138,9,FALSE))</f>
        <v/>
      </c>
      <c r="C207" s="115" t="str">
        <f t="shared" si="18"/>
        <v/>
      </c>
      <c r="D207" s="69" t="str">
        <f t="shared" si="17"/>
        <v/>
      </c>
      <c r="E207" s="81"/>
      <c r="F207" s="118" t="str">
        <f t="shared" si="21"/>
        <v/>
      </c>
      <c r="G207" s="113"/>
      <c r="H207" s="357"/>
      <c r="I207" s="113"/>
      <c r="J207" s="81"/>
      <c r="L207" s="72" t="str">
        <f t="shared" si="19"/>
        <v/>
      </c>
      <c r="M207" s="72" t="str">
        <f t="shared" si="20"/>
        <v/>
      </c>
    </row>
    <row r="208" spans="1:13">
      <c r="A208" s="333" t="str">
        <f>IF(E208="","",VLOOKUP('OPĆI DIO'!$C$3,'OPĆI DIO'!$L$6:$U$138,10,FALSE))</f>
        <v/>
      </c>
      <c r="B208" s="70" t="str">
        <f>IF(E208="","",VLOOKUP('OPĆI DIO'!$C$3,'OPĆI DIO'!$L$6:$U$138,9,FALSE))</f>
        <v/>
      </c>
      <c r="C208" s="115" t="str">
        <f t="shared" si="18"/>
        <v/>
      </c>
      <c r="D208" s="69" t="str">
        <f t="shared" si="17"/>
        <v/>
      </c>
      <c r="E208" s="81"/>
      <c r="F208" s="118" t="str">
        <f t="shared" si="21"/>
        <v/>
      </c>
      <c r="G208" s="113"/>
      <c r="H208" s="357"/>
      <c r="I208" s="113"/>
      <c r="J208" s="81"/>
      <c r="L208" s="72" t="str">
        <f t="shared" si="19"/>
        <v/>
      </c>
      <c r="M208" s="72" t="str">
        <f t="shared" si="20"/>
        <v/>
      </c>
    </row>
    <row r="209" spans="1:13">
      <c r="A209" s="333" t="str">
        <f>IF(E209="","",VLOOKUP('OPĆI DIO'!$C$3,'OPĆI DIO'!$L$6:$U$138,10,FALSE))</f>
        <v/>
      </c>
      <c r="B209" s="70" t="str">
        <f>IF(E209="","",VLOOKUP('OPĆI DIO'!$C$3,'OPĆI DIO'!$L$6:$U$138,9,FALSE))</f>
        <v/>
      </c>
      <c r="C209" s="115" t="str">
        <f t="shared" si="18"/>
        <v/>
      </c>
      <c r="D209" s="69" t="str">
        <f t="shared" si="17"/>
        <v/>
      </c>
      <c r="E209" s="81"/>
      <c r="F209" s="118" t="str">
        <f t="shared" si="21"/>
        <v/>
      </c>
      <c r="G209" s="113"/>
      <c r="H209" s="357"/>
      <c r="I209" s="113"/>
      <c r="J209" s="81"/>
      <c r="L209" s="72" t="str">
        <f t="shared" si="19"/>
        <v/>
      </c>
      <c r="M209" s="72" t="str">
        <f t="shared" si="20"/>
        <v/>
      </c>
    </row>
    <row r="210" spans="1:13">
      <c r="A210" s="333" t="str">
        <f>IF(E210="","",VLOOKUP('OPĆI DIO'!$C$3,'OPĆI DIO'!$L$6:$U$138,10,FALSE))</f>
        <v/>
      </c>
      <c r="B210" s="70" t="str">
        <f>IF(E210="","",VLOOKUP('OPĆI DIO'!$C$3,'OPĆI DIO'!$L$6:$U$138,9,FALSE))</f>
        <v/>
      </c>
      <c r="C210" s="115" t="str">
        <f t="shared" si="18"/>
        <v/>
      </c>
      <c r="D210" s="69" t="str">
        <f t="shared" si="17"/>
        <v/>
      </c>
      <c r="E210" s="81"/>
      <c r="F210" s="118" t="str">
        <f t="shared" si="21"/>
        <v/>
      </c>
      <c r="G210" s="113"/>
      <c r="H210" s="357"/>
      <c r="I210" s="113"/>
      <c r="J210" s="81"/>
      <c r="L210" s="72" t="str">
        <f t="shared" si="19"/>
        <v/>
      </c>
      <c r="M210" s="72" t="str">
        <f t="shared" si="20"/>
        <v/>
      </c>
    </row>
    <row r="211" spans="1:13">
      <c r="A211" s="333" t="str">
        <f>IF(E211="","",VLOOKUP('OPĆI DIO'!$C$3,'OPĆI DIO'!$L$6:$U$138,10,FALSE))</f>
        <v/>
      </c>
      <c r="B211" s="70" t="str">
        <f>IF(E211="","",VLOOKUP('OPĆI DIO'!$C$3,'OPĆI DIO'!$L$6:$U$138,9,FALSE))</f>
        <v/>
      </c>
      <c r="C211" s="115" t="str">
        <f t="shared" si="18"/>
        <v/>
      </c>
      <c r="D211" s="69" t="str">
        <f t="shared" si="17"/>
        <v/>
      </c>
      <c r="E211" s="81"/>
      <c r="F211" s="118" t="str">
        <f t="shared" si="21"/>
        <v/>
      </c>
      <c r="G211" s="113"/>
      <c r="H211" s="357"/>
      <c r="I211" s="113"/>
      <c r="J211" s="81"/>
      <c r="L211" s="72" t="str">
        <f t="shared" si="19"/>
        <v/>
      </c>
      <c r="M211" s="72" t="str">
        <f t="shared" si="20"/>
        <v/>
      </c>
    </row>
    <row r="212" spans="1:13">
      <c r="A212" s="333" t="str">
        <f>IF(E212="","",VLOOKUP('OPĆI DIO'!$C$3,'OPĆI DIO'!$L$6:$U$138,10,FALSE))</f>
        <v/>
      </c>
      <c r="B212" s="70" t="str">
        <f>IF(E212="","",VLOOKUP('OPĆI DIO'!$C$3,'OPĆI DIO'!$L$6:$U$138,9,FALSE))</f>
        <v/>
      </c>
      <c r="C212" s="115" t="str">
        <f t="shared" si="18"/>
        <v/>
      </c>
      <c r="D212" s="69" t="str">
        <f t="shared" si="17"/>
        <v/>
      </c>
      <c r="E212" s="81"/>
      <c r="F212" s="118" t="str">
        <f t="shared" si="21"/>
        <v/>
      </c>
      <c r="G212" s="113"/>
      <c r="H212" s="357"/>
      <c r="I212" s="113"/>
      <c r="J212" s="81"/>
      <c r="L212" s="72" t="str">
        <f t="shared" si="19"/>
        <v/>
      </c>
      <c r="M212" s="72" t="str">
        <f t="shared" si="20"/>
        <v/>
      </c>
    </row>
    <row r="213" spans="1:13">
      <c r="A213" s="333" t="str">
        <f>IF(E213="","",VLOOKUP('OPĆI DIO'!$C$3,'OPĆI DIO'!$L$6:$U$138,10,FALSE))</f>
        <v/>
      </c>
      <c r="B213" s="70" t="str">
        <f>IF(E213="","",VLOOKUP('OPĆI DIO'!$C$3,'OPĆI DIO'!$L$6:$U$138,9,FALSE))</f>
        <v/>
      </c>
      <c r="C213" s="115" t="str">
        <f t="shared" si="18"/>
        <v/>
      </c>
      <c r="D213" s="69" t="str">
        <f t="shared" si="17"/>
        <v/>
      </c>
      <c r="E213" s="81"/>
      <c r="F213" s="118" t="str">
        <f t="shared" si="21"/>
        <v/>
      </c>
      <c r="G213" s="113"/>
      <c r="H213" s="357"/>
      <c r="I213" s="113"/>
      <c r="J213" s="81"/>
      <c r="L213" s="72" t="str">
        <f t="shared" si="19"/>
        <v/>
      </c>
      <c r="M213" s="72" t="str">
        <f t="shared" si="20"/>
        <v/>
      </c>
    </row>
    <row r="214" spans="1:13">
      <c r="A214" s="333" t="str">
        <f>IF(E214="","",VLOOKUP('OPĆI DIO'!$C$3,'OPĆI DIO'!$L$6:$U$138,10,FALSE))</f>
        <v/>
      </c>
      <c r="B214" s="70" t="str">
        <f>IF(E214="","",VLOOKUP('OPĆI DIO'!$C$3,'OPĆI DIO'!$L$6:$U$138,9,FALSE))</f>
        <v/>
      </c>
      <c r="C214" s="115" t="str">
        <f t="shared" si="18"/>
        <v/>
      </c>
      <c r="D214" s="69" t="str">
        <f t="shared" si="17"/>
        <v/>
      </c>
      <c r="E214" s="81"/>
      <c r="F214" s="118" t="str">
        <f t="shared" si="21"/>
        <v/>
      </c>
      <c r="G214" s="113"/>
      <c r="H214" s="357"/>
      <c r="I214" s="113"/>
      <c r="J214" s="81"/>
      <c r="L214" s="72" t="str">
        <f t="shared" si="19"/>
        <v/>
      </c>
      <c r="M214" s="72" t="str">
        <f t="shared" si="20"/>
        <v/>
      </c>
    </row>
    <row r="215" spans="1:13">
      <c r="A215" s="333" t="str">
        <f>IF(E215="","",VLOOKUP('OPĆI DIO'!$C$3,'OPĆI DIO'!$L$6:$U$138,10,FALSE))</f>
        <v/>
      </c>
      <c r="B215" s="70" t="str">
        <f>IF(E215="","",VLOOKUP('OPĆI DIO'!$C$3,'OPĆI DIO'!$L$6:$U$138,9,FALSE))</f>
        <v/>
      </c>
      <c r="C215" s="115" t="str">
        <f t="shared" si="18"/>
        <v/>
      </c>
      <c r="D215" s="69" t="str">
        <f t="shared" si="17"/>
        <v/>
      </c>
      <c r="E215" s="81"/>
      <c r="F215" s="118" t="str">
        <f t="shared" si="21"/>
        <v/>
      </c>
      <c r="G215" s="113"/>
      <c r="H215" s="357"/>
      <c r="I215" s="113"/>
      <c r="J215" s="81"/>
      <c r="L215" s="72" t="str">
        <f t="shared" si="19"/>
        <v/>
      </c>
      <c r="M215" s="72" t="str">
        <f t="shared" si="20"/>
        <v/>
      </c>
    </row>
    <row r="216" spans="1:13">
      <c r="A216" s="333" t="str">
        <f>IF(E216="","",VLOOKUP('OPĆI DIO'!$C$3,'OPĆI DIO'!$L$6:$U$138,10,FALSE))</f>
        <v/>
      </c>
      <c r="B216" s="70" t="str">
        <f>IF(E216="","",VLOOKUP('OPĆI DIO'!$C$3,'OPĆI DIO'!$L$6:$U$138,9,FALSE))</f>
        <v/>
      </c>
      <c r="C216" s="115" t="str">
        <f t="shared" si="18"/>
        <v/>
      </c>
      <c r="D216" s="69" t="str">
        <f t="shared" si="17"/>
        <v/>
      </c>
      <c r="E216" s="81"/>
      <c r="F216" s="118" t="str">
        <f t="shared" si="21"/>
        <v/>
      </c>
      <c r="G216" s="113"/>
      <c r="H216" s="357"/>
      <c r="I216" s="113"/>
      <c r="J216" s="81"/>
      <c r="L216" s="72" t="str">
        <f t="shared" si="19"/>
        <v/>
      </c>
      <c r="M216" s="72" t="str">
        <f t="shared" si="20"/>
        <v/>
      </c>
    </row>
    <row r="217" spans="1:13">
      <c r="A217" s="333" t="str">
        <f>IF(E217="","",VLOOKUP('OPĆI DIO'!$C$3,'OPĆI DIO'!$L$6:$U$138,10,FALSE))</f>
        <v/>
      </c>
      <c r="B217" s="70" t="str">
        <f>IF(E217="","",VLOOKUP('OPĆI DIO'!$C$3,'OPĆI DIO'!$L$6:$U$138,9,FALSE))</f>
        <v/>
      </c>
      <c r="C217" s="115" t="str">
        <f t="shared" si="18"/>
        <v/>
      </c>
      <c r="D217" s="69" t="str">
        <f t="shared" si="17"/>
        <v/>
      </c>
      <c r="E217" s="81"/>
      <c r="F217" s="118" t="str">
        <f t="shared" si="21"/>
        <v/>
      </c>
      <c r="G217" s="113"/>
      <c r="H217" s="357"/>
      <c r="I217" s="113"/>
      <c r="J217" s="81"/>
      <c r="L217" s="72" t="str">
        <f t="shared" si="19"/>
        <v/>
      </c>
      <c r="M217" s="72" t="str">
        <f t="shared" si="20"/>
        <v/>
      </c>
    </row>
    <row r="218" spans="1:13">
      <c r="A218" s="333" t="str">
        <f>IF(E218="","",VLOOKUP('OPĆI DIO'!$C$3,'OPĆI DIO'!$L$6:$U$138,10,FALSE))</f>
        <v/>
      </c>
      <c r="B218" s="70" t="str">
        <f>IF(E218="","",VLOOKUP('OPĆI DIO'!$C$3,'OPĆI DIO'!$L$6:$U$138,9,FALSE))</f>
        <v/>
      </c>
      <c r="C218" s="115" t="str">
        <f t="shared" si="18"/>
        <v/>
      </c>
      <c r="D218" s="69" t="str">
        <f t="shared" si="17"/>
        <v/>
      </c>
      <c r="E218" s="81"/>
      <c r="F218" s="118" t="str">
        <f t="shared" si="21"/>
        <v/>
      </c>
      <c r="G218" s="113"/>
      <c r="H218" s="357"/>
      <c r="I218" s="113"/>
      <c r="J218" s="81"/>
      <c r="L218" s="72" t="str">
        <f t="shared" si="19"/>
        <v/>
      </c>
      <c r="M218" s="72" t="str">
        <f t="shared" si="20"/>
        <v/>
      </c>
    </row>
    <row r="219" spans="1:13">
      <c r="A219" s="333" t="str">
        <f>IF(E219="","",VLOOKUP('OPĆI DIO'!$C$3,'OPĆI DIO'!$L$6:$U$138,10,FALSE))</f>
        <v/>
      </c>
      <c r="B219" s="70" t="str">
        <f>IF(E219="","",VLOOKUP('OPĆI DIO'!$C$3,'OPĆI DIO'!$L$6:$U$138,9,FALSE))</f>
        <v/>
      </c>
      <c r="C219" s="115" t="str">
        <f t="shared" si="18"/>
        <v/>
      </c>
      <c r="D219" s="69" t="str">
        <f t="shared" si="17"/>
        <v/>
      </c>
      <c r="E219" s="81"/>
      <c r="F219" s="118" t="str">
        <f t="shared" si="21"/>
        <v/>
      </c>
      <c r="G219" s="113"/>
      <c r="H219" s="357"/>
      <c r="I219" s="113"/>
      <c r="J219" s="81"/>
      <c r="L219" s="72" t="str">
        <f t="shared" si="19"/>
        <v/>
      </c>
      <c r="M219" s="72" t="str">
        <f t="shared" si="20"/>
        <v/>
      </c>
    </row>
    <row r="220" spans="1:13">
      <c r="A220" s="333" t="str">
        <f>IF(E220="","",VLOOKUP('OPĆI DIO'!$C$3,'OPĆI DIO'!$L$6:$U$138,10,FALSE))</f>
        <v/>
      </c>
      <c r="B220" s="70" t="str">
        <f>IF(E220="","",VLOOKUP('OPĆI DIO'!$C$3,'OPĆI DIO'!$L$6:$U$138,9,FALSE))</f>
        <v/>
      </c>
      <c r="C220" s="115" t="str">
        <f t="shared" si="18"/>
        <v/>
      </c>
      <c r="D220" s="69" t="str">
        <f t="shared" si="17"/>
        <v/>
      </c>
      <c r="E220" s="81"/>
      <c r="F220" s="118" t="str">
        <f t="shared" si="21"/>
        <v/>
      </c>
      <c r="G220" s="113"/>
      <c r="H220" s="357"/>
      <c r="I220" s="113"/>
      <c r="J220" s="81"/>
      <c r="L220" s="72" t="str">
        <f t="shared" si="19"/>
        <v/>
      </c>
      <c r="M220" s="72" t="str">
        <f t="shared" si="20"/>
        <v/>
      </c>
    </row>
    <row r="221" spans="1:13">
      <c r="A221" s="333" t="str">
        <f>IF(E221="","",VLOOKUP('OPĆI DIO'!$C$3,'OPĆI DIO'!$L$6:$U$138,10,FALSE))</f>
        <v/>
      </c>
      <c r="B221" s="70" t="str">
        <f>IF(E221="","",VLOOKUP('OPĆI DIO'!$C$3,'OPĆI DIO'!$L$6:$U$138,9,FALSE))</f>
        <v/>
      </c>
      <c r="C221" s="115" t="str">
        <f t="shared" si="18"/>
        <v/>
      </c>
      <c r="D221" s="69" t="str">
        <f t="shared" si="17"/>
        <v/>
      </c>
      <c r="E221" s="81"/>
      <c r="F221" s="118" t="str">
        <f t="shared" si="21"/>
        <v/>
      </c>
      <c r="G221" s="113"/>
      <c r="H221" s="357"/>
      <c r="I221" s="113"/>
      <c r="J221" s="81"/>
      <c r="L221" s="72" t="str">
        <f t="shared" si="19"/>
        <v/>
      </c>
      <c r="M221" s="72" t="str">
        <f t="shared" si="20"/>
        <v/>
      </c>
    </row>
    <row r="222" spans="1:13">
      <c r="A222" s="333" t="str">
        <f>IF(E222="","",VLOOKUP('OPĆI DIO'!$C$3,'OPĆI DIO'!$L$6:$U$138,10,FALSE))</f>
        <v/>
      </c>
      <c r="B222" s="70" t="str">
        <f>IF(E222="","",VLOOKUP('OPĆI DIO'!$C$3,'OPĆI DIO'!$L$6:$U$138,9,FALSE))</f>
        <v/>
      </c>
      <c r="C222" s="115" t="str">
        <f t="shared" si="18"/>
        <v/>
      </c>
      <c r="D222" s="69" t="str">
        <f t="shared" si="17"/>
        <v/>
      </c>
      <c r="E222" s="81"/>
      <c r="F222" s="118" t="str">
        <f t="shared" si="21"/>
        <v/>
      </c>
      <c r="G222" s="113"/>
      <c r="H222" s="357"/>
      <c r="I222" s="113"/>
      <c r="J222" s="81"/>
      <c r="L222" s="72" t="str">
        <f t="shared" si="19"/>
        <v/>
      </c>
      <c r="M222" s="72" t="str">
        <f t="shared" si="20"/>
        <v/>
      </c>
    </row>
    <row r="223" spans="1:13">
      <c r="A223" s="333" t="str">
        <f>IF(E223="","",VLOOKUP('OPĆI DIO'!$C$3,'OPĆI DIO'!$L$6:$U$138,10,FALSE))</f>
        <v/>
      </c>
      <c r="B223" s="70" t="str">
        <f>IF(E223="","",VLOOKUP('OPĆI DIO'!$C$3,'OPĆI DIO'!$L$6:$U$138,9,FALSE))</f>
        <v/>
      </c>
      <c r="C223" s="115" t="str">
        <f t="shared" si="18"/>
        <v/>
      </c>
      <c r="D223" s="69" t="str">
        <f t="shared" si="17"/>
        <v/>
      </c>
      <c r="E223" s="81"/>
      <c r="F223" s="118" t="str">
        <f t="shared" si="21"/>
        <v/>
      </c>
      <c r="G223" s="113"/>
      <c r="H223" s="357"/>
      <c r="I223" s="113"/>
      <c r="J223" s="81"/>
      <c r="L223" s="72" t="str">
        <f t="shared" si="19"/>
        <v/>
      </c>
      <c r="M223" s="72" t="str">
        <f t="shared" si="20"/>
        <v/>
      </c>
    </row>
    <row r="224" spans="1:13">
      <c r="A224" s="333" t="str">
        <f>IF(E224="","",VLOOKUP('OPĆI DIO'!$C$3,'OPĆI DIO'!$L$6:$U$138,10,FALSE))</f>
        <v/>
      </c>
      <c r="B224" s="70" t="str">
        <f>IF(E224="","",VLOOKUP('OPĆI DIO'!$C$3,'OPĆI DIO'!$L$6:$U$138,9,FALSE))</f>
        <v/>
      </c>
      <c r="C224" s="115" t="str">
        <f t="shared" si="18"/>
        <v/>
      </c>
      <c r="D224" s="69" t="str">
        <f t="shared" si="17"/>
        <v/>
      </c>
      <c r="E224" s="81"/>
      <c r="F224" s="118" t="str">
        <f t="shared" si="21"/>
        <v/>
      </c>
      <c r="G224" s="113"/>
      <c r="H224" s="357"/>
      <c r="I224" s="113"/>
      <c r="J224" s="81"/>
      <c r="L224" s="72" t="str">
        <f t="shared" si="19"/>
        <v/>
      </c>
      <c r="M224" s="72" t="str">
        <f t="shared" si="20"/>
        <v/>
      </c>
    </row>
    <row r="225" spans="1:13">
      <c r="A225" s="333" t="str">
        <f>IF(E225="","",VLOOKUP('OPĆI DIO'!$C$3,'OPĆI DIO'!$L$6:$U$138,10,FALSE))</f>
        <v/>
      </c>
      <c r="B225" s="70" t="str">
        <f>IF(E225="","",VLOOKUP('OPĆI DIO'!$C$3,'OPĆI DIO'!$L$6:$U$138,9,FALSE))</f>
        <v/>
      </c>
      <c r="C225" s="115" t="str">
        <f t="shared" si="18"/>
        <v/>
      </c>
      <c r="D225" s="69" t="str">
        <f t="shared" si="17"/>
        <v/>
      </c>
      <c r="E225" s="81"/>
      <c r="F225" s="118" t="str">
        <f t="shared" si="21"/>
        <v/>
      </c>
      <c r="G225" s="113"/>
      <c r="H225" s="357"/>
      <c r="I225" s="113"/>
      <c r="J225" s="81"/>
      <c r="L225" s="72" t="str">
        <f t="shared" si="19"/>
        <v/>
      </c>
      <c r="M225" s="72" t="str">
        <f t="shared" si="20"/>
        <v/>
      </c>
    </row>
    <row r="226" spans="1:13">
      <c r="A226" s="333" t="str">
        <f>IF(E226="","",VLOOKUP('OPĆI DIO'!$C$3,'OPĆI DIO'!$L$6:$U$138,10,FALSE))</f>
        <v/>
      </c>
      <c r="B226" s="70" t="str">
        <f>IF(E226="","",VLOOKUP('OPĆI DIO'!$C$3,'OPĆI DIO'!$L$6:$U$138,9,FALSE))</f>
        <v/>
      </c>
      <c r="C226" s="115" t="str">
        <f t="shared" si="18"/>
        <v/>
      </c>
      <c r="D226" s="69" t="str">
        <f t="shared" si="17"/>
        <v/>
      </c>
      <c r="E226" s="81"/>
      <c r="F226" s="118" t="str">
        <f t="shared" si="21"/>
        <v/>
      </c>
      <c r="G226" s="113"/>
      <c r="H226" s="357"/>
      <c r="I226" s="113"/>
      <c r="J226" s="81"/>
      <c r="L226" s="72" t="str">
        <f t="shared" si="19"/>
        <v/>
      </c>
      <c r="M226" s="72" t="str">
        <f t="shared" si="20"/>
        <v/>
      </c>
    </row>
    <row r="227" spans="1:13">
      <c r="A227" s="333" t="str">
        <f>IF(E227="","",VLOOKUP('OPĆI DIO'!$C$3,'OPĆI DIO'!$L$6:$U$138,10,FALSE))</f>
        <v/>
      </c>
      <c r="B227" s="70" t="str">
        <f>IF(E227="","",VLOOKUP('OPĆI DIO'!$C$3,'OPĆI DIO'!$L$6:$U$138,9,FALSE))</f>
        <v/>
      </c>
      <c r="C227" s="115" t="str">
        <f t="shared" si="18"/>
        <v/>
      </c>
      <c r="D227" s="69" t="str">
        <f t="shared" si="17"/>
        <v/>
      </c>
      <c r="E227" s="81"/>
      <c r="F227" s="118" t="str">
        <f t="shared" si="21"/>
        <v/>
      </c>
      <c r="G227" s="113"/>
      <c r="H227" s="357"/>
      <c r="I227" s="113"/>
      <c r="J227" s="81"/>
      <c r="L227" s="72" t="str">
        <f t="shared" si="19"/>
        <v/>
      </c>
      <c r="M227" s="72" t="str">
        <f t="shared" si="20"/>
        <v/>
      </c>
    </row>
    <row r="228" spans="1:13">
      <c r="A228" s="333" t="str">
        <f>IF(E228="","",VLOOKUP('OPĆI DIO'!$C$3,'OPĆI DIO'!$L$6:$U$138,10,FALSE))</f>
        <v/>
      </c>
      <c r="B228" s="70" t="str">
        <f>IF(E228="","",VLOOKUP('OPĆI DIO'!$C$3,'OPĆI DIO'!$L$6:$U$138,9,FALSE))</f>
        <v/>
      </c>
      <c r="C228" s="115" t="str">
        <f t="shared" si="18"/>
        <v/>
      </c>
      <c r="D228" s="69" t="str">
        <f t="shared" si="17"/>
        <v/>
      </c>
      <c r="E228" s="81"/>
      <c r="F228" s="118" t="str">
        <f t="shared" si="21"/>
        <v/>
      </c>
      <c r="G228" s="113"/>
      <c r="H228" s="357"/>
      <c r="I228" s="113"/>
      <c r="J228" s="81"/>
      <c r="L228" s="72" t="str">
        <f t="shared" si="19"/>
        <v/>
      </c>
      <c r="M228" s="72" t="str">
        <f t="shared" si="20"/>
        <v/>
      </c>
    </row>
    <row r="229" spans="1:13">
      <c r="A229" s="333" t="str">
        <f>IF(E229="","",VLOOKUP('OPĆI DIO'!$C$3,'OPĆI DIO'!$L$6:$U$138,10,FALSE))</f>
        <v/>
      </c>
      <c r="B229" s="70" t="str">
        <f>IF(E229="","",VLOOKUP('OPĆI DIO'!$C$3,'OPĆI DIO'!$L$6:$U$138,9,FALSE))</f>
        <v/>
      </c>
      <c r="C229" s="115" t="str">
        <f t="shared" si="18"/>
        <v/>
      </c>
      <c r="D229" s="69" t="str">
        <f t="shared" si="17"/>
        <v/>
      </c>
      <c r="E229" s="81"/>
      <c r="F229" s="118" t="str">
        <f t="shared" si="21"/>
        <v/>
      </c>
      <c r="G229" s="113"/>
      <c r="H229" s="357"/>
      <c r="I229" s="113"/>
      <c r="J229" s="81"/>
      <c r="L229" s="72" t="str">
        <f t="shared" si="19"/>
        <v/>
      </c>
      <c r="M229" s="72" t="str">
        <f t="shared" si="20"/>
        <v/>
      </c>
    </row>
    <row r="230" spans="1:13">
      <c r="A230" s="333" t="str">
        <f>IF(E230="","",VLOOKUP('OPĆI DIO'!$C$3,'OPĆI DIO'!$L$6:$U$138,10,FALSE))</f>
        <v/>
      </c>
      <c r="B230" s="70" t="str">
        <f>IF(E230="","",VLOOKUP('OPĆI DIO'!$C$3,'OPĆI DIO'!$L$6:$U$138,9,FALSE))</f>
        <v/>
      </c>
      <c r="C230" s="115" t="str">
        <f t="shared" si="18"/>
        <v/>
      </c>
      <c r="D230" s="69" t="str">
        <f t="shared" si="17"/>
        <v/>
      </c>
      <c r="E230" s="81"/>
      <c r="F230" s="118" t="str">
        <f t="shared" si="21"/>
        <v/>
      </c>
      <c r="G230" s="113"/>
      <c r="H230" s="357"/>
      <c r="I230" s="113"/>
      <c r="J230" s="81"/>
      <c r="L230" s="72" t="str">
        <f t="shared" si="19"/>
        <v/>
      </c>
      <c r="M230" s="72" t="str">
        <f t="shared" si="20"/>
        <v/>
      </c>
    </row>
    <row r="231" spans="1:13">
      <c r="A231" s="333" t="str">
        <f>IF(E231="","",VLOOKUP('OPĆI DIO'!$C$3,'OPĆI DIO'!$L$6:$U$138,10,FALSE))</f>
        <v/>
      </c>
      <c r="B231" s="70" t="str">
        <f>IF(E231="","",VLOOKUP('OPĆI DIO'!$C$3,'OPĆI DIO'!$L$6:$U$138,9,FALSE))</f>
        <v/>
      </c>
      <c r="C231" s="115" t="str">
        <f t="shared" si="18"/>
        <v/>
      </c>
      <c r="D231" s="69" t="str">
        <f t="shared" si="17"/>
        <v/>
      </c>
      <c r="E231" s="81"/>
      <c r="F231" s="118" t="str">
        <f t="shared" si="21"/>
        <v/>
      </c>
      <c r="G231" s="113"/>
      <c r="H231" s="357"/>
      <c r="I231" s="113"/>
      <c r="J231" s="81"/>
      <c r="L231" s="72" t="str">
        <f t="shared" si="19"/>
        <v/>
      </c>
      <c r="M231" s="72" t="str">
        <f t="shared" si="20"/>
        <v/>
      </c>
    </row>
    <row r="232" spans="1:13">
      <c r="A232" s="333" t="str">
        <f>IF(E232="","",VLOOKUP('OPĆI DIO'!$C$3,'OPĆI DIO'!$L$6:$U$138,10,FALSE))</f>
        <v/>
      </c>
      <c r="B232" s="70" t="str">
        <f>IF(E232="","",VLOOKUP('OPĆI DIO'!$C$3,'OPĆI DIO'!$L$6:$U$138,9,FALSE))</f>
        <v/>
      </c>
      <c r="C232" s="115" t="str">
        <f t="shared" si="18"/>
        <v/>
      </c>
      <c r="D232" s="69" t="str">
        <f t="shared" si="17"/>
        <v/>
      </c>
      <c r="E232" s="81"/>
      <c r="F232" s="118" t="str">
        <f t="shared" si="21"/>
        <v/>
      </c>
      <c r="G232" s="113"/>
      <c r="H232" s="357"/>
      <c r="I232" s="113"/>
      <c r="J232" s="81"/>
      <c r="L232" s="72" t="str">
        <f t="shared" si="19"/>
        <v/>
      </c>
      <c r="M232" s="72" t="str">
        <f t="shared" si="20"/>
        <v/>
      </c>
    </row>
    <row r="233" spans="1:13">
      <c r="A233" s="333" t="str">
        <f>IF(E233="","",VLOOKUP('OPĆI DIO'!$C$3,'OPĆI DIO'!$L$6:$U$138,10,FALSE))</f>
        <v/>
      </c>
      <c r="B233" s="70" t="str">
        <f>IF(E233="","",VLOOKUP('OPĆI DIO'!$C$3,'OPĆI DIO'!$L$6:$U$138,9,FALSE))</f>
        <v/>
      </c>
      <c r="C233" s="115" t="str">
        <f t="shared" si="18"/>
        <v/>
      </c>
      <c r="D233" s="69" t="str">
        <f t="shared" si="17"/>
        <v/>
      </c>
      <c r="E233" s="81"/>
      <c r="F233" s="118" t="str">
        <f t="shared" si="21"/>
        <v/>
      </c>
      <c r="G233" s="113"/>
      <c r="H233" s="357"/>
      <c r="I233" s="113"/>
      <c r="J233" s="81"/>
      <c r="L233" s="72" t="str">
        <f t="shared" si="19"/>
        <v/>
      </c>
      <c r="M233" s="72" t="str">
        <f t="shared" si="20"/>
        <v/>
      </c>
    </row>
    <row r="234" spans="1:13">
      <c r="A234" s="333" t="str">
        <f>IF(E234="","",VLOOKUP('OPĆI DIO'!$C$3,'OPĆI DIO'!$L$6:$U$138,10,FALSE))</f>
        <v/>
      </c>
      <c r="B234" s="70" t="str">
        <f>IF(E234="","",VLOOKUP('OPĆI DIO'!$C$3,'OPĆI DIO'!$L$6:$U$138,9,FALSE))</f>
        <v/>
      </c>
      <c r="C234" s="115" t="str">
        <f t="shared" si="18"/>
        <v/>
      </c>
      <c r="D234" s="69" t="str">
        <f t="shared" si="17"/>
        <v/>
      </c>
      <c r="E234" s="81"/>
      <c r="F234" s="118" t="str">
        <f t="shared" si="21"/>
        <v/>
      </c>
      <c r="G234" s="113"/>
      <c r="H234" s="357"/>
      <c r="I234" s="113"/>
      <c r="J234" s="81"/>
      <c r="L234" s="72" t="str">
        <f t="shared" si="19"/>
        <v/>
      </c>
      <c r="M234" s="72" t="str">
        <f t="shared" si="20"/>
        <v/>
      </c>
    </row>
    <row r="235" spans="1:13">
      <c r="A235" s="333" t="str">
        <f>IF(E235="","",VLOOKUP('OPĆI DIO'!$C$3,'OPĆI DIO'!$L$6:$U$138,10,FALSE))</f>
        <v/>
      </c>
      <c r="B235" s="70" t="str">
        <f>IF(E235="","",VLOOKUP('OPĆI DIO'!$C$3,'OPĆI DIO'!$L$6:$U$138,9,FALSE))</f>
        <v/>
      </c>
      <c r="C235" s="115" t="str">
        <f t="shared" si="18"/>
        <v/>
      </c>
      <c r="D235" s="69" t="str">
        <f t="shared" si="17"/>
        <v/>
      </c>
      <c r="E235" s="81"/>
      <c r="F235" s="118" t="str">
        <f t="shared" si="21"/>
        <v/>
      </c>
      <c r="G235" s="113"/>
      <c r="H235" s="357"/>
      <c r="I235" s="113"/>
      <c r="J235" s="81"/>
      <c r="L235" s="72" t="str">
        <f t="shared" si="19"/>
        <v/>
      </c>
      <c r="M235" s="72" t="str">
        <f t="shared" si="20"/>
        <v/>
      </c>
    </row>
    <row r="236" spans="1:13">
      <c r="A236" s="333" t="str">
        <f>IF(E236="","",VLOOKUP('OPĆI DIO'!$C$3,'OPĆI DIO'!$L$6:$U$138,10,FALSE))</f>
        <v/>
      </c>
      <c r="B236" s="70" t="str">
        <f>IF(E236="","",VLOOKUP('OPĆI DIO'!$C$3,'OPĆI DIO'!$L$6:$U$138,9,FALSE))</f>
        <v/>
      </c>
      <c r="C236" s="115" t="str">
        <f t="shared" si="18"/>
        <v/>
      </c>
      <c r="D236" s="69" t="str">
        <f t="shared" si="17"/>
        <v/>
      </c>
      <c r="E236" s="81"/>
      <c r="F236" s="118" t="str">
        <f t="shared" si="21"/>
        <v/>
      </c>
      <c r="G236" s="113"/>
      <c r="H236" s="357"/>
      <c r="I236" s="113"/>
      <c r="J236" s="81"/>
      <c r="L236" s="72" t="str">
        <f t="shared" si="19"/>
        <v/>
      </c>
      <c r="M236" s="72" t="str">
        <f t="shared" si="20"/>
        <v/>
      </c>
    </row>
    <row r="237" spans="1:13">
      <c r="A237" s="333" t="str">
        <f>IF(E237="","",VLOOKUP('OPĆI DIO'!$C$3,'OPĆI DIO'!$L$6:$U$138,10,FALSE))</f>
        <v/>
      </c>
      <c r="B237" s="70" t="str">
        <f>IF(E237="","",VLOOKUP('OPĆI DIO'!$C$3,'OPĆI DIO'!$L$6:$U$138,9,FALSE))</f>
        <v/>
      </c>
      <c r="C237" s="115" t="str">
        <f t="shared" si="18"/>
        <v/>
      </c>
      <c r="D237" s="69" t="str">
        <f t="shared" si="17"/>
        <v/>
      </c>
      <c r="E237" s="81"/>
      <c r="F237" s="118" t="str">
        <f t="shared" si="21"/>
        <v/>
      </c>
      <c r="G237" s="113"/>
      <c r="H237" s="357"/>
      <c r="I237" s="113"/>
      <c r="J237" s="81"/>
      <c r="L237" s="72" t="str">
        <f t="shared" si="19"/>
        <v/>
      </c>
      <c r="M237" s="72" t="str">
        <f t="shared" si="20"/>
        <v/>
      </c>
    </row>
    <row r="238" spans="1:13">
      <c r="A238" s="333" t="str">
        <f>IF(E238="","",VLOOKUP('OPĆI DIO'!$C$3,'OPĆI DIO'!$L$6:$U$138,10,FALSE))</f>
        <v/>
      </c>
      <c r="B238" s="70" t="str">
        <f>IF(E238="","",VLOOKUP('OPĆI DIO'!$C$3,'OPĆI DIO'!$L$6:$U$138,9,FALSE))</f>
        <v/>
      </c>
      <c r="C238" s="115" t="str">
        <f t="shared" si="18"/>
        <v/>
      </c>
      <c r="D238" s="69" t="str">
        <f t="shared" si="17"/>
        <v/>
      </c>
      <c r="E238" s="81"/>
      <c r="F238" s="118" t="str">
        <f t="shared" si="21"/>
        <v/>
      </c>
      <c r="G238" s="113"/>
      <c r="H238" s="357"/>
      <c r="I238" s="113"/>
      <c r="J238" s="81"/>
      <c r="L238" s="72" t="str">
        <f t="shared" si="19"/>
        <v/>
      </c>
      <c r="M238" s="72" t="str">
        <f t="shared" si="20"/>
        <v/>
      </c>
    </row>
    <row r="239" spans="1:13">
      <c r="A239" s="333" t="str">
        <f>IF(E239="","",VLOOKUP('OPĆI DIO'!$C$3,'OPĆI DIO'!$L$6:$U$138,10,FALSE))</f>
        <v/>
      </c>
      <c r="B239" s="70" t="str">
        <f>IF(E239="","",VLOOKUP('OPĆI DIO'!$C$3,'OPĆI DIO'!$L$6:$U$138,9,FALSE))</f>
        <v/>
      </c>
      <c r="C239" s="115" t="str">
        <f t="shared" si="18"/>
        <v/>
      </c>
      <c r="D239" s="69" t="str">
        <f t="shared" si="17"/>
        <v/>
      </c>
      <c r="E239" s="81"/>
      <c r="F239" s="118" t="str">
        <f t="shared" si="21"/>
        <v/>
      </c>
      <c r="G239" s="113"/>
      <c r="H239" s="357"/>
      <c r="I239" s="113"/>
      <c r="J239" s="81"/>
      <c r="L239" s="72" t="str">
        <f t="shared" si="19"/>
        <v/>
      </c>
      <c r="M239" s="72" t="str">
        <f t="shared" si="20"/>
        <v/>
      </c>
    </row>
    <row r="240" spans="1:13">
      <c r="A240" s="333" t="str">
        <f>IF(E240="","",VLOOKUP('OPĆI DIO'!$C$3,'OPĆI DIO'!$L$6:$U$138,10,FALSE))</f>
        <v/>
      </c>
      <c r="B240" s="70" t="str">
        <f>IF(E240="","",VLOOKUP('OPĆI DIO'!$C$3,'OPĆI DIO'!$L$6:$U$138,9,FALSE))</f>
        <v/>
      </c>
      <c r="C240" s="115" t="str">
        <f t="shared" si="18"/>
        <v/>
      </c>
      <c r="D240" s="69" t="str">
        <f t="shared" si="17"/>
        <v/>
      </c>
      <c r="E240" s="81"/>
      <c r="F240" s="118" t="str">
        <f t="shared" si="21"/>
        <v/>
      </c>
      <c r="G240" s="113"/>
      <c r="H240" s="357"/>
      <c r="I240" s="113"/>
      <c r="J240" s="81"/>
      <c r="L240" s="72" t="str">
        <f t="shared" si="19"/>
        <v/>
      </c>
      <c r="M240" s="72" t="str">
        <f t="shared" si="20"/>
        <v/>
      </c>
    </row>
    <row r="241" spans="1:13">
      <c r="A241" s="333" t="str">
        <f>IF(E241="","",VLOOKUP('OPĆI DIO'!$C$3,'OPĆI DIO'!$L$6:$U$138,10,FALSE))</f>
        <v/>
      </c>
      <c r="B241" s="70" t="str">
        <f>IF(E241="","",VLOOKUP('OPĆI DIO'!$C$3,'OPĆI DIO'!$L$6:$U$138,9,FALSE))</f>
        <v/>
      </c>
      <c r="C241" s="115" t="str">
        <f t="shared" si="18"/>
        <v/>
      </c>
      <c r="D241" s="69" t="str">
        <f t="shared" si="17"/>
        <v/>
      </c>
      <c r="E241" s="81"/>
      <c r="F241" s="118" t="str">
        <f t="shared" si="21"/>
        <v/>
      </c>
      <c r="G241" s="113"/>
      <c r="H241" s="357"/>
      <c r="I241" s="113"/>
      <c r="J241" s="81"/>
      <c r="L241" s="72" t="str">
        <f t="shared" si="19"/>
        <v/>
      </c>
      <c r="M241" s="72" t="str">
        <f t="shared" si="20"/>
        <v/>
      </c>
    </row>
    <row r="242" spans="1:13">
      <c r="A242" s="333" t="str">
        <f>IF(E242="","",VLOOKUP('OPĆI DIO'!$C$3,'OPĆI DIO'!$L$6:$U$138,10,FALSE))</f>
        <v/>
      </c>
      <c r="B242" s="70" t="str">
        <f>IF(E242="","",VLOOKUP('OPĆI DIO'!$C$3,'OPĆI DIO'!$L$6:$U$138,9,FALSE))</f>
        <v/>
      </c>
      <c r="C242" s="115" t="str">
        <f t="shared" si="18"/>
        <v/>
      </c>
      <c r="D242" s="69" t="str">
        <f t="shared" si="17"/>
        <v/>
      </c>
      <c r="E242" s="81"/>
      <c r="F242" s="118" t="str">
        <f t="shared" si="21"/>
        <v/>
      </c>
      <c r="G242" s="113"/>
      <c r="H242" s="357"/>
      <c r="I242" s="113"/>
      <c r="J242" s="81"/>
      <c r="L242" s="72" t="str">
        <f t="shared" si="19"/>
        <v/>
      </c>
      <c r="M242" s="72" t="str">
        <f t="shared" si="20"/>
        <v/>
      </c>
    </row>
    <row r="243" spans="1:13">
      <c r="A243" s="333" t="str">
        <f>IF(E243="","",VLOOKUP('OPĆI DIO'!$C$3,'OPĆI DIO'!$L$6:$U$138,10,FALSE))</f>
        <v/>
      </c>
      <c r="B243" s="70" t="str">
        <f>IF(E243="","",VLOOKUP('OPĆI DIO'!$C$3,'OPĆI DIO'!$L$6:$U$138,9,FALSE))</f>
        <v/>
      </c>
      <c r="C243" s="115" t="str">
        <f t="shared" si="18"/>
        <v/>
      </c>
      <c r="D243" s="69" t="str">
        <f t="shared" si="17"/>
        <v/>
      </c>
      <c r="E243" s="81"/>
      <c r="F243" s="118" t="str">
        <f t="shared" si="21"/>
        <v/>
      </c>
      <c r="G243" s="113"/>
      <c r="H243" s="357"/>
      <c r="I243" s="113"/>
      <c r="J243" s="81"/>
      <c r="L243" s="72" t="str">
        <f t="shared" si="19"/>
        <v/>
      </c>
      <c r="M243" s="72" t="str">
        <f t="shared" si="20"/>
        <v/>
      </c>
    </row>
    <row r="244" spans="1:13">
      <c r="A244" s="333" t="str">
        <f>IF(E244="","",VLOOKUP('OPĆI DIO'!$C$3,'OPĆI DIO'!$L$6:$U$138,10,FALSE))</f>
        <v/>
      </c>
      <c r="B244" s="70" t="str">
        <f>IF(E244="","",VLOOKUP('OPĆI DIO'!$C$3,'OPĆI DIO'!$L$6:$U$138,9,FALSE))</f>
        <v/>
      </c>
      <c r="C244" s="115" t="str">
        <f t="shared" si="18"/>
        <v/>
      </c>
      <c r="D244" s="69" t="str">
        <f t="shared" si="17"/>
        <v/>
      </c>
      <c r="E244" s="81"/>
      <c r="F244" s="118" t="str">
        <f t="shared" si="21"/>
        <v/>
      </c>
      <c r="G244" s="113"/>
      <c r="H244" s="357"/>
      <c r="I244" s="113"/>
      <c r="J244" s="81"/>
      <c r="L244" s="72" t="str">
        <f t="shared" si="19"/>
        <v/>
      </c>
      <c r="M244" s="72" t="str">
        <f t="shared" si="20"/>
        <v/>
      </c>
    </row>
    <row r="245" spans="1:13">
      <c r="A245" s="333" t="str">
        <f>IF(E245="","",VLOOKUP('OPĆI DIO'!$C$3,'OPĆI DIO'!$L$6:$U$138,10,FALSE))</f>
        <v/>
      </c>
      <c r="B245" s="70" t="str">
        <f>IF(E245="","",VLOOKUP('OPĆI DIO'!$C$3,'OPĆI DIO'!$L$6:$U$138,9,FALSE))</f>
        <v/>
      </c>
      <c r="C245" s="115" t="str">
        <f t="shared" si="18"/>
        <v/>
      </c>
      <c r="D245" s="69" t="str">
        <f t="shared" si="17"/>
        <v/>
      </c>
      <c r="E245" s="81"/>
      <c r="F245" s="118" t="str">
        <f t="shared" si="21"/>
        <v/>
      </c>
      <c r="G245" s="113"/>
      <c r="H245" s="357"/>
      <c r="I245" s="113"/>
      <c r="J245" s="81"/>
      <c r="L245" s="72" t="str">
        <f t="shared" si="19"/>
        <v/>
      </c>
      <c r="M245" s="72" t="str">
        <f t="shared" si="20"/>
        <v/>
      </c>
    </row>
    <row r="246" spans="1:13">
      <c r="A246" s="333" t="str">
        <f>IF(E246="","",VLOOKUP('OPĆI DIO'!$C$3,'OPĆI DIO'!$L$6:$U$138,10,FALSE))</f>
        <v/>
      </c>
      <c r="B246" s="70" t="str">
        <f>IF(E246="","",VLOOKUP('OPĆI DIO'!$C$3,'OPĆI DIO'!$L$6:$U$138,9,FALSE))</f>
        <v/>
      </c>
      <c r="C246" s="115" t="str">
        <f t="shared" si="18"/>
        <v/>
      </c>
      <c r="D246" s="69" t="str">
        <f t="shared" si="17"/>
        <v/>
      </c>
      <c r="E246" s="81"/>
      <c r="F246" s="118" t="str">
        <f t="shared" si="21"/>
        <v/>
      </c>
      <c r="G246" s="113"/>
      <c r="H246" s="357"/>
      <c r="I246" s="113"/>
      <c r="J246" s="81"/>
      <c r="L246" s="72" t="str">
        <f t="shared" si="19"/>
        <v/>
      </c>
      <c r="M246" s="72" t="str">
        <f t="shared" si="20"/>
        <v/>
      </c>
    </row>
    <row r="247" spans="1:13">
      <c r="A247" s="333" t="str">
        <f>IF(E247="","",VLOOKUP('OPĆI DIO'!$C$3,'OPĆI DIO'!$L$6:$U$138,10,FALSE))</f>
        <v/>
      </c>
      <c r="B247" s="70" t="str">
        <f>IF(E247="","",VLOOKUP('OPĆI DIO'!$C$3,'OPĆI DIO'!$L$6:$U$138,9,FALSE))</f>
        <v/>
      </c>
      <c r="C247" s="115" t="str">
        <f t="shared" si="18"/>
        <v/>
      </c>
      <c r="D247" s="69" t="str">
        <f t="shared" si="17"/>
        <v/>
      </c>
      <c r="E247" s="81"/>
      <c r="F247" s="118" t="str">
        <f t="shared" si="21"/>
        <v/>
      </c>
      <c r="G247" s="113"/>
      <c r="H247" s="357"/>
      <c r="I247" s="113"/>
      <c r="J247" s="81"/>
      <c r="L247" s="72" t="str">
        <f t="shared" si="19"/>
        <v/>
      </c>
      <c r="M247" s="72" t="str">
        <f t="shared" si="20"/>
        <v/>
      </c>
    </row>
    <row r="248" spans="1:13">
      <c r="A248" s="333" t="str">
        <f>IF(E248="","",VLOOKUP('OPĆI DIO'!$C$3,'OPĆI DIO'!$L$6:$U$138,10,FALSE))</f>
        <v/>
      </c>
      <c r="B248" s="70" t="str">
        <f>IF(E248="","",VLOOKUP('OPĆI DIO'!$C$3,'OPĆI DIO'!$L$6:$U$138,9,FALSE))</f>
        <v/>
      </c>
      <c r="C248" s="115" t="str">
        <f t="shared" si="18"/>
        <v/>
      </c>
      <c r="D248" s="69" t="str">
        <f t="shared" si="17"/>
        <v/>
      </c>
      <c r="E248" s="81"/>
      <c r="F248" s="118" t="str">
        <f t="shared" si="21"/>
        <v/>
      </c>
      <c r="G248" s="113"/>
      <c r="H248" s="357"/>
      <c r="I248" s="113"/>
      <c r="J248" s="81"/>
      <c r="L248" s="72" t="str">
        <f t="shared" si="19"/>
        <v/>
      </c>
      <c r="M248" s="72" t="str">
        <f t="shared" si="20"/>
        <v/>
      </c>
    </row>
    <row r="249" spans="1:13">
      <c r="A249" s="333" t="str">
        <f>IF(E249="","",VLOOKUP('OPĆI DIO'!$C$3,'OPĆI DIO'!$L$6:$U$138,10,FALSE))</f>
        <v/>
      </c>
      <c r="B249" s="70" t="str">
        <f>IF(E249="","",VLOOKUP('OPĆI DIO'!$C$3,'OPĆI DIO'!$L$6:$U$138,9,FALSE))</f>
        <v/>
      </c>
      <c r="C249" s="115" t="str">
        <f t="shared" si="18"/>
        <v/>
      </c>
      <c r="D249" s="69" t="str">
        <f t="shared" si="17"/>
        <v/>
      </c>
      <c r="E249" s="81"/>
      <c r="F249" s="118" t="str">
        <f t="shared" si="21"/>
        <v/>
      </c>
      <c r="G249" s="113"/>
      <c r="H249" s="357"/>
      <c r="I249" s="113"/>
      <c r="J249" s="81"/>
      <c r="L249" s="72" t="str">
        <f t="shared" si="19"/>
        <v/>
      </c>
      <c r="M249" s="72" t="str">
        <f t="shared" si="20"/>
        <v/>
      </c>
    </row>
    <row r="250" spans="1:13">
      <c r="A250" s="333" t="str">
        <f>IF(E250="","",VLOOKUP('OPĆI DIO'!$C$3,'OPĆI DIO'!$L$6:$U$138,10,FALSE))</f>
        <v/>
      </c>
      <c r="B250" s="70" t="str">
        <f>IF(E250="","",VLOOKUP('OPĆI DIO'!$C$3,'OPĆI DIO'!$L$6:$U$138,9,FALSE))</f>
        <v/>
      </c>
      <c r="C250" s="115" t="str">
        <f t="shared" si="18"/>
        <v/>
      </c>
      <c r="D250" s="69" t="str">
        <f t="shared" si="17"/>
        <v/>
      </c>
      <c r="E250" s="81"/>
      <c r="F250" s="118" t="str">
        <f t="shared" si="21"/>
        <v/>
      </c>
      <c r="G250" s="113"/>
      <c r="H250" s="357"/>
      <c r="I250" s="113"/>
      <c r="J250" s="81"/>
      <c r="L250" s="72" t="str">
        <f t="shared" si="19"/>
        <v/>
      </c>
      <c r="M250" s="72" t="str">
        <f t="shared" si="20"/>
        <v/>
      </c>
    </row>
    <row r="251" spans="1:13">
      <c r="A251" s="333" t="str">
        <f>IF(E251="","",VLOOKUP('OPĆI DIO'!$C$3,'OPĆI DIO'!$L$6:$U$138,10,FALSE))</f>
        <v/>
      </c>
      <c r="B251" s="70" t="str">
        <f>IF(E251="","",VLOOKUP('OPĆI DIO'!$C$3,'OPĆI DIO'!$L$6:$U$138,9,FALSE))</f>
        <v/>
      </c>
      <c r="C251" s="115" t="str">
        <f t="shared" si="18"/>
        <v/>
      </c>
      <c r="D251" s="69" t="str">
        <f t="shared" si="17"/>
        <v/>
      </c>
      <c r="E251" s="81"/>
      <c r="F251" s="118" t="str">
        <f t="shared" si="21"/>
        <v/>
      </c>
      <c r="G251" s="113"/>
      <c r="H251" s="357"/>
      <c r="I251" s="113"/>
      <c r="J251" s="81"/>
      <c r="L251" s="72" t="str">
        <f t="shared" si="19"/>
        <v/>
      </c>
      <c r="M251" s="72" t="str">
        <f t="shared" si="20"/>
        <v/>
      </c>
    </row>
    <row r="252" spans="1:13">
      <c r="A252" s="333" t="str">
        <f>IF(E252="","",VLOOKUP('OPĆI DIO'!$C$3,'OPĆI DIO'!$L$6:$U$138,10,FALSE))</f>
        <v/>
      </c>
      <c r="B252" s="70" t="str">
        <f>IF(E252="","",VLOOKUP('OPĆI DIO'!$C$3,'OPĆI DIO'!$L$6:$U$138,9,FALSE))</f>
        <v/>
      </c>
      <c r="C252" s="115" t="str">
        <f t="shared" si="18"/>
        <v/>
      </c>
      <c r="D252" s="69" t="str">
        <f t="shared" si="17"/>
        <v/>
      </c>
      <c r="E252" s="81"/>
      <c r="F252" s="118" t="str">
        <f t="shared" si="21"/>
        <v/>
      </c>
      <c r="G252" s="113"/>
      <c r="H252" s="357"/>
      <c r="I252" s="113"/>
      <c r="J252" s="81"/>
      <c r="L252" s="72" t="str">
        <f t="shared" si="19"/>
        <v/>
      </c>
      <c r="M252" s="72" t="str">
        <f t="shared" si="20"/>
        <v/>
      </c>
    </row>
    <row r="253" spans="1:13">
      <c r="A253" s="333" t="str">
        <f>IF(E253="","",VLOOKUP('OPĆI DIO'!$C$3,'OPĆI DIO'!$L$6:$U$138,10,FALSE))</f>
        <v/>
      </c>
      <c r="B253" s="70" t="str">
        <f>IF(E253="","",VLOOKUP('OPĆI DIO'!$C$3,'OPĆI DIO'!$L$6:$U$138,9,FALSE))</f>
        <v/>
      </c>
      <c r="C253" s="115" t="str">
        <f t="shared" si="18"/>
        <v/>
      </c>
      <c r="D253" s="69" t="str">
        <f t="shared" si="17"/>
        <v/>
      </c>
      <c r="E253" s="81"/>
      <c r="F253" s="118" t="str">
        <f t="shared" si="21"/>
        <v/>
      </c>
      <c r="G253" s="113"/>
      <c r="H253" s="357"/>
      <c r="I253" s="113"/>
      <c r="J253" s="81"/>
      <c r="L253" s="72" t="str">
        <f t="shared" si="19"/>
        <v/>
      </c>
      <c r="M253" s="72" t="str">
        <f t="shared" si="20"/>
        <v/>
      </c>
    </row>
    <row r="254" spans="1:13">
      <c r="A254" s="333" t="str">
        <f>IF(E254="","",VLOOKUP('OPĆI DIO'!$C$3,'OPĆI DIO'!$L$6:$U$138,10,FALSE))</f>
        <v/>
      </c>
      <c r="B254" s="70" t="str">
        <f>IF(E254="","",VLOOKUP('OPĆI DIO'!$C$3,'OPĆI DIO'!$L$6:$U$138,9,FALSE))</f>
        <v/>
      </c>
      <c r="C254" s="115" t="str">
        <f t="shared" si="18"/>
        <v/>
      </c>
      <c r="D254" s="69" t="str">
        <f t="shared" si="17"/>
        <v/>
      </c>
      <c r="E254" s="81"/>
      <c r="F254" s="118" t="str">
        <f t="shared" si="21"/>
        <v/>
      </c>
      <c r="G254" s="113"/>
      <c r="H254" s="357"/>
      <c r="I254" s="113"/>
      <c r="J254" s="81"/>
      <c r="L254" s="72" t="str">
        <f t="shared" si="19"/>
        <v/>
      </c>
      <c r="M254" s="72" t="str">
        <f t="shared" si="20"/>
        <v/>
      </c>
    </row>
    <row r="255" spans="1:13">
      <c r="A255" s="333" t="str">
        <f>IF(E255="","",VLOOKUP('OPĆI DIO'!$C$3,'OPĆI DIO'!$L$6:$U$138,10,FALSE))</f>
        <v/>
      </c>
      <c r="B255" s="70" t="str">
        <f>IF(E255="","",VLOOKUP('OPĆI DIO'!$C$3,'OPĆI DIO'!$L$6:$U$138,9,FALSE))</f>
        <v/>
      </c>
      <c r="C255" s="115" t="str">
        <f t="shared" si="18"/>
        <v/>
      </c>
      <c r="D255" s="69" t="str">
        <f t="shared" si="17"/>
        <v/>
      </c>
      <c r="E255" s="81"/>
      <c r="F255" s="118" t="str">
        <f t="shared" si="21"/>
        <v/>
      </c>
      <c r="G255" s="113"/>
      <c r="H255" s="357"/>
      <c r="I255" s="113"/>
      <c r="J255" s="81"/>
      <c r="L255" s="72" t="str">
        <f t="shared" si="19"/>
        <v/>
      </c>
      <c r="M255" s="72" t="str">
        <f t="shared" si="20"/>
        <v/>
      </c>
    </row>
    <row r="256" spans="1:13">
      <c r="A256" s="333" t="str">
        <f>IF(E256="","",VLOOKUP('OPĆI DIO'!$C$3,'OPĆI DIO'!$L$6:$U$138,10,FALSE))</f>
        <v/>
      </c>
      <c r="B256" s="70" t="str">
        <f>IF(E256="","",VLOOKUP('OPĆI DIO'!$C$3,'OPĆI DIO'!$L$6:$U$138,9,FALSE))</f>
        <v/>
      </c>
      <c r="C256" s="115" t="str">
        <f t="shared" si="18"/>
        <v/>
      </c>
      <c r="D256" s="69" t="str">
        <f t="shared" si="17"/>
        <v/>
      </c>
      <c r="E256" s="81"/>
      <c r="F256" s="118" t="str">
        <f t="shared" si="21"/>
        <v/>
      </c>
      <c r="G256" s="113"/>
      <c r="H256" s="357"/>
      <c r="I256" s="113"/>
      <c r="J256" s="81"/>
      <c r="L256" s="72" t="str">
        <f t="shared" si="19"/>
        <v/>
      </c>
      <c r="M256" s="72" t="str">
        <f t="shared" si="20"/>
        <v/>
      </c>
    </row>
    <row r="257" spans="1:13">
      <c r="A257" s="333" t="str">
        <f>IF(E257="","",VLOOKUP('OPĆI DIO'!$C$3,'OPĆI DIO'!$L$6:$U$138,10,FALSE))</f>
        <v/>
      </c>
      <c r="B257" s="70" t="str">
        <f>IF(E257="","",VLOOKUP('OPĆI DIO'!$C$3,'OPĆI DIO'!$L$6:$U$138,9,FALSE))</f>
        <v/>
      </c>
      <c r="C257" s="115" t="str">
        <f t="shared" si="18"/>
        <v/>
      </c>
      <c r="D257" s="69" t="str">
        <f t="shared" si="17"/>
        <v/>
      </c>
      <c r="E257" s="81"/>
      <c r="F257" s="118" t="str">
        <f t="shared" si="21"/>
        <v/>
      </c>
      <c r="G257" s="113"/>
      <c r="H257" s="357"/>
      <c r="I257" s="113"/>
      <c r="J257" s="81"/>
      <c r="L257" s="72" t="str">
        <f t="shared" si="19"/>
        <v/>
      </c>
      <c r="M257" s="72" t="str">
        <f t="shared" si="20"/>
        <v/>
      </c>
    </row>
    <row r="258" spans="1:13">
      <c r="A258" s="333" t="str">
        <f>IF(E258="","",VLOOKUP('OPĆI DIO'!$C$3,'OPĆI DIO'!$L$6:$U$138,10,FALSE))</f>
        <v/>
      </c>
      <c r="B258" s="70" t="str">
        <f>IF(E258="","",VLOOKUP('OPĆI DIO'!$C$3,'OPĆI DIO'!$L$6:$U$138,9,FALSE))</f>
        <v/>
      </c>
      <c r="C258" s="115" t="str">
        <f t="shared" si="18"/>
        <v/>
      </c>
      <c r="D258" s="69" t="str">
        <f t="shared" si="17"/>
        <v/>
      </c>
      <c r="E258" s="81"/>
      <c r="F258" s="118" t="str">
        <f t="shared" si="21"/>
        <v/>
      </c>
      <c r="G258" s="113"/>
      <c r="H258" s="357"/>
      <c r="I258" s="113"/>
      <c r="J258" s="81"/>
      <c r="L258" s="72" t="str">
        <f t="shared" si="19"/>
        <v/>
      </c>
      <c r="M258" s="72" t="str">
        <f t="shared" si="20"/>
        <v/>
      </c>
    </row>
    <row r="259" spans="1:13">
      <c r="A259" s="333" t="str">
        <f>IF(E259="","",VLOOKUP('OPĆI DIO'!$C$3,'OPĆI DIO'!$L$6:$U$138,10,FALSE))</f>
        <v/>
      </c>
      <c r="B259" s="70" t="str">
        <f>IF(E259="","",VLOOKUP('OPĆI DIO'!$C$3,'OPĆI DIO'!$L$6:$U$138,9,FALSE))</f>
        <v/>
      </c>
      <c r="C259" s="115" t="str">
        <f t="shared" si="18"/>
        <v/>
      </c>
      <c r="D259" s="69" t="str">
        <f t="shared" si="17"/>
        <v/>
      </c>
      <c r="E259" s="81"/>
      <c r="F259" s="118" t="str">
        <f t="shared" si="21"/>
        <v/>
      </c>
      <c r="G259" s="113"/>
      <c r="H259" s="357"/>
      <c r="I259" s="113"/>
      <c r="J259" s="81"/>
      <c r="L259" s="72" t="str">
        <f t="shared" si="19"/>
        <v/>
      </c>
      <c r="M259" s="72" t="str">
        <f t="shared" si="20"/>
        <v/>
      </c>
    </row>
    <row r="260" spans="1:13">
      <c r="A260" s="333" t="str">
        <f>IF(E260="","",VLOOKUP('OPĆI DIO'!$C$3,'OPĆI DIO'!$L$6:$U$138,10,FALSE))</f>
        <v/>
      </c>
      <c r="B260" s="70" t="str">
        <f>IF(E260="","",VLOOKUP('OPĆI DIO'!$C$3,'OPĆI DIO'!$L$6:$U$138,9,FALSE))</f>
        <v/>
      </c>
      <c r="C260" s="115" t="str">
        <f t="shared" si="18"/>
        <v/>
      </c>
      <c r="D260" s="69" t="str">
        <f t="shared" ref="D260:D323" si="22">IFERROR(VLOOKUP(E260,$R$6:$U$116,4,FALSE),"")</f>
        <v/>
      </c>
      <c r="E260" s="81"/>
      <c r="F260" s="118" t="str">
        <f t="shared" si="21"/>
        <v/>
      </c>
      <c r="G260" s="113"/>
      <c r="H260" s="357"/>
      <c r="I260" s="113"/>
      <c r="J260" s="81"/>
      <c r="L260" s="72" t="str">
        <f t="shared" si="19"/>
        <v/>
      </c>
      <c r="M260" s="72" t="str">
        <f t="shared" si="20"/>
        <v/>
      </c>
    </row>
    <row r="261" spans="1:13">
      <c r="A261" s="333" t="str">
        <f>IF(E261="","",VLOOKUP('OPĆI DIO'!$C$3,'OPĆI DIO'!$L$6:$U$138,10,FALSE))</f>
        <v/>
      </c>
      <c r="B261" s="70" t="str">
        <f>IF(E261="","",VLOOKUP('OPĆI DIO'!$C$3,'OPĆI DIO'!$L$6:$U$138,9,FALSE))</f>
        <v/>
      </c>
      <c r="C261" s="115" t="str">
        <f t="shared" si="18"/>
        <v/>
      </c>
      <c r="D261" s="69" t="str">
        <f t="shared" si="22"/>
        <v/>
      </c>
      <c r="E261" s="81"/>
      <c r="F261" s="118" t="str">
        <f t="shared" si="21"/>
        <v/>
      </c>
      <c r="G261" s="113"/>
      <c r="H261" s="357"/>
      <c r="I261" s="113"/>
      <c r="J261" s="81"/>
      <c r="L261" s="72" t="str">
        <f t="shared" si="19"/>
        <v/>
      </c>
      <c r="M261" s="72" t="str">
        <f t="shared" si="20"/>
        <v/>
      </c>
    </row>
    <row r="262" spans="1:13">
      <c r="A262" s="333" t="str">
        <f>IF(E262="","",VLOOKUP('OPĆI DIO'!$C$3,'OPĆI DIO'!$L$6:$U$138,10,FALSE))</f>
        <v/>
      </c>
      <c r="B262" s="70" t="str">
        <f>IF(E262="","",VLOOKUP('OPĆI DIO'!$C$3,'OPĆI DIO'!$L$6:$U$138,9,FALSE))</f>
        <v/>
      </c>
      <c r="C262" s="115" t="str">
        <f t="shared" ref="C262:C325" si="23">IFERROR(VLOOKUP(E262,$R$6:$U$116,3,FALSE),"")</f>
        <v/>
      </c>
      <c r="D262" s="69" t="str">
        <f t="shared" si="22"/>
        <v/>
      </c>
      <c r="E262" s="81"/>
      <c r="F262" s="118" t="str">
        <f t="shared" si="21"/>
        <v/>
      </c>
      <c r="G262" s="113"/>
      <c r="H262" s="357"/>
      <c r="I262" s="113"/>
      <c r="J262" s="81"/>
      <c r="L262" s="72" t="str">
        <f t="shared" si="19"/>
        <v/>
      </c>
      <c r="M262" s="72" t="str">
        <f t="shared" si="20"/>
        <v/>
      </c>
    </row>
    <row r="263" spans="1:13">
      <c r="A263" s="333" t="str">
        <f>IF(E263="","",VLOOKUP('OPĆI DIO'!$C$3,'OPĆI DIO'!$L$6:$U$138,10,FALSE))</f>
        <v/>
      </c>
      <c r="B263" s="70" t="str">
        <f>IF(E263="","",VLOOKUP('OPĆI DIO'!$C$3,'OPĆI DIO'!$L$6:$U$138,9,FALSE))</f>
        <v/>
      </c>
      <c r="C263" s="115" t="str">
        <f t="shared" si="23"/>
        <v/>
      </c>
      <c r="D263" s="69" t="str">
        <f t="shared" si="22"/>
        <v/>
      </c>
      <c r="E263" s="81"/>
      <c r="F263" s="118" t="str">
        <f t="shared" si="21"/>
        <v/>
      </c>
      <c r="G263" s="113"/>
      <c r="H263" s="357"/>
      <c r="I263" s="113"/>
      <c r="J263" s="81"/>
      <c r="L263" s="72" t="str">
        <f t="shared" ref="L263:L326" si="24">LEFT(E263,2)</f>
        <v/>
      </c>
      <c r="M263" s="72" t="str">
        <f t="shared" ref="M263:M326" si="25">LEFT(E263,3)</f>
        <v/>
      </c>
    </row>
    <row r="264" spans="1:13">
      <c r="A264" s="333" t="str">
        <f>IF(E264="","",VLOOKUP('OPĆI DIO'!$C$3,'OPĆI DIO'!$L$6:$U$138,10,FALSE))</f>
        <v/>
      </c>
      <c r="B264" s="70" t="str">
        <f>IF(E264="","",VLOOKUP('OPĆI DIO'!$C$3,'OPĆI DIO'!$L$6:$U$138,9,FALSE))</f>
        <v/>
      </c>
      <c r="C264" s="115" t="str">
        <f t="shared" si="23"/>
        <v/>
      </c>
      <c r="D264" s="69" t="str">
        <f t="shared" si="22"/>
        <v/>
      </c>
      <c r="E264" s="81"/>
      <c r="F264" s="118" t="str">
        <f t="shared" si="21"/>
        <v/>
      </c>
      <c r="G264" s="113"/>
      <c r="H264" s="357"/>
      <c r="I264" s="113"/>
      <c r="J264" s="81"/>
      <c r="L264" s="72" t="str">
        <f t="shared" si="24"/>
        <v/>
      </c>
      <c r="M264" s="72" t="str">
        <f t="shared" si="25"/>
        <v/>
      </c>
    </row>
    <row r="265" spans="1:13">
      <c r="A265" s="333" t="str">
        <f>IF(E265="","",VLOOKUP('OPĆI DIO'!$C$3,'OPĆI DIO'!$L$6:$U$138,10,FALSE))</f>
        <v/>
      </c>
      <c r="B265" s="70" t="str">
        <f>IF(E265="","",VLOOKUP('OPĆI DIO'!$C$3,'OPĆI DIO'!$L$6:$U$138,9,FALSE))</f>
        <v/>
      </c>
      <c r="C265" s="115" t="str">
        <f t="shared" si="23"/>
        <v/>
      </c>
      <c r="D265" s="69" t="str">
        <f t="shared" si="22"/>
        <v/>
      </c>
      <c r="E265" s="81"/>
      <c r="F265" s="118" t="str">
        <f t="shared" si="21"/>
        <v/>
      </c>
      <c r="G265" s="113"/>
      <c r="H265" s="357"/>
      <c r="I265" s="113"/>
      <c r="J265" s="81"/>
      <c r="L265" s="72" t="str">
        <f t="shared" si="24"/>
        <v/>
      </c>
      <c r="M265" s="72" t="str">
        <f t="shared" si="25"/>
        <v/>
      </c>
    </row>
    <row r="266" spans="1:13">
      <c r="A266" s="333" t="str">
        <f>IF(E266="","",VLOOKUP('OPĆI DIO'!$C$3,'OPĆI DIO'!$L$6:$U$138,10,FALSE))</f>
        <v/>
      </c>
      <c r="B266" s="70" t="str">
        <f>IF(E266="","",VLOOKUP('OPĆI DIO'!$C$3,'OPĆI DIO'!$L$6:$U$138,9,FALSE))</f>
        <v/>
      </c>
      <c r="C266" s="115" t="str">
        <f t="shared" si="23"/>
        <v/>
      </c>
      <c r="D266" s="69" t="str">
        <f t="shared" si="22"/>
        <v/>
      </c>
      <c r="E266" s="81"/>
      <c r="F266" s="118" t="str">
        <f t="shared" si="21"/>
        <v/>
      </c>
      <c r="G266" s="113"/>
      <c r="H266" s="357"/>
      <c r="I266" s="113"/>
      <c r="J266" s="81"/>
      <c r="L266" s="72" t="str">
        <f t="shared" si="24"/>
        <v/>
      </c>
      <c r="M266" s="72" t="str">
        <f t="shared" si="25"/>
        <v/>
      </c>
    </row>
    <row r="267" spans="1:13">
      <c r="A267" s="333" t="str">
        <f>IF(E267="","",VLOOKUP('OPĆI DIO'!$C$3,'OPĆI DIO'!$L$6:$U$138,10,FALSE))</f>
        <v/>
      </c>
      <c r="B267" s="70" t="str">
        <f>IF(E267="","",VLOOKUP('OPĆI DIO'!$C$3,'OPĆI DIO'!$L$6:$U$138,9,FALSE))</f>
        <v/>
      </c>
      <c r="C267" s="115" t="str">
        <f t="shared" si="23"/>
        <v/>
      </c>
      <c r="D267" s="69" t="str">
        <f t="shared" si="22"/>
        <v/>
      </c>
      <c r="E267" s="81"/>
      <c r="F267" s="118" t="str">
        <f t="shared" si="21"/>
        <v/>
      </c>
      <c r="G267" s="113"/>
      <c r="H267" s="357"/>
      <c r="I267" s="113"/>
      <c r="J267" s="81"/>
      <c r="L267" s="72" t="str">
        <f t="shared" si="24"/>
        <v/>
      </c>
      <c r="M267" s="72" t="str">
        <f t="shared" si="25"/>
        <v/>
      </c>
    </row>
    <row r="268" spans="1:13">
      <c r="A268" s="333" t="str">
        <f>IF(E268="","",VLOOKUP('OPĆI DIO'!$C$3,'OPĆI DIO'!$L$6:$U$138,10,FALSE))</f>
        <v/>
      </c>
      <c r="B268" s="70" t="str">
        <f>IF(E268="","",VLOOKUP('OPĆI DIO'!$C$3,'OPĆI DIO'!$L$6:$U$138,9,FALSE))</f>
        <v/>
      </c>
      <c r="C268" s="115" t="str">
        <f t="shared" si="23"/>
        <v/>
      </c>
      <c r="D268" s="69" t="str">
        <f t="shared" si="22"/>
        <v/>
      </c>
      <c r="E268" s="81"/>
      <c r="F268" s="118" t="str">
        <f t="shared" si="21"/>
        <v/>
      </c>
      <c r="G268" s="113"/>
      <c r="H268" s="357"/>
      <c r="I268" s="113"/>
      <c r="J268" s="81"/>
      <c r="L268" s="72" t="str">
        <f t="shared" si="24"/>
        <v/>
      </c>
      <c r="M268" s="72" t="str">
        <f t="shared" si="25"/>
        <v/>
      </c>
    </row>
    <row r="269" spans="1:13">
      <c r="A269" s="333" t="str">
        <f>IF(E269="","",VLOOKUP('OPĆI DIO'!$C$3,'OPĆI DIO'!$L$6:$U$138,10,FALSE))</f>
        <v/>
      </c>
      <c r="B269" s="70" t="str">
        <f>IF(E269="","",VLOOKUP('OPĆI DIO'!$C$3,'OPĆI DIO'!$L$6:$U$138,9,FALSE))</f>
        <v/>
      </c>
      <c r="C269" s="115" t="str">
        <f t="shared" si="23"/>
        <v/>
      </c>
      <c r="D269" s="69" t="str">
        <f t="shared" si="22"/>
        <v/>
      </c>
      <c r="E269" s="81"/>
      <c r="F269" s="118" t="str">
        <f t="shared" si="21"/>
        <v/>
      </c>
      <c r="G269" s="113"/>
      <c r="H269" s="357"/>
      <c r="I269" s="113"/>
      <c r="J269" s="81"/>
      <c r="L269" s="72" t="str">
        <f t="shared" si="24"/>
        <v/>
      </c>
      <c r="M269" s="72" t="str">
        <f t="shared" si="25"/>
        <v/>
      </c>
    </row>
    <row r="270" spans="1:13">
      <c r="A270" s="333" t="str">
        <f>IF(E270="","",VLOOKUP('OPĆI DIO'!$C$3,'OPĆI DIO'!$L$6:$U$138,10,FALSE))</f>
        <v/>
      </c>
      <c r="B270" s="70" t="str">
        <f>IF(E270="","",VLOOKUP('OPĆI DIO'!$C$3,'OPĆI DIO'!$L$6:$U$138,9,FALSE))</f>
        <v/>
      </c>
      <c r="C270" s="115" t="str">
        <f t="shared" si="23"/>
        <v/>
      </c>
      <c r="D270" s="69" t="str">
        <f t="shared" si="22"/>
        <v/>
      </c>
      <c r="E270" s="81"/>
      <c r="F270" s="118" t="str">
        <f t="shared" ref="F270:F333" si="26">IFERROR(VLOOKUP(E270,$R$6:$U$116,2,FALSE),"")</f>
        <v/>
      </c>
      <c r="G270" s="113"/>
      <c r="H270" s="357"/>
      <c r="I270" s="113"/>
      <c r="J270" s="81"/>
      <c r="L270" s="72" t="str">
        <f t="shared" si="24"/>
        <v/>
      </c>
      <c r="M270" s="72" t="str">
        <f t="shared" si="25"/>
        <v/>
      </c>
    </row>
    <row r="271" spans="1:13">
      <c r="A271" s="333" t="str">
        <f>IF(E271="","",VLOOKUP('OPĆI DIO'!$C$3,'OPĆI DIO'!$L$6:$U$138,10,FALSE))</f>
        <v/>
      </c>
      <c r="B271" s="70" t="str">
        <f>IF(E271="","",VLOOKUP('OPĆI DIO'!$C$3,'OPĆI DIO'!$L$6:$U$138,9,FALSE))</f>
        <v/>
      </c>
      <c r="C271" s="115" t="str">
        <f t="shared" si="23"/>
        <v/>
      </c>
      <c r="D271" s="69" t="str">
        <f t="shared" si="22"/>
        <v/>
      </c>
      <c r="E271" s="81"/>
      <c r="F271" s="118" t="str">
        <f t="shared" si="26"/>
        <v/>
      </c>
      <c r="G271" s="113"/>
      <c r="H271" s="357"/>
      <c r="I271" s="113"/>
      <c r="J271" s="81"/>
      <c r="L271" s="72" t="str">
        <f t="shared" si="24"/>
        <v/>
      </c>
      <c r="M271" s="72" t="str">
        <f t="shared" si="25"/>
        <v/>
      </c>
    </row>
    <row r="272" spans="1:13">
      <c r="A272" s="333" t="str">
        <f>IF(E272="","",VLOOKUP('OPĆI DIO'!$C$3,'OPĆI DIO'!$L$6:$U$138,10,FALSE))</f>
        <v/>
      </c>
      <c r="B272" s="70" t="str">
        <f>IF(E272="","",VLOOKUP('OPĆI DIO'!$C$3,'OPĆI DIO'!$L$6:$U$138,9,FALSE))</f>
        <v/>
      </c>
      <c r="C272" s="115" t="str">
        <f t="shared" si="23"/>
        <v/>
      </c>
      <c r="D272" s="69" t="str">
        <f t="shared" si="22"/>
        <v/>
      </c>
      <c r="E272" s="81"/>
      <c r="F272" s="118" t="str">
        <f t="shared" si="26"/>
        <v/>
      </c>
      <c r="G272" s="113"/>
      <c r="H272" s="357"/>
      <c r="I272" s="113"/>
      <c r="J272" s="81"/>
      <c r="L272" s="72" t="str">
        <f t="shared" si="24"/>
        <v/>
      </c>
      <c r="M272" s="72" t="str">
        <f t="shared" si="25"/>
        <v/>
      </c>
    </row>
    <row r="273" spans="1:13">
      <c r="A273" s="333" t="str">
        <f>IF(E273="","",VLOOKUP('OPĆI DIO'!$C$3,'OPĆI DIO'!$L$6:$U$138,10,FALSE))</f>
        <v/>
      </c>
      <c r="B273" s="70" t="str">
        <f>IF(E273="","",VLOOKUP('OPĆI DIO'!$C$3,'OPĆI DIO'!$L$6:$U$138,9,FALSE))</f>
        <v/>
      </c>
      <c r="C273" s="115" t="str">
        <f t="shared" si="23"/>
        <v/>
      </c>
      <c r="D273" s="69" t="str">
        <f t="shared" si="22"/>
        <v/>
      </c>
      <c r="E273" s="81"/>
      <c r="F273" s="118" t="str">
        <f t="shared" si="26"/>
        <v/>
      </c>
      <c r="G273" s="113"/>
      <c r="H273" s="357"/>
      <c r="I273" s="113"/>
      <c r="J273" s="81"/>
      <c r="L273" s="72" t="str">
        <f t="shared" si="24"/>
        <v/>
      </c>
      <c r="M273" s="72" t="str">
        <f t="shared" si="25"/>
        <v/>
      </c>
    </row>
    <row r="274" spans="1:13">
      <c r="A274" s="333" t="str">
        <f>IF(E274="","",VLOOKUP('OPĆI DIO'!$C$3,'OPĆI DIO'!$L$6:$U$138,10,FALSE))</f>
        <v/>
      </c>
      <c r="B274" s="70" t="str">
        <f>IF(E274="","",VLOOKUP('OPĆI DIO'!$C$3,'OPĆI DIO'!$L$6:$U$138,9,FALSE))</f>
        <v/>
      </c>
      <c r="C274" s="115" t="str">
        <f t="shared" si="23"/>
        <v/>
      </c>
      <c r="D274" s="69" t="str">
        <f t="shared" si="22"/>
        <v/>
      </c>
      <c r="E274" s="81"/>
      <c r="F274" s="118" t="str">
        <f t="shared" si="26"/>
        <v/>
      </c>
      <c r="G274" s="113"/>
      <c r="H274" s="357"/>
      <c r="I274" s="113"/>
      <c r="J274" s="81"/>
      <c r="L274" s="72" t="str">
        <f t="shared" si="24"/>
        <v/>
      </c>
      <c r="M274" s="72" t="str">
        <f t="shared" si="25"/>
        <v/>
      </c>
    </row>
    <row r="275" spans="1:13">
      <c r="A275" s="333" t="str">
        <f>IF(E275="","",VLOOKUP('OPĆI DIO'!$C$3,'OPĆI DIO'!$L$6:$U$138,10,FALSE))</f>
        <v/>
      </c>
      <c r="B275" s="70" t="str">
        <f>IF(E275="","",VLOOKUP('OPĆI DIO'!$C$3,'OPĆI DIO'!$L$6:$U$138,9,FALSE))</f>
        <v/>
      </c>
      <c r="C275" s="115" t="str">
        <f t="shared" si="23"/>
        <v/>
      </c>
      <c r="D275" s="69" t="str">
        <f t="shared" si="22"/>
        <v/>
      </c>
      <c r="E275" s="81"/>
      <c r="F275" s="118" t="str">
        <f t="shared" si="26"/>
        <v/>
      </c>
      <c r="G275" s="113"/>
      <c r="H275" s="357"/>
      <c r="I275" s="113"/>
      <c r="J275" s="81"/>
      <c r="L275" s="72" t="str">
        <f t="shared" si="24"/>
        <v/>
      </c>
      <c r="M275" s="72" t="str">
        <f t="shared" si="25"/>
        <v/>
      </c>
    </row>
    <row r="276" spans="1:13">
      <c r="A276" s="333" t="str">
        <f>IF(E276="","",VLOOKUP('OPĆI DIO'!$C$3,'OPĆI DIO'!$L$6:$U$138,10,FALSE))</f>
        <v/>
      </c>
      <c r="B276" s="70" t="str">
        <f>IF(E276="","",VLOOKUP('OPĆI DIO'!$C$3,'OPĆI DIO'!$L$6:$U$138,9,FALSE))</f>
        <v/>
      </c>
      <c r="C276" s="115" t="str">
        <f t="shared" si="23"/>
        <v/>
      </c>
      <c r="D276" s="69" t="str">
        <f t="shared" si="22"/>
        <v/>
      </c>
      <c r="E276" s="81"/>
      <c r="F276" s="118" t="str">
        <f t="shared" si="26"/>
        <v/>
      </c>
      <c r="G276" s="113"/>
      <c r="H276" s="357"/>
      <c r="I276" s="113"/>
      <c r="J276" s="81"/>
      <c r="L276" s="72" t="str">
        <f t="shared" si="24"/>
        <v/>
      </c>
      <c r="M276" s="72" t="str">
        <f t="shared" si="25"/>
        <v/>
      </c>
    </row>
    <row r="277" spans="1:13">
      <c r="A277" s="333" t="str">
        <f>IF(E277="","",VLOOKUP('OPĆI DIO'!$C$3,'OPĆI DIO'!$L$6:$U$138,10,FALSE))</f>
        <v/>
      </c>
      <c r="B277" s="70" t="str">
        <f>IF(E277="","",VLOOKUP('OPĆI DIO'!$C$3,'OPĆI DIO'!$L$6:$U$138,9,FALSE))</f>
        <v/>
      </c>
      <c r="C277" s="115" t="str">
        <f t="shared" si="23"/>
        <v/>
      </c>
      <c r="D277" s="69" t="str">
        <f t="shared" si="22"/>
        <v/>
      </c>
      <c r="E277" s="81"/>
      <c r="F277" s="118" t="str">
        <f t="shared" si="26"/>
        <v/>
      </c>
      <c r="G277" s="113"/>
      <c r="H277" s="357"/>
      <c r="I277" s="113"/>
      <c r="J277" s="81"/>
      <c r="L277" s="72" t="str">
        <f t="shared" si="24"/>
        <v/>
      </c>
      <c r="M277" s="72" t="str">
        <f t="shared" si="25"/>
        <v/>
      </c>
    </row>
    <row r="278" spans="1:13">
      <c r="A278" s="333" t="str">
        <f>IF(E278="","",VLOOKUP('OPĆI DIO'!$C$3,'OPĆI DIO'!$L$6:$U$138,10,FALSE))</f>
        <v/>
      </c>
      <c r="B278" s="70" t="str">
        <f>IF(E278="","",VLOOKUP('OPĆI DIO'!$C$3,'OPĆI DIO'!$L$6:$U$138,9,FALSE))</f>
        <v/>
      </c>
      <c r="C278" s="115" t="str">
        <f t="shared" si="23"/>
        <v/>
      </c>
      <c r="D278" s="69" t="str">
        <f t="shared" si="22"/>
        <v/>
      </c>
      <c r="E278" s="81"/>
      <c r="F278" s="118" t="str">
        <f t="shared" si="26"/>
        <v/>
      </c>
      <c r="G278" s="113"/>
      <c r="H278" s="357"/>
      <c r="I278" s="113"/>
      <c r="J278" s="81"/>
      <c r="L278" s="72" t="str">
        <f t="shared" si="24"/>
        <v/>
      </c>
      <c r="M278" s="72" t="str">
        <f t="shared" si="25"/>
        <v/>
      </c>
    </row>
    <row r="279" spans="1:13">
      <c r="A279" s="333" t="str">
        <f>IF(E279="","",VLOOKUP('OPĆI DIO'!$C$3,'OPĆI DIO'!$L$6:$U$138,10,FALSE))</f>
        <v/>
      </c>
      <c r="B279" s="70" t="str">
        <f>IF(E279="","",VLOOKUP('OPĆI DIO'!$C$3,'OPĆI DIO'!$L$6:$U$138,9,FALSE))</f>
        <v/>
      </c>
      <c r="C279" s="115" t="str">
        <f t="shared" si="23"/>
        <v/>
      </c>
      <c r="D279" s="69" t="str">
        <f t="shared" si="22"/>
        <v/>
      </c>
      <c r="E279" s="81"/>
      <c r="F279" s="118" t="str">
        <f t="shared" si="26"/>
        <v/>
      </c>
      <c r="G279" s="113"/>
      <c r="H279" s="357"/>
      <c r="I279" s="113"/>
      <c r="J279" s="81"/>
      <c r="L279" s="72" t="str">
        <f t="shared" si="24"/>
        <v/>
      </c>
      <c r="M279" s="72" t="str">
        <f t="shared" si="25"/>
        <v/>
      </c>
    </row>
    <row r="280" spans="1:13">
      <c r="A280" s="333" t="str">
        <f>IF(E280="","",VLOOKUP('OPĆI DIO'!$C$3,'OPĆI DIO'!$L$6:$U$138,10,FALSE))</f>
        <v/>
      </c>
      <c r="B280" s="70" t="str">
        <f>IF(E280="","",VLOOKUP('OPĆI DIO'!$C$3,'OPĆI DIO'!$L$6:$U$138,9,FALSE))</f>
        <v/>
      </c>
      <c r="C280" s="115" t="str">
        <f t="shared" si="23"/>
        <v/>
      </c>
      <c r="D280" s="69" t="str">
        <f t="shared" si="22"/>
        <v/>
      </c>
      <c r="E280" s="81"/>
      <c r="F280" s="118" t="str">
        <f t="shared" si="26"/>
        <v/>
      </c>
      <c r="G280" s="113"/>
      <c r="H280" s="357"/>
      <c r="I280" s="113"/>
      <c r="J280" s="81"/>
      <c r="L280" s="72" t="str">
        <f t="shared" si="24"/>
        <v/>
      </c>
      <c r="M280" s="72" t="str">
        <f t="shared" si="25"/>
        <v/>
      </c>
    </row>
    <row r="281" spans="1:13">
      <c r="A281" s="333" t="str">
        <f>IF(E281="","",VLOOKUP('OPĆI DIO'!$C$3,'OPĆI DIO'!$L$6:$U$138,10,FALSE))</f>
        <v/>
      </c>
      <c r="B281" s="70" t="str">
        <f>IF(E281="","",VLOOKUP('OPĆI DIO'!$C$3,'OPĆI DIO'!$L$6:$U$138,9,FALSE))</f>
        <v/>
      </c>
      <c r="C281" s="115" t="str">
        <f t="shared" si="23"/>
        <v/>
      </c>
      <c r="D281" s="69" t="str">
        <f t="shared" si="22"/>
        <v/>
      </c>
      <c r="E281" s="81"/>
      <c r="F281" s="118" t="str">
        <f t="shared" si="26"/>
        <v/>
      </c>
      <c r="G281" s="113"/>
      <c r="H281" s="357"/>
      <c r="I281" s="113"/>
      <c r="J281" s="81"/>
      <c r="L281" s="72" t="str">
        <f t="shared" si="24"/>
        <v/>
      </c>
      <c r="M281" s="72" t="str">
        <f t="shared" si="25"/>
        <v/>
      </c>
    </row>
    <row r="282" spans="1:13">
      <c r="A282" s="333" t="str">
        <f>IF(E282="","",VLOOKUP('OPĆI DIO'!$C$3,'OPĆI DIO'!$L$6:$U$138,10,FALSE))</f>
        <v/>
      </c>
      <c r="B282" s="70" t="str">
        <f>IF(E282="","",VLOOKUP('OPĆI DIO'!$C$3,'OPĆI DIO'!$L$6:$U$138,9,FALSE))</f>
        <v/>
      </c>
      <c r="C282" s="115" t="str">
        <f t="shared" si="23"/>
        <v/>
      </c>
      <c r="D282" s="69" t="str">
        <f t="shared" si="22"/>
        <v/>
      </c>
      <c r="E282" s="81"/>
      <c r="F282" s="118" t="str">
        <f t="shared" si="26"/>
        <v/>
      </c>
      <c r="G282" s="113"/>
      <c r="H282" s="357"/>
      <c r="I282" s="113"/>
      <c r="J282" s="81"/>
      <c r="L282" s="72" t="str">
        <f t="shared" si="24"/>
        <v/>
      </c>
      <c r="M282" s="72" t="str">
        <f t="shared" si="25"/>
        <v/>
      </c>
    </row>
    <row r="283" spans="1:13">
      <c r="A283" s="333" t="str">
        <f>IF(E283="","",VLOOKUP('OPĆI DIO'!$C$3,'OPĆI DIO'!$L$6:$U$138,10,FALSE))</f>
        <v/>
      </c>
      <c r="B283" s="70" t="str">
        <f>IF(E283="","",VLOOKUP('OPĆI DIO'!$C$3,'OPĆI DIO'!$L$6:$U$138,9,FALSE))</f>
        <v/>
      </c>
      <c r="C283" s="115" t="str">
        <f t="shared" si="23"/>
        <v/>
      </c>
      <c r="D283" s="69" t="str">
        <f t="shared" si="22"/>
        <v/>
      </c>
      <c r="E283" s="81"/>
      <c r="F283" s="118" t="str">
        <f t="shared" si="26"/>
        <v/>
      </c>
      <c r="G283" s="113"/>
      <c r="H283" s="357"/>
      <c r="I283" s="113"/>
      <c r="J283" s="81"/>
      <c r="L283" s="72" t="str">
        <f t="shared" si="24"/>
        <v/>
      </c>
      <c r="M283" s="72" t="str">
        <f t="shared" si="25"/>
        <v/>
      </c>
    </row>
    <row r="284" spans="1:13">
      <c r="A284" s="333" t="str">
        <f>IF(E284="","",VLOOKUP('OPĆI DIO'!$C$3,'OPĆI DIO'!$L$6:$U$138,10,FALSE))</f>
        <v/>
      </c>
      <c r="B284" s="70" t="str">
        <f>IF(E284="","",VLOOKUP('OPĆI DIO'!$C$3,'OPĆI DIO'!$L$6:$U$138,9,FALSE))</f>
        <v/>
      </c>
      <c r="C284" s="115" t="str">
        <f t="shared" si="23"/>
        <v/>
      </c>
      <c r="D284" s="69" t="str">
        <f t="shared" si="22"/>
        <v/>
      </c>
      <c r="E284" s="81"/>
      <c r="F284" s="118" t="str">
        <f t="shared" si="26"/>
        <v/>
      </c>
      <c r="G284" s="113"/>
      <c r="H284" s="357"/>
      <c r="I284" s="113"/>
      <c r="J284" s="81"/>
      <c r="L284" s="72" t="str">
        <f t="shared" si="24"/>
        <v/>
      </c>
      <c r="M284" s="72" t="str">
        <f t="shared" si="25"/>
        <v/>
      </c>
    </row>
    <row r="285" spans="1:13">
      <c r="A285" s="333" t="str">
        <f>IF(E285="","",VLOOKUP('OPĆI DIO'!$C$3,'OPĆI DIO'!$L$6:$U$138,10,FALSE))</f>
        <v/>
      </c>
      <c r="B285" s="70" t="str">
        <f>IF(E285="","",VLOOKUP('OPĆI DIO'!$C$3,'OPĆI DIO'!$L$6:$U$138,9,FALSE))</f>
        <v/>
      </c>
      <c r="C285" s="115" t="str">
        <f t="shared" si="23"/>
        <v/>
      </c>
      <c r="D285" s="69" t="str">
        <f t="shared" si="22"/>
        <v/>
      </c>
      <c r="E285" s="81"/>
      <c r="F285" s="118" t="str">
        <f t="shared" si="26"/>
        <v/>
      </c>
      <c r="G285" s="113"/>
      <c r="H285" s="357"/>
      <c r="I285" s="113"/>
      <c r="J285" s="81"/>
      <c r="L285" s="72" t="str">
        <f t="shared" si="24"/>
        <v/>
      </c>
      <c r="M285" s="72" t="str">
        <f t="shared" si="25"/>
        <v/>
      </c>
    </row>
    <row r="286" spans="1:13">
      <c r="A286" s="333" t="str">
        <f>IF(E286="","",VLOOKUP('OPĆI DIO'!$C$3,'OPĆI DIO'!$L$6:$U$138,10,FALSE))</f>
        <v/>
      </c>
      <c r="B286" s="70" t="str">
        <f>IF(E286="","",VLOOKUP('OPĆI DIO'!$C$3,'OPĆI DIO'!$L$6:$U$138,9,FALSE))</f>
        <v/>
      </c>
      <c r="C286" s="115" t="str">
        <f t="shared" si="23"/>
        <v/>
      </c>
      <c r="D286" s="69" t="str">
        <f t="shared" si="22"/>
        <v/>
      </c>
      <c r="E286" s="81"/>
      <c r="F286" s="118" t="str">
        <f t="shared" si="26"/>
        <v/>
      </c>
      <c r="G286" s="113"/>
      <c r="H286" s="357"/>
      <c r="I286" s="113"/>
      <c r="J286" s="81"/>
      <c r="L286" s="72" t="str">
        <f t="shared" si="24"/>
        <v/>
      </c>
      <c r="M286" s="72" t="str">
        <f t="shared" si="25"/>
        <v/>
      </c>
    </row>
    <row r="287" spans="1:13">
      <c r="A287" s="333" t="str">
        <f>IF(E287="","",VLOOKUP('OPĆI DIO'!$C$3,'OPĆI DIO'!$L$6:$U$138,10,FALSE))</f>
        <v/>
      </c>
      <c r="B287" s="70" t="str">
        <f>IF(E287="","",VLOOKUP('OPĆI DIO'!$C$3,'OPĆI DIO'!$L$6:$U$138,9,FALSE))</f>
        <v/>
      </c>
      <c r="C287" s="115" t="str">
        <f t="shared" si="23"/>
        <v/>
      </c>
      <c r="D287" s="69" t="str">
        <f t="shared" si="22"/>
        <v/>
      </c>
      <c r="E287" s="81"/>
      <c r="F287" s="118" t="str">
        <f t="shared" si="26"/>
        <v/>
      </c>
      <c r="G287" s="113"/>
      <c r="H287" s="357"/>
      <c r="I287" s="113"/>
      <c r="J287" s="81"/>
      <c r="L287" s="72" t="str">
        <f t="shared" si="24"/>
        <v/>
      </c>
      <c r="M287" s="72" t="str">
        <f t="shared" si="25"/>
        <v/>
      </c>
    </row>
    <row r="288" spans="1:13">
      <c r="A288" s="333" t="str">
        <f>IF(E288="","",VLOOKUP('OPĆI DIO'!$C$3,'OPĆI DIO'!$L$6:$U$138,10,FALSE))</f>
        <v/>
      </c>
      <c r="B288" s="70" t="str">
        <f>IF(E288="","",VLOOKUP('OPĆI DIO'!$C$3,'OPĆI DIO'!$L$6:$U$138,9,FALSE))</f>
        <v/>
      </c>
      <c r="C288" s="115" t="str">
        <f t="shared" si="23"/>
        <v/>
      </c>
      <c r="D288" s="69" t="str">
        <f t="shared" si="22"/>
        <v/>
      </c>
      <c r="E288" s="81"/>
      <c r="F288" s="118" t="str">
        <f t="shared" si="26"/>
        <v/>
      </c>
      <c r="G288" s="113"/>
      <c r="H288" s="357"/>
      <c r="I288" s="113"/>
      <c r="J288" s="81"/>
      <c r="L288" s="72" t="str">
        <f t="shared" si="24"/>
        <v/>
      </c>
      <c r="M288" s="72" t="str">
        <f t="shared" si="25"/>
        <v/>
      </c>
    </row>
    <row r="289" spans="1:13">
      <c r="A289" s="333" t="str">
        <f>IF(E289="","",VLOOKUP('OPĆI DIO'!$C$3,'OPĆI DIO'!$L$6:$U$138,10,FALSE))</f>
        <v/>
      </c>
      <c r="B289" s="70" t="str">
        <f>IF(E289="","",VLOOKUP('OPĆI DIO'!$C$3,'OPĆI DIO'!$L$6:$U$138,9,FALSE))</f>
        <v/>
      </c>
      <c r="C289" s="115" t="str">
        <f t="shared" si="23"/>
        <v/>
      </c>
      <c r="D289" s="69" t="str">
        <f t="shared" si="22"/>
        <v/>
      </c>
      <c r="E289" s="81"/>
      <c r="F289" s="118" t="str">
        <f t="shared" si="26"/>
        <v/>
      </c>
      <c r="G289" s="113"/>
      <c r="H289" s="357"/>
      <c r="I289" s="113"/>
      <c r="J289" s="81"/>
      <c r="L289" s="72" t="str">
        <f t="shared" si="24"/>
        <v/>
      </c>
      <c r="M289" s="72" t="str">
        <f t="shared" si="25"/>
        <v/>
      </c>
    </row>
    <row r="290" spans="1:13">
      <c r="A290" s="333" t="str">
        <f>IF(E290="","",VLOOKUP('OPĆI DIO'!$C$3,'OPĆI DIO'!$L$6:$U$138,10,FALSE))</f>
        <v/>
      </c>
      <c r="B290" s="70" t="str">
        <f>IF(E290="","",VLOOKUP('OPĆI DIO'!$C$3,'OPĆI DIO'!$L$6:$U$138,9,FALSE))</f>
        <v/>
      </c>
      <c r="C290" s="115" t="str">
        <f t="shared" si="23"/>
        <v/>
      </c>
      <c r="D290" s="69" t="str">
        <f t="shared" si="22"/>
        <v/>
      </c>
      <c r="E290" s="81"/>
      <c r="F290" s="118" t="str">
        <f t="shared" si="26"/>
        <v/>
      </c>
      <c r="G290" s="113"/>
      <c r="H290" s="357"/>
      <c r="I290" s="113"/>
      <c r="J290" s="81"/>
      <c r="L290" s="72" t="str">
        <f t="shared" si="24"/>
        <v/>
      </c>
      <c r="M290" s="72" t="str">
        <f t="shared" si="25"/>
        <v/>
      </c>
    </row>
    <row r="291" spans="1:13">
      <c r="A291" s="333" t="str">
        <f>IF(E291="","",VLOOKUP('OPĆI DIO'!$C$3,'OPĆI DIO'!$L$6:$U$138,10,FALSE))</f>
        <v/>
      </c>
      <c r="B291" s="70" t="str">
        <f>IF(E291="","",VLOOKUP('OPĆI DIO'!$C$3,'OPĆI DIO'!$L$6:$U$138,9,FALSE))</f>
        <v/>
      </c>
      <c r="C291" s="115" t="str">
        <f t="shared" si="23"/>
        <v/>
      </c>
      <c r="D291" s="69" t="str">
        <f t="shared" si="22"/>
        <v/>
      </c>
      <c r="E291" s="81"/>
      <c r="F291" s="118" t="str">
        <f t="shared" si="26"/>
        <v/>
      </c>
      <c r="G291" s="113"/>
      <c r="H291" s="357"/>
      <c r="I291" s="113"/>
      <c r="J291" s="81"/>
      <c r="L291" s="72" t="str">
        <f t="shared" si="24"/>
        <v/>
      </c>
      <c r="M291" s="72" t="str">
        <f t="shared" si="25"/>
        <v/>
      </c>
    </row>
    <row r="292" spans="1:13">
      <c r="A292" s="333" t="str">
        <f>IF(E292="","",VLOOKUP('OPĆI DIO'!$C$3,'OPĆI DIO'!$L$6:$U$138,10,FALSE))</f>
        <v/>
      </c>
      <c r="B292" s="70" t="str">
        <f>IF(E292="","",VLOOKUP('OPĆI DIO'!$C$3,'OPĆI DIO'!$L$6:$U$138,9,FALSE))</f>
        <v/>
      </c>
      <c r="C292" s="115" t="str">
        <f t="shared" si="23"/>
        <v/>
      </c>
      <c r="D292" s="69" t="str">
        <f t="shared" si="22"/>
        <v/>
      </c>
      <c r="E292" s="81"/>
      <c r="F292" s="118" t="str">
        <f t="shared" si="26"/>
        <v/>
      </c>
      <c r="G292" s="113"/>
      <c r="H292" s="357"/>
      <c r="I292" s="113"/>
      <c r="J292" s="81"/>
      <c r="L292" s="72" t="str">
        <f t="shared" si="24"/>
        <v/>
      </c>
      <c r="M292" s="72" t="str">
        <f t="shared" si="25"/>
        <v/>
      </c>
    </row>
    <row r="293" spans="1:13">
      <c r="A293" s="333" t="str">
        <f>IF(E293="","",VLOOKUP('OPĆI DIO'!$C$3,'OPĆI DIO'!$L$6:$U$138,10,FALSE))</f>
        <v/>
      </c>
      <c r="B293" s="70" t="str">
        <f>IF(E293="","",VLOOKUP('OPĆI DIO'!$C$3,'OPĆI DIO'!$L$6:$U$138,9,FALSE))</f>
        <v/>
      </c>
      <c r="C293" s="115" t="str">
        <f t="shared" si="23"/>
        <v/>
      </c>
      <c r="D293" s="69" t="str">
        <f t="shared" si="22"/>
        <v/>
      </c>
      <c r="E293" s="81"/>
      <c r="F293" s="118" t="str">
        <f t="shared" si="26"/>
        <v/>
      </c>
      <c r="G293" s="113"/>
      <c r="H293" s="357"/>
      <c r="I293" s="113"/>
      <c r="J293" s="81"/>
      <c r="L293" s="72" t="str">
        <f t="shared" si="24"/>
        <v/>
      </c>
      <c r="M293" s="72" t="str">
        <f t="shared" si="25"/>
        <v/>
      </c>
    </row>
    <row r="294" spans="1:13">
      <c r="A294" s="333" t="str">
        <f>IF(E294="","",VLOOKUP('OPĆI DIO'!$C$3,'OPĆI DIO'!$L$6:$U$138,10,FALSE))</f>
        <v/>
      </c>
      <c r="B294" s="70" t="str">
        <f>IF(E294="","",VLOOKUP('OPĆI DIO'!$C$3,'OPĆI DIO'!$L$6:$U$138,9,FALSE))</f>
        <v/>
      </c>
      <c r="C294" s="115" t="str">
        <f t="shared" si="23"/>
        <v/>
      </c>
      <c r="D294" s="69" t="str">
        <f t="shared" si="22"/>
        <v/>
      </c>
      <c r="E294" s="81"/>
      <c r="F294" s="118" t="str">
        <f t="shared" si="26"/>
        <v/>
      </c>
      <c r="G294" s="113"/>
      <c r="H294" s="357"/>
      <c r="I294" s="113"/>
      <c r="J294" s="81"/>
      <c r="L294" s="72" t="str">
        <f t="shared" si="24"/>
        <v/>
      </c>
      <c r="M294" s="72" t="str">
        <f t="shared" si="25"/>
        <v/>
      </c>
    </row>
    <row r="295" spans="1:13">
      <c r="A295" s="333" t="str">
        <f>IF(E295="","",VLOOKUP('OPĆI DIO'!$C$3,'OPĆI DIO'!$L$6:$U$138,10,FALSE))</f>
        <v/>
      </c>
      <c r="B295" s="70" t="str">
        <f>IF(E295="","",VLOOKUP('OPĆI DIO'!$C$3,'OPĆI DIO'!$L$6:$U$138,9,FALSE))</f>
        <v/>
      </c>
      <c r="C295" s="115" t="str">
        <f t="shared" si="23"/>
        <v/>
      </c>
      <c r="D295" s="69" t="str">
        <f t="shared" si="22"/>
        <v/>
      </c>
      <c r="E295" s="81"/>
      <c r="F295" s="118" t="str">
        <f t="shared" si="26"/>
        <v/>
      </c>
      <c r="G295" s="113"/>
      <c r="H295" s="357"/>
      <c r="I295" s="113"/>
      <c r="J295" s="81"/>
      <c r="L295" s="72" t="str">
        <f t="shared" si="24"/>
        <v/>
      </c>
      <c r="M295" s="72" t="str">
        <f t="shared" si="25"/>
        <v/>
      </c>
    </row>
    <row r="296" spans="1:13">
      <c r="A296" s="333" t="str">
        <f>IF(E296="","",VLOOKUP('OPĆI DIO'!$C$3,'OPĆI DIO'!$L$6:$U$138,10,FALSE))</f>
        <v/>
      </c>
      <c r="B296" s="70" t="str">
        <f>IF(E296="","",VLOOKUP('OPĆI DIO'!$C$3,'OPĆI DIO'!$L$6:$U$138,9,FALSE))</f>
        <v/>
      </c>
      <c r="C296" s="115" t="str">
        <f t="shared" si="23"/>
        <v/>
      </c>
      <c r="D296" s="69" t="str">
        <f t="shared" si="22"/>
        <v/>
      </c>
      <c r="E296" s="81"/>
      <c r="F296" s="118" t="str">
        <f t="shared" si="26"/>
        <v/>
      </c>
      <c r="G296" s="113"/>
      <c r="H296" s="357"/>
      <c r="I296" s="113"/>
      <c r="J296" s="81"/>
      <c r="L296" s="72" t="str">
        <f t="shared" si="24"/>
        <v/>
      </c>
      <c r="M296" s="72" t="str">
        <f t="shared" si="25"/>
        <v/>
      </c>
    </row>
    <row r="297" spans="1:13">
      <c r="A297" s="333" t="str">
        <f>IF(E297="","",VLOOKUP('OPĆI DIO'!$C$3,'OPĆI DIO'!$L$6:$U$138,10,FALSE))</f>
        <v/>
      </c>
      <c r="B297" s="70" t="str">
        <f>IF(E297="","",VLOOKUP('OPĆI DIO'!$C$3,'OPĆI DIO'!$L$6:$U$138,9,FALSE))</f>
        <v/>
      </c>
      <c r="C297" s="115" t="str">
        <f t="shared" si="23"/>
        <v/>
      </c>
      <c r="D297" s="69" t="str">
        <f t="shared" si="22"/>
        <v/>
      </c>
      <c r="E297" s="81"/>
      <c r="F297" s="118" t="str">
        <f t="shared" si="26"/>
        <v/>
      </c>
      <c r="G297" s="113"/>
      <c r="H297" s="357"/>
      <c r="I297" s="113"/>
      <c r="J297" s="81"/>
      <c r="L297" s="72" t="str">
        <f t="shared" si="24"/>
        <v/>
      </c>
      <c r="M297" s="72" t="str">
        <f t="shared" si="25"/>
        <v/>
      </c>
    </row>
    <row r="298" spans="1:13">
      <c r="A298" s="333" t="str">
        <f>IF(E298="","",VLOOKUP('OPĆI DIO'!$C$3,'OPĆI DIO'!$L$6:$U$138,10,FALSE))</f>
        <v/>
      </c>
      <c r="B298" s="70" t="str">
        <f>IF(E298="","",VLOOKUP('OPĆI DIO'!$C$3,'OPĆI DIO'!$L$6:$U$138,9,FALSE))</f>
        <v/>
      </c>
      <c r="C298" s="115" t="str">
        <f t="shared" si="23"/>
        <v/>
      </c>
      <c r="D298" s="69" t="str">
        <f t="shared" si="22"/>
        <v/>
      </c>
      <c r="E298" s="81"/>
      <c r="F298" s="118" t="str">
        <f t="shared" si="26"/>
        <v/>
      </c>
      <c r="G298" s="113"/>
      <c r="H298" s="357"/>
      <c r="I298" s="113"/>
      <c r="J298" s="81"/>
      <c r="L298" s="72" t="str">
        <f t="shared" si="24"/>
        <v/>
      </c>
      <c r="M298" s="72" t="str">
        <f t="shared" si="25"/>
        <v/>
      </c>
    </row>
    <row r="299" spans="1:13">
      <c r="A299" s="333" t="str">
        <f>IF(E299="","",VLOOKUP('OPĆI DIO'!$C$3,'OPĆI DIO'!$L$6:$U$138,10,FALSE))</f>
        <v/>
      </c>
      <c r="B299" s="70" t="str">
        <f>IF(E299="","",VLOOKUP('OPĆI DIO'!$C$3,'OPĆI DIO'!$L$6:$U$138,9,FALSE))</f>
        <v/>
      </c>
      <c r="C299" s="115" t="str">
        <f t="shared" si="23"/>
        <v/>
      </c>
      <c r="D299" s="69" t="str">
        <f t="shared" si="22"/>
        <v/>
      </c>
      <c r="E299" s="81"/>
      <c r="F299" s="118" t="str">
        <f t="shared" si="26"/>
        <v/>
      </c>
      <c r="G299" s="113"/>
      <c r="H299" s="357"/>
      <c r="I299" s="113"/>
      <c r="J299" s="81"/>
      <c r="L299" s="72" t="str">
        <f t="shared" si="24"/>
        <v/>
      </c>
      <c r="M299" s="72" t="str">
        <f t="shared" si="25"/>
        <v/>
      </c>
    </row>
    <row r="300" spans="1:13">
      <c r="A300" s="333" t="str">
        <f>IF(E300="","",VLOOKUP('OPĆI DIO'!$C$3,'OPĆI DIO'!$L$6:$U$138,10,FALSE))</f>
        <v/>
      </c>
      <c r="B300" s="70" t="str">
        <f>IF(E300="","",VLOOKUP('OPĆI DIO'!$C$3,'OPĆI DIO'!$L$6:$U$138,9,FALSE))</f>
        <v/>
      </c>
      <c r="C300" s="115" t="str">
        <f t="shared" si="23"/>
        <v/>
      </c>
      <c r="D300" s="69" t="str">
        <f t="shared" si="22"/>
        <v/>
      </c>
      <c r="E300" s="81"/>
      <c r="F300" s="118" t="str">
        <f t="shared" si="26"/>
        <v/>
      </c>
      <c r="G300" s="113"/>
      <c r="H300" s="357"/>
      <c r="I300" s="113"/>
      <c r="J300" s="81"/>
      <c r="L300" s="72" t="str">
        <f t="shared" si="24"/>
        <v/>
      </c>
      <c r="M300" s="72" t="str">
        <f t="shared" si="25"/>
        <v/>
      </c>
    </row>
    <row r="301" spans="1:13">
      <c r="A301" s="333" t="str">
        <f>IF(E301="","",VLOOKUP('OPĆI DIO'!$C$3,'OPĆI DIO'!$L$6:$U$138,10,FALSE))</f>
        <v/>
      </c>
      <c r="B301" s="70" t="str">
        <f>IF(E301="","",VLOOKUP('OPĆI DIO'!$C$3,'OPĆI DIO'!$L$6:$U$138,9,FALSE))</f>
        <v/>
      </c>
      <c r="C301" s="115" t="str">
        <f t="shared" si="23"/>
        <v/>
      </c>
      <c r="D301" s="69" t="str">
        <f t="shared" si="22"/>
        <v/>
      </c>
      <c r="E301" s="81"/>
      <c r="F301" s="118" t="str">
        <f t="shared" si="26"/>
        <v/>
      </c>
      <c r="G301" s="113"/>
      <c r="H301" s="357"/>
      <c r="I301" s="113"/>
      <c r="J301" s="81"/>
      <c r="L301" s="72" t="str">
        <f t="shared" si="24"/>
        <v/>
      </c>
      <c r="M301" s="72" t="str">
        <f t="shared" si="25"/>
        <v/>
      </c>
    </row>
    <row r="302" spans="1:13">
      <c r="A302" s="333" t="str">
        <f>IF(E302="","",VLOOKUP('OPĆI DIO'!$C$3,'OPĆI DIO'!$L$6:$U$138,10,FALSE))</f>
        <v/>
      </c>
      <c r="B302" s="70" t="str">
        <f>IF(E302="","",VLOOKUP('OPĆI DIO'!$C$3,'OPĆI DIO'!$L$6:$U$138,9,FALSE))</f>
        <v/>
      </c>
      <c r="C302" s="115" t="str">
        <f t="shared" si="23"/>
        <v/>
      </c>
      <c r="D302" s="69" t="str">
        <f t="shared" si="22"/>
        <v/>
      </c>
      <c r="E302" s="81"/>
      <c r="F302" s="118" t="str">
        <f t="shared" si="26"/>
        <v/>
      </c>
      <c r="G302" s="113"/>
      <c r="H302" s="357"/>
      <c r="I302" s="113"/>
      <c r="J302" s="81"/>
      <c r="L302" s="72" t="str">
        <f t="shared" si="24"/>
        <v/>
      </c>
      <c r="M302" s="72" t="str">
        <f t="shared" si="25"/>
        <v/>
      </c>
    </row>
    <row r="303" spans="1:13">
      <c r="A303" s="333" t="str">
        <f>IF(E303="","",VLOOKUP('OPĆI DIO'!$C$3,'OPĆI DIO'!$L$6:$U$138,10,FALSE))</f>
        <v/>
      </c>
      <c r="B303" s="70" t="str">
        <f>IF(E303="","",VLOOKUP('OPĆI DIO'!$C$3,'OPĆI DIO'!$L$6:$U$138,9,FALSE))</f>
        <v/>
      </c>
      <c r="C303" s="115" t="str">
        <f t="shared" si="23"/>
        <v/>
      </c>
      <c r="D303" s="69" t="str">
        <f t="shared" si="22"/>
        <v/>
      </c>
      <c r="E303" s="81"/>
      <c r="F303" s="118" t="str">
        <f t="shared" si="26"/>
        <v/>
      </c>
      <c r="G303" s="113"/>
      <c r="H303" s="357"/>
      <c r="I303" s="113"/>
      <c r="J303" s="81"/>
      <c r="L303" s="72" t="str">
        <f t="shared" si="24"/>
        <v/>
      </c>
      <c r="M303" s="72" t="str">
        <f t="shared" si="25"/>
        <v/>
      </c>
    </row>
    <row r="304" spans="1:13">
      <c r="A304" s="333" t="str">
        <f>IF(E304="","",VLOOKUP('OPĆI DIO'!$C$3,'OPĆI DIO'!$L$6:$U$138,10,FALSE))</f>
        <v/>
      </c>
      <c r="B304" s="70" t="str">
        <f>IF(E304="","",VLOOKUP('OPĆI DIO'!$C$3,'OPĆI DIO'!$L$6:$U$138,9,FALSE))</f>
        <v/>
      </c>
      <c r="C304" s="115" t="str">
        <f t="shared" si="23"/>
        <v/>
      </c>
      <c r="D304" s="69" t="str">
        <f t="shared" si="22"/>
        <v/>
      </c>
      <c r="E304" s="81"/>
      <c r="F304" s="118" t="str">
        <f t="shared" si="26"/>
        <v/>
      </c>
      <c r="G304" s="113"/>
      <c r="H304" s="357"/>
      <c r="I304" s="113"/>
      <c r="J304" s="81"/>
      <c r="L304" s="72" t="str">
        <f t="shared" si="24"/>
        <v/>
      </c>
      <c r="M304" s="72" t="str">
        <f t="shared" si="25"/>
        <v/>
      </c>
    </row>
    <row r="305" spans="1:13">
      <c r="A305" s="333" t="str">
        <f>IF(E305="","",VLOOKUP('OPĆI DIO'!$C$3,'OPĆI DIO'!$L$6:$U$138,10,FALSE))</f>
        <v/>
      </c>
      <c r="B305" s="70" t="str">
        <f>IF(E305="","",VLOOKUP('OPĆI DIO'!$C$3,'OPĆI DIO'!$L$6:$U$138,9,FALSE))</f>
        <v/>
      </c>
      <c r="C305" s="115" t="str">
        <f t="shared" si="23"/>
        <v/>
      </c>
      <c r="D305" s="69" t="str">
        <f t="shared" si="22"/>
        <v/>
      </c>
      <c r="E305" s="81"/>
      <c r="F305" s="118" t="str">
        <f t="shared" si="26"/>
        <v/>
      </c>
      <c r="G305" s="113"/>
      <c r="H305" s="357"/>
      <c r="I305" s="113"/>
      <c r="J305" s="81"/>
      <c r="L305" s="72" t="str">
        <f t="shared" si="24"/>
        <v/>
      </c>
      <c r="M305" s="72" t="str">
        <f t="shared" si="25"/>
        <v/>
      </c>
    </row>
    <row r="306" spans="1:13">
      <c r="A306" s="333" t="str">
        <f>IF(E306="","",VLOOKUP('OPĆI DIO'!$C$3,'OPĆI DIO'!$L$6:$U$138,10,FALSE))</f>
        <v/>
      </c>
      <c r="B306" s="70" t="str">
        <f>IF(E306="","",VLOOKUP('OPĆI DIO'!$C$3,'OPĆI DIO'!$L$6:$U$138,9,FALSE))</f>
        <v/>
      </c>
      <c r="C306" s="115" t="str">
        <f t="shared" si="23"/>
        <v/>
      </c>
      <c r="D306" s="69" t="str">
        <f t="shared" si="22"/>
        <v/>
      </c>
      <c r="E306" s="81"/>
      <c r="F306" s="118" t="str">
        <f t="shared" si="26"/>
        <v/>
      </c>
      <c r="G306" s="113"/>
      <c r="H306" s="357"/>
      <c r="I306" s="113"/>
      <c r="J306" s="81"/>
      <c r="L306" s="72" t="str">
        <f t="shared" si="24"/>
        <v/>
      </c>
      <c r="M306" s="72" t="str">
        <f t="shared" si="25"/>
        <v/>
      </c>
    </row>
    <row r="307" spans="1:13">
      <c r="A307" s="333" t="str">
        <f>IF(E307="","",VLOOKUP('OPĆI DIO'!$C$3,'OPĆI DIO'!$L$6:$U$138,10,FALSE))</f>
        <v/>
      </c>
      <c r="B307" s="70" t="str">
        <f>IF(E307="","",VLOOKUP('OPĆI DIO'!$C$3,'OPĆI DIO'!$L$6:$U$138,9,FALSE))</f>
        <v/>
      </c>
      <c r="C307" s="115" t="str">
        <f t="shared" si="23"/>
        <v/>
      </c>
      <c r="D307" s="69" t="str">
        <f t="shared" si="22"/>
        <v/>
      </c>
      <c r="E307" s="81"/>
      <c r="F307" s="118" t="str">
        <f t="shared" si="26"/>
        <v/>
      </c>
      <c r="G307" s="113"/>
      <c r="H307" s="357"/>
      <c r="I307" s="113"/>
      <c r="J307" s="81"/>
      <c r="L307" s="72" t="str">
        <f t="shared" si="24"/>
        <v/>
      </c>
      <c r="M307" s="72" t="str">
        <f t="shared" si="25"/>
        <v/>
      </c>
    </row>
    <row r="308" spans="1:13">
      <c r="A308" s="333" t="str">
        <f>IF(E308="","",VLOOKUP('OPĆI DIO'!$C$3,'OPĆI DIO'!$L$6:$U$138,10,FALSE))</f>
        <v/>
      </c>
      <c r="B308" s="70" t="str">
        <f>IF(E308="","",VLOOKUP('OPĆI DIO'!$C$3,'OPĆI DIO'!$L$6:$U$138,9,FALSE))</f>
        <v/>
      </c>
      <c r="C308" s="115" t="str">
        <f t="shared" si="23"/>
        <v/>
      </c>
      <c r="D308" s="69" t="str">
        <f t="shared" si="22"/>
        <v/>
      </c>
      <c r="E308" s="81"/>
      <c r="F308" s="118" t="str">
        <f t="shared" si="26"/>
        <v/>
      </c>
      <c r="G308" s="113"/>
      <c r="H308" s="357"/>
      <c r="I308" s="113"/>
      <c r="J308" s="81"/>
      <c r="L308" s="72" t="str">
        <f t="shared" si="24"/>
        <v/>
      </c>
      <c r="M308" s="72" t="str">
        <f t="shared" si="25"/>
        <v/>
      </c>
    </row>
    <row r="309" spans="1:13">
      <c r="A309" s="333" t="str">
        <f>IF(E309="","",VLOOKUP('OPĆI DIO'!$C$3,'OPĆI DIO'!$L$6:$U$138,10,FALSE))</f>
        <v/>
      </c>
      <c r="B309" s="70" t="str">
        <f>IF(E309="","",VLOOKUP('OPĆI DIO'!$C$3,'OPĆI DIO'!$L$6:$U$138,9,FALSE))</f>
        <v/>
      </c>
      <c r="C309" s="115" t="str">
        <f t="shared" si="23"/>
        <v/>
      </c>
      <c r="D309" s="69" t="str">
        <f t="shared" si="22"/>
        <v/>
      </c>
      <c r="E309" s="81"/>
      <c r="F309" s="118" t="str">
        <f t="shared" si="26"/>
        <v/>
      </c>
      <c r="G309" s="113"/>
      <c r="H309" s="357"/>
      <c r="I309" s="113"/>
      <c r="J309" s="81"/>
      <c r="L309" s="72" t="str">
        <f t="shared" si="24"/>
        <v/>
      </c>
      <c r="M309" s="72" t="str">
        <f t="shared" si="25"/>
        <v/>
      </c>
    </row>
    <row r="310" spans="1:13">
      <c r="A310" s="333" t="str">
        <f>IF(E310="","",VLOOKUP('OPĆI DIO'!$C$3,'OPĆI DIO'!$L$6:$U$138,10,FALSE))</f>
        <v/>
      </c>
      <c r="B310" s="70" t="str">
        <f>IF(E310="","",VLOOKUP('OPĆI DIO'!$C$3,'OPĆI DIO'!$L$6:$U$138,9,FALSE))</f>
        <v/>
      </c>
      <c r="C310" s="115" t="str">
        <f t="shared" si="23"/>
        <v/>
      </c>
      <c r="D310" s="69" t="str">
        <f t="shared" si="22"/>
        <v/>
      </c>
      <c r="E310" s="81"/>
      <c r="F310" s="118" t="str">
        <f t="shared" si="26"/>
        <v/>
      </c>
      <c r="G310" s="113"/>
      <c r="H310" s="357"/>
      <c r="I310" s="113"/>
      <c r="J310" s="81"/>
      <c r="L310" s="72" t="str">
        <f t="shared" si="24"/>
        <v/>
      </c>
      <c r="M310" s="72" t="str">
        <f t="shared" si="25"/>
        <v/>
      </c>
    </row>
    <row r="311" spans="1:13">
      <c r="A311" s="333" t="str">
        <f>IF(E311="","",VLOOKUP('OPĆI DIO'!$C$3,'OPĆI DIO'!$L$6:$U$138,10,FALSE))</f>
        <v/>
      </c>
      <c r="B311" s="70" t="str">
        <f>IF(E311="","",VLOOKUP('OPĆI DIO'!$C$3,'OPĆI DIO'!$L$6:$U$138,9,FALSE))</f>
        <v/>
      </c>
      <c r="C311" s="115" t="str">
        <f t="shared" si="23"/>
        <v/>
      </c>
      <c r="D311" s="69" t="str">
        <f t="shared" si="22"/>
        <v/>
      </c>
      <c r="E311" s="81"/>
      <c r="F311" s="118" t="str">
        <f t="shared" si="26"/>
        <v/>
      </c>
      <c r="G311" s="113"/>
      <c r="H311" s="357"/>
      <c r="I311" s="113"/>
      <c r="J311" s="81"/>
      <c r="L311" s="72" t="str">
        <f t="shared" si="24"/>
        <v/>
      </c>
      <c r="M311" s="72" t="str">
        <f t="shared" si="25"/>
        <v/>
      </c>
    </row>
    <row r="312" spans="1:13">
      <c r="A312" s="333" t="str">
        <f>IF(E312="","",VLOOKUP('OPĆI DIO'!$C$3,'OPĆI DIO'!$L$6:$U$138,10,FALSE))</f>
        <v/>
      </c>
      <c r="B312" s="70" t="str">
        <f>IF(E312="","",VLOOKUP('OPĆI DIO'!$C$3,'OPĆI DIO'!$L$6:$U$138,9,FALSE))</f>
        <v/>
      </c>
      <c r="C312" s="115" t="str">
        <f t="shared" si="23"/>
        <v/>
      </c>
      <c r="D312" s="69" t="str">
        <f t="shared" si="22"/>
        <v/>
      </c>
      <c r="E312" s="81"/>
      <c r="F312" s="118" t="str">
        <f t="shared" si="26"/>
        <v/>
      </c>
      <c r="G312" s="113"/>
      <c r="H312" s="357"/>
      <c r="I312" s="113"/>
      <c r="J312" s="81"/>
      <c r="L312" s="72" t="str">
        <f t="shared" si="24"/>
        <v/>
      </c>
      <c r="M312" s="72" t="str">
        <f t="shared" si="25"/>
        <v/>
      </c>
    </row>
    <row r="313" spans="1:13">
      <c r="A313" s="333" t="str">
        <f>IF(E313="","",VLOOKUP('OPĆI DIO'!$C$3,'OPĆI DIO'!$L$6:$U$138,10,FALSE))</f>
        <v/>
      </c>
      <c r="B313" s="70" t="str">
        <f>IF(E313="","",VLOOKUP('OPĆI DIO'!$C$3,'OPĆI DIO'!$L$6:$U$138,9,FALSE))</f>
        <v/>
      </c>
      <c r="C313" s="115" t="str">
        <f t="shared" si="23"/>
        <v/>
      </c>
      <c r="D313" s="69" t="str">
        <f t="shared" si="22"/>
        <v/>
      </c>
      <c r="E313" s="81"/>
      <c r="F313" s="118" t="str">
        <f t="shared" si="26"/>
        <v/>
      </c>
      <c r="G313" s="113"/>
      <c r="H313" s="357"/>
      <c r="I313" s="113"/>
      <c r="J313" s="81"/>
      <c r="L313" s="72" t="str">
        <f t="shared" si="24"/>
        <v/>
      </c>
      <c r="M313" s="72" t="str">
        <f t="shared" si="25"/>
        <v/>
      </c>
    </row>
    <row r="314" spans="1:13">
      <c r="A314" s="333" t="str">
        <f>IF(E314="","",VLOOKUP('OPĆI DIO'!$C$3,'OPĆI DIO'!$L$6:$U$138,10,FALSE))</f>
        <v/>
      </c>
      <c r="B314" s="70" t="str">
        <f>IF(E314="","",VLOOKUP('OPĆI DIO'!$C$3,'OPĆI DIO'!$L$6:$U$138,9,FALSE))</f>
        <v/>
      </c>
      <c r="C314" s="115" t="str">
        <f t="shared" si="23"/>
        <v/>
      </c>
      <c r="D314" s="69" t="str">
        <f t="shared" si="22"/>
        <v/>
      </c>
      <c r="E314" s="81"/>
      <c r="F314" s="118" t="str">
        <f t="shared" si="26"/>
        <v/>
      </c>
      <c r="G314" s="113"/>
      <c r="H314" s="357"/>
      <c r="I314" s="113"/>
      <c r="J314" s="81"/>
      <c r="L314" s="72" t="str">
        <f t="shared" si="24"/>
        <v/>
      </c>
      <c r="M314" s="72" t="str">
        <f t="shared" si="25"/>
        <v/>
      </c>
    </row>
    <row r="315" spans="1:13">
      <c r="A315" s="333" t="str">
        <f>IF(E315="","",VLOOKUP('OPĆI DIO'!$C$3,'OPĆI DIO'!$L$6:$U$138,10,FALSE))</f>
        <v/>
      </c>
      <c r="B315" s="70" t="str">
        <f>IF(E315="","",VLOOKUP('OPĆI DIO'!$C$3,'OPĆI DIO'!$L$6:$U$138,9,FALSE))</f>
        <v/>
      </c>
      <c r="C315" s="115" t="str">
        <f t="shared" si="23"/>
        <v/>
      </c>
      <c r="D315" s="69" t="str">
        <f t="shared" si="22"/>
        <v/>
      </c>
      <c r="E315" s="81"/>
      <c r="F315" s="118" t="str">
        <f t="shared" si="26"/>
        <v/>
      </c>
      <c r="G315" s="113"/>
      <c r="H315" s="357"/>
      <c r="I315" s="113"/>
      <c r="J315" s="81"/>
      <c r="L315" s="72" t="str">
        <f t="shared" si="24"/>
        <v/>
      </c>
      <c r="M315" s="72" t="str">
        <f t="shared" si="25"/>
        <v/>
      </c>
    </row>
    <row r="316" spans="1:13">
      <c r="A316" s="333" t="str">
        <f>IF(E316="","",VLOOKUP('OPĆI DIO'!$C$3,'OPĆI DIO'!$L$6:$U$138,10,FALSE))</f>
        <v/>
      </c>
      <c r="B316" s="70" t="str">
        <f>IF(E316="","",VLOOKUP('OPĆI DIO'!$C$3,'OPĆI DIO'!$L$6:$U$138,9,FALSE))</f>
        <v/>
      </c>
      <c r="C316" s="115" t="str">
        <f t="shared" si="23"/>
        <v/>
      </c>
      <c r="D316" s="69" t="str">
        <f t="shared" si="22"/>
        <v/>
      </c>
      <c r="E316" s="81"/>
      <c r="F316" s="118" t="str">
        <f t="shared" si="26"/>
        <v/>
      </c>
      <c r="G316" s="113"/>
      <c r="H316" s="357"/>
      <c r="I316" s="113"/>
      <c r="J316" s="81"/>
      <c r="L316" s="72" t="str">
        <f t="shared" si="24"/>
        <v/>
      </c>
      <c r="M316" s="72" t="str">
        <f t="shared" si="25"/>
        <v/>
      </c>
    </row>
    <row r="317" spans="1:13">
      <c r="A317" s="333" t="str">
        <f>IF(E317="","",VLOOKUP('OPĆI DIO'!$C$3,'OPĆI DIO'!$L$6:$U$138,10,FALSE))</f>
        <v/>
      </c>
      <c r="B317" s="70" t="str">
        <f>IF(E317="","",VLOOKUP('OPĆI DIO'!$C$3,'OPĆI DIO'!$L$6:$U$138,9,FALSE))</f>
        <v/>
      </c>
      <c r="C317" s="115" t="str">
        <f t="shared" si="23"/>
        <v/>
      </c>
      <c r="D317" s="69" t="str">
        <f t="shared" si="22"/>
        <v/>
      </c>
      <c r="E317" s="81"/>
      <c r="F317" s="118" t="str">
        <f t="shared" si="26"/>
        <v/>
      </c>
      <c r="G317" s="113"/>
      <c r="H317" s="357"/>
      <c r="I317" s="113"/>
      <c r="J317" s="81"/>
      <c r="L317" s="72" t="str">
        <f t="shared" si="24"/>
        <v/>
      </c>
      <c r="M317" s="72" t="str">
        <f t="shared" si="25"/>
        <v/>
      </c>
    </row>
    <row r="318" spans="1:13">
      <c r="A318" s="333" t="str">
        <f>IF(E318="","",VLOOKUP('OPĆI DIO'!$C$3,'OPĆI DIO'!$L$6:$U$138,10,FALSE))</f>
        <v/>
      </c>
      <c r="B318" s="70" t="str">
        <f>IF(E318="","",VLOOKUP('OPĆI DIO'!$C$3,'OPĆI DIO'!$L$6:$U$138,9,FALSE))</f>
        <v/>
      </c>
      <c r="C318" s="115" t="str">
        <f t="shared" si="23"/>
        <v/>
      </c>
      <c r="D318" s="69" t="str">
        <f t="shared" si="22"/>
        <v/>
      </c>
      <c r="E318" s="81"/>
      <c r="F318" s="118" t="str">
        <f t="shared" si="26"/>
        <v/>
      </c>
      <c r="G318" s="113"/>
      <c r="H318" s="357"/>
      <c r="I318" s="113"/>
      <c r="J318" s="81"/>
      <c r="L318" s="72" t="str">
        <f t="shared" si="24"/>
        <v/>
      </c>
      <c r="M318" s="72" t="str">
        <f t="shared" si="25"/>
        <v/>
      </c>
    </row>
    <row r="319" spans="1:13">
      <c r="A319" s="333" t="str">
        <f>IF(E319="","",VLOOKUP('OPĆI DIO'!$C$3,'OPĆI DIO'!$L$6:$U$138,10,FALSE))</f>
        <v/>
      </c>
      <c r="B319" s="70" t="str">
        <f>IF(E319="","",VLOOKUP('OPĆI DIO'!$C$3,'OPĆI DIO'!$L$6:$U$138,9,FALSE))</f>
        <v/>
      </c>
      <c r="C319" s="115" t="str">
        <f t="shared" si="23"/>
        <v/>
      </c>
      <c r="D319" s="69" t="str">
        <f t="shared" si="22"/>
        <v/>
      </c>
      <c r="E319" s="81"/>
      <c r="F319" s="118" t="str">
        <f t="shared" si="26"/>
        <v/>
      </c>
      <c r="G319" s="113"/>
      <c r="H319" s="357"/>
      <c r="I319" s="113"/>
      <c r="J319" s="81"/>
      <c r="L319" s="72" t="str">
        <f t="shared" si="24"/>
        <v/>
      </c>
      <c r="M319" s="72" t="str">
        <f t="shared" si="25"/>
        <v/>
      </c>
    </row>
    <row r="320" spans="1:13">
      <c r="A320" s="333" t="str">
        <f>IF(E320="","",VLOOKUP('OPĆI DIO'!$C$3,'OPĆI DIO'!$L$6:$U$138,10,FALSE))</f>
        <v/>
      </c>
      <c r="B320" s="70" t="str">
        <f>IF(E320="","",VLOOKUP('OPĆI DIO'!$C$3,'OPĆI DIO'!$L$6:$U$138,9,FALSE))</f>
        <v/>
      </c>
      <c r="C320" s="115" t="str">
        <f t="shared" si="23"/>
        <v/>
      </c>
      <c r="D320" s="69" t="str">
        <f t="shared" si="22"/>
        <v/>
      </c>
      <c r="E320" s="81"/>
      <c r="F320" s="118" t="str">
        <f t="shared" si="26"/>
        <v/>
      </c>
      <c r="G320" s="113"/>
      <c r="H320" s="357"/>
      <c r="I320" s="113"/>
      <c r="J320" s="81"/>
      <c r="L320" s="72" t="str">
        <f t="shared" si="24"/>
        <v/>
      </c>
      <c r="M320" s="72" t="str">
        <f t="shared" si="25"/>
        <v/>
      </c>
    </row>
    <row r="321" spans="1:13">
      <c r="A321" s="333" t="str">
        <f>IF(E321="","",VLOOKUP('OPĆI DIO'!$C$3,'OPĆI DIO'!$L$6:$U$138,10,FALSE))</f>
        <v/>
      </c>
      <c r="B321" s="70" t="str">
        <f>IF(E321="","",VLOOKUP('OPĆI DIO'!$C$3,'OPĆI DIO'!$L$6:$U$138,9,FALSE))</f>
        <v/>
      </c>
      <c r="C321" s="115" t="str">
        <f t="shared" si="23"/>
        <v/>
      </c>
      <c r="D321" s="69" t="str">
        <f t="shared" si="22"/>
        <v/>
      </c>
      <c r="E321" s="81"/>
      <c r="F321" s="118" t="str">
        <f t="shared" si="26"/>
        <v/>
      </c>
      <c r="G321" s="113"/>
      <c r="H321" s="357"/>
      <c r="I321" s="113"/>
      <c r="J321" s="81"/>
      <c r="L321" s="72" t="str">
        <f t="shared" si="24"/>
        <v/>
      </c>
      <c r="M321" s="72" t="str">
        <f t="shared" si="25"/>
        <v/>
      </c>
    </row>
    <row r="322" spans="1:13">
      <c r="A322" s="333" t="str">
        <f>IF(E322="","",VLOOKUP('OPĆI DIO'!$C$3,'OPĆI DIO'!$L$6:$U$138,10,FALSE))</f>
        <v/>
      </c>
      <c r="B322" s="70" t="str">
        <f>IF(E322="","",VLOOKUP('OPĆI DIO'!$C$3,'OPĆI DIO'!$L$6:$U$138,9,FALSE))</f>
        <v/>
      </c>
      <c r="C322" s="115" t="str">
        <f t="shared" si="23"/>
        <v/>
      </c>
      <c r="D322" s="69" t="str">
        <f t="shared" si="22"/>
        <v/>
      </c>
      <c r="E322" s="81"/>
      <c r="F322" s="118" t="str">
        <f t="shared" si="26"/>
        <v/>
      </c>
      <c r="G322" s="113"/>
      <c r="H322" s="357"/>
      <c r="I322" s="113"/>
      <c r="J322" s="81"/>
      <c r="L322" s="72" t="str">
        <f t="shared" si="24"/>
        <v/>
      </c>
      <c r="M322" s="72" t="str">
        <f t="shared" si="25"/>
        <v/>
      </c>
    </row>
    <row r="323" spans="1:13">
      <c r="A323" s="333" t="str">
        <f>IF(E323="","",VLOOKUP('OPĆI DIO'!$C$3,'OPĆI DIO'!$L$6:$U$138,10,FALSE))</f>
        <v/>
      </c>
      <c r="B323" s="70" t="str">
        <f>IF(E323="","",VLOOKUP('OPĆI DIO'!$C$3,'OPĆI DIO'!$L$6:$U$138,9,FALSE))</f>
        <v/>
      </c>
      <c r="C323" s="115" t="str">
        <f t="shared" si="23"/>
        <v/>
      </c>
      <c r="D323" s="69" t="str">
        <f t="shared" si="22"/>
        <v/>
      </c>
      <c r="E323" s="81"/>
      <c r="F323" s="118" t="str">
        <f t="shared" si="26"/>
        <v/>
      </c>
      <c r="G323" s="113"/>
      <c r="H323" s="357"/>
      <c r="I323" s="113"/>
      <c r="J323" s="81"/>
      <c r="L323" s="72" t="str">
        <f t="shared" si="24"/>
        <v/>
      </c>
      <c r="M323" s="72" t="str">
        <f t="shared" si="25"/>
        <v/>
      </c>
    </row>
    <row r="324" spans="1:13">
      <c r="A324" s="333" t="str">
        <f>IF(E324="","",VLOOKUP('OPĆI DIO'!$C$3,'OPĆI DIO'!$L$6:$U$138,10,FALSE))</f>
        <v/>
      </c>
      <c r="B324" s="70" t="str">
        <f>IF(E324="","",VLOOKUP('OPĆI DIO'!$C$3,'OPĆI DIO'!$L$6:$U$138,9,FALSE))</f>
        <v/>
      </c>
      <c r="C324" s="115" t="str">
        <f t="shared" si="23"/>
        <v/>
      </c>
      <c r="D324" s="69" t="str">
        <f t="shared" ref="D324:D387" si="27">IFERROR(VLOOKUP(E324,$R$6:$U$116,4,FALSE),"")</f>
        <v/>
      </c>
      <c r="E324" s="81"/>
      <c r="F324" s="118" t="str">
        <f t="shared" si="26"/>
        <v/>
      </c>
      <c r="G324" s="113"/>
      <c r="H324" s="357"/>
      <c r="I324" s="113"/>
      <c r="J324" s="81"/>
      <c r="L324" s="72" t="str">
        <f t="shared" si="24"/>
        <v/>
      </c>
      <c r="M324" s="72" t="str">
        <f t="shared" si="25"/>
        <v/>
      </c>
    </row>
    <row r="325" spans="1:13">
      <c r="A325" s="333" t="str">
        <f>IF(E325="","",VLOOKUP('OPĆI DIO'!$C$3,'OPĆI DIO'!$L$6:$U$138,10,FALSE))</f>
        <v/>
      </c>
      <c r="B325" s="70" t="str">
        <f>IF(E325="","",VLOOKUP('OPĆI DIO'!$C$3,'OPĆI DIO'!$L$6:$U$138,9,FALSE))</f>
        <v/>
      </c>
      <c r="C325" s="115" t="str">
        <f t="shared" si="23"/>
        <v/>
      </c>
      <c r="D325" s="69" t="str">
        <f t="shared" si="27"/>
        <v/>
      </c>
      <c r="E325" s="81"/>
      <c r="F325" s="118" t="str">
        <f t="shared" si="26"/>
        <v/>
      </c>
      <c r="G325" s="113"/>
      <c r="H325" s="357"/>
      <c r="I325" s="113"/>
      <c r="J325" s="81"/>
      <c r="L325" s="72" t="str">
        <f t="shared" si="24"/>
        <v/>
      </c>
      <c r="M325" s="72" t="str">
        <f t="shared" si="25"/>
        <v/>
      </c>
    </row>
    <row r="326" spans="1:13">
      <c r="A326" s="333" t="str">
        <f>IF(E326="","",VLOOKUP('OPĆI DIO'!$C$3,'OPĆI DIO'!$L$6:$U$138,10,FALSE))</f>
        <v/>
      </c>
      <c r="B326" s="70" t="str">
        <f>IF(E326="","",VLOOKUP('OPĆI DIO'!$C$3,'OPĆI DIO'!$L$6:$U$138,9,FALSE))</f>
        <v/>
      </c>
      <c r="C326" s="115" t="str">
        <f t="shared" ref="C326:C389" si="28">IFERROR(VLOOKUP(E326,$R$6:$U$116,3,FALSE),"")</f>
        <v/>
      </c>
      <c r="D326" s="69" t="str">
        <f t="shared" si="27"/>
        <v/>
      </c>
      <c r="E326" s="81"/>
      <c r="F326" s="118" t="str">
        <f t="shared" si="26"/>
        <v/>
      </c>
      <c r="G326" s="113"/>
      <c r="H326" s="357"/>
      <c r="I326" s="113"/>
      <c r="J326" s="81"/>
      <c r="L326" s="72" t="str">
        <f t="shared" si="24"/>
        <v/>
      </c>
      <c r="M326" s="72" t="str">
        <f t="shared" si="25"/>
        <v/>
      </c>
    </row>
    <row r="327" spans="1:13">
      <c r="A327" s="333" t="str">
        <f>IF(E327="","",VLOOKUP('OPĆI DIO'!$C$3,'OPĆI DIO'!$L$6:$U$138,10,FALSE))</f>
        <v/>
      </c>
      <c r="B327" s="70" t="str">
        <f>IF(E327="","",VLOOKUP('OPĆI DIO'!$C$3,'OPĆI DIO'!$L$6:$U$138,9,FALSE))</f>
        <v/>
      </c>
      <c r="C327" s="115" t="str">
        <f t="shared" si="28"/>
        <v/>
      </c>
      <c r="D327" s="69" t="str">
        <f t="shared" si="27"/>
        <v/>
      </c>
      <c r="E327" s="81"/>
      <c r="F327" s="118" t="str">
        <f t="shared" si="26"/>
        <v/>
      </c>
      <c r="G327" s="113"/>
      <c r="H327" s="357"/>
      <c r="I327" s="113"/>
      <c r="J327" s="81"/>
      <c r="L327" s="72" t="str">
        <f t="shared" ref="L327:L390" si="29">LEFT(E327,2)</f>
        <v/>
      </c>
      <c r="M327" s="72" t="str">
        <f t="shared" ref="M327:M390" si="30">LEFT(E327,3)</f>
        <v/>
      </c>
    </row>
    <row r="328" spans="1:13">
      <c r="A328" s="333" t="str">
        <f>IF(E328="","",VLOOKUP('OPĆI DIO'!$C$3,'OPĆI DIO'!$L$6:$U$138,10,FALSE))</f>
        <v/>
      </c>
      <c r="B328" s="70" t="str">
        <f>IF(E328="","",VLOOKUP('OPĆI DIO'!$C$3,'OPĆI DIO'!$L$6:$U$138,9,FALSE))</f>
        <v/>
      </c>
      <c r="C328" s="115" t="str">
        <f t="shared" si="28"/>
        <v/>
      </c>
      <c r="D328" s="69" t="str">
        <f t="shared" si="27"/>
        <v/>
      </c>
      <c r="E328" s="81"/>
      <c r="F328" s="118" t="str">
        <f t="shared" si="26"/>
        <v/>
      </c>
      <c r="G328" s="113"/>
      <c r="H328" s="357"/>
      <c r="I328" s="113"/>
      <c r="J328" s="81"/>
      <c r="L328" s="72" t="str">
        <f t="shared" si="29"/>
        <v/>
      </c>
      <c r="M328" s="72" t="str">
        <f t="shared" si="30"/>
        <v/>
      </c>
    </row>
    <row r="329" spans="1:13">
      <c r="A329" s="333" t="str">
        <f>IF(E329="","",VLOOKUP('OPĆI DIO'!$C$3,'OPĆI DIO'!$L$6:$U$138,10,FALSE))</f>
        <v/>
      </c>
      <c r="B329" s="70" t="str">
        <f>IF(E329="","",VLOOKUP('OPĆI DIO'!$C$3,'OPĆI DIO'!$L$6:$U$138,9,FALSE))</f>
        <v/>
      </c>
      <c r="C329" s="115" t="str">
        <f t="shared" si="28"/>
        <v/>
      </c>
      <c r="D329" s="69" t="str">
        <f t="shared" si="27"/>
        <v/>
      </c>
      <c r="E329" s="81"/>
      <c r="F329" s="118" t="str">
        <f t="shared" si="26"/>
        <v/>
      </c>
      <c r="G329" s="113"/>
      <c r="H329" s="357"/>
      <c r="I329" s="113"/>
      <c r="J329" s="81"/>
      <c r="L329" s="72" t="str">
        <f t="shared" si="29"/>
        <v/>
      </c>
      <c r="M329" s="72" t="str">
        <f t="shared" si="30"/>
        <v/>
      </c>
    </row>
    <row r="330" spans="1:13">
      <c r="A330" s="333" t="str">
        <f>IF(E330="","",VLOOKUP('OPĆI DIO'!$C$3,'OPĆI DIO'!$L$6:$U$138,10,FALSE))</f>
        <v/>
      </c>
      <c r="B330" s="70" t="str">
        <f>IF(E330="","",VLOOKUP('OPĆI DIO'!$C$3,'OPĆI DIO'!$L$6:$U$138,9,FALSE))</f>
        <v/>
      </c>
      <c r="C330" s="115" t="str">
        <f t="shared" si="28"/>
        <v/>
      </c>
      <c r="D330" s="69" t="str">
        <f t="shared" si="27"/>
        <v/>
      </c>
      <c r="E330" s="81"/>
      <c r="F330" s="118" t="str">
        <f t="shared" si="26"/>
        <v/>
      </c>
      <c r="G330" s="113"/>
      <c r="H330" s="357"/>
      <c r="I330" s="113"/>
      <c r="J330" s="81"/>
      <c r="L330" s="72" t="str">
        <f t="shared" si="29"/>
        <v/>
      </c>
      <c r="M330" s="72" t="str">
        <f t="shared" si="30"/>
        <v/>
      </c>
    </row>
    <row r="331" spans="1:13">
      <c r="A331" s="333" t="str">
        <f>IF(E331="","",VLOOKUP('OPĆI DIO'!$C$3,'OPĆI DIO'!$L$6:$U$138,10,FALSE))</f>
        <v/>
      </c>
      <c r="B331" s="70" t="str">
        <f>IF(E331="","",VLOOKUP('OPĆI DIO'!$C$3,'OPĆI DIO'!$L$6:$U$138,9,FALSE))</f>
        <v/>
      </c>
      <c r="C331" s="115" t="str">
        <f t="shared" si="28"/>
        <v/>
      </c>
      <c r="D331" s="69" t="str">
        <f t="shared" si="27"/>
        <v/>
      </c>
      <c r="E331" s="81"/>
      <c r="F331" s="118" t="str">
        <f t="shared" si="26"/>
        <v/>
      </c>
      <c r="G331" s="113"/>
      <c r="H331" s="357"/>
      <c r="I331" s="113"/>
      <c r="J331" s="81"/>
      <c r="L331" s="72" t="str">
        <f t="shared" si="29"/>
        <v/>
      </c>
      <c r="M331" s="72" t="str">
        <f t="shared" si="30"/>
        <v/>
      </c>
    </row>
    <row r="332" spans="1:13">
      <c r="A332" s="333" t="str">
        <f>IF(E332="","",VLOOKUP('OPĆI DIO'!$C$3,'OPĆI DIO'!$L$6:$U$138,10,FALSE))</f>
        <v/>
      </c>
      <c r="B332" s="70" t="str">
        <f>IF(E332="","",VLOOKUP('OPĆI DIO'!$C$3,'OPĆI DIO'!$L$6:$U$138,9,FALSE))</f>
        <v/>
      </c>
      <c r="C332" s="115" t="str">
        <f t="shared" si="28"/>
        <v/>
      </c>
      <c r="D332" s="69" t="str">
        <f t="shared" si="27"/>
        <v/>
      </c>
      <c r="E332" s="81"/>
      <c r="F332" s="118" t="str">
        <f t="shared" si="26"/>
        <v/>
      </c>
      <c r="G332" s="113"/>
      <c r="H332" s="357"/>
      <c r="I332" s="113"/>
      <c r="J332" s="81"/>
      <c r="L332" s="72" t="str">
        <f t="shared" si="29"/>
        <v/>
      </c>
      <c r="M332" s="72" t="str">
        <f t="shared" si="30"/>
        <v/>
      </c>
    </row>
    <row r="333" spans="1:13">
      <c r="A333" s="333" t="str">
        <f>IF(E333="","",VLOOKUP('OPĆI DIO'!$C$3,'OPĆI DIO'!$L$6:$U$138,10,FALSE))</f>
        <v/>
      </c>
      <c r="B333" s="70" t="str">
        <f>IF(E333="","",VLOOKUP('OPĆI DIO'!$C$3,'OPĆI DIO'!$L$6:$U$138,9,FALSE))</f>
        <v/>
      </c>
      <c r="C333" s="115" t="str">
        <f t="shared" si="28"/>
        <v/>
      </c>
      <c r="D333" s="69" t="str">
        <f t="shared" si="27"/>
        <v/>
      </c>
      <c r="E333" s="81"/>
      <c r="F333" s="118" t="str">
        <f t="shared" si="26"/>
        <v/>
      </c>
      <c r="G333" s="113"/>
      <c r="H333" s="357"/>
      <c r="I333" s="113"/>
      <c r="J333" s="81"/>
      <c r="L333" s="72" t="str">
        <f t="shared" si="29"/>
        <v/>
      </c>
      <c r="M333" s="72" t="str">
        <f t="shared" si="30"/>
        <v/>
      </c>
    </row>
    <row r="334" spans="1:13">
      <c r="A334" s="333" t="str">
        <f>IF(E334="","",VLOOKUP('OPĆI DIO'!$C$3,'OPĆI DIO'!$L$6:$U$138,10,FALSE))</f>
        <v/>
      </c>
      <c r="B334" s="70" t="str">
        <f>IF(E334="","",VLOOKUP('OPĆI DIO'!$C$3,'OPĆI DIO'!$L$6:$U$138,9,FALSE))</f>
        <v/>
      </c>
      <c r="C334" s="115" t="str">
        <f t="shared" si="28"/>
        <v/>
      </c>
      <c r="D334" s="69" t="str">
        <f t="shared" si="27"/>
        <v/>
      </c>
      <c r="E334" s="81"/>
      <c r="F334" s="118" t="str">
        <f t="shared" ref="F334:F397" si="31">IFERROR(VLOOKUP(E334,$R$6:$U$116,2,FALSE),"")</f>
        <v/>
      </c>
      <c r="G334" s="113"/>
      <c r="H334" s="357"/>
      <c r="I334" s="113"/>
      <c r="J334" s="81"/>
      <c r="L334" s="72" t="str">
        <f t="shared" si="29"/>
        <v/>
      </c>
      <c r="M334" s="72" t="str">
        <f t="shared" si="30"/>
        <v/>
      </c>
    </row>
    <row r="335" spans="1:13">
      <c r="A335" s="333" t="str">
        <f>IF(E335="","",VLOOKUP('OPĆI DIO'!$C$3,'OPĆI DIO'!$L$6:$U$138,10,FALSE))</f>
        <v/>
      </c>
      <c r="B335" s="70" t="str">
        <f>IF(E335="","",VLOOKUP('OPĆI DIO'!$C$3,'OPĆI DIO'!$L$6:$U$138,9,FALSE))</f>
        <v/>
      </c>
      <c r="C335" s="115" t="str">
        <f t="shared" si="28"/>
        <v/>
      </c>
      <c r="D335" s="69" t="str">
        <f t="shared" si="27"/>
        <v/>
      </c>
      <c r="E335" s="81"/>
      <c r="F335" s="118" t="str">
        <f t="shared" si="31"/>
        <v/>
      </c>
      <c r="G335" s="113"/>
      <c r="H335" s="357"/>
      <c r="I335" s="113"/>
      <c r="J335" s="81"/>
      <c r="L335" s="72" t="str">
        <f t="shared" si="29"/>
        <v/>
      </c>
      <c r="M335" s="72" t="str">
        <f t="shared" si="30"/>
        <v/>
      </c>
    </row>
    <row r="336" spans="1:13">
      <c r="A336" s="333" t="str">
        <f>IF(E336="","",VLOOKUP('OPĆI DIO'!$C$3,'OPĆI DIO'!$L$6:$U$138,10,FALSE))</f>
        <v/>
      </c>
      <c r="B336" s="70" t="str">
        <f>IF(E336="","",VLOOKUP('OPĆI DIO'!$C$3,'OPĆI DIO'!$L$6:$U$138,9,FALSE))</f>
        <v/>
      </c>
      <c r="C336" s="115" t="str">
        <f t="shared" si="28"/>
        <v/>
      </c>
      <c r="D336" s="69" t="str">
        <f t="shared" si="27"/>
        <v/>
      </c>
      <c r="E336" s="81"/>
      <c r="F336" s="118" t="str">
        <f t="shared" si="31"/>
        <v/>
      </c>
      <c r="G336" s="113"/>
      <c r="H336" s="357"/>
      <c r="I336" s="113"/>
      <c r="J336" s="81"/>
      <c r="L336" s="72" t="str">
        <f t="shared" si="29"/>
        <v/>
      </c>
      <c r="M336" s="72" t="str">
        <f t="shared" si="30"/>
        <v/>
      </c>
    </row>
    <row r="337" spans="1:13">
      <c r="A337" s="333" t="str">
        <f>IF(E337="","",VLOOKUP('OPĆI DIO'!$C$3,'OPĆI DIO'!$L$6:$U$138,10,FALSE))</f>
        <v/>
      </c>
      <c r="B337" s="70" t="str">
        <f>IF(E337="","",VLOOKUP('OPĆI DIO'!$C$3,'OPĆI DIO'!$L$6:$U$138,9,FALSE))</f>
        <v/>
      </c>
      <c r="C337" s="115" t="str">
        <f t="shared" si="28"/>
        <v/>
      </c>
      <c r="D337" s="69" t="str">
        <f t="shared" si="27"/>
        <v/>
      </c>
      <c r="E337" s="81"/>
      <c r="F337" s="118" t="str">
        <f t="shared" si="31"/>
        <v/>
      </c>
      <c r="G337" s="113"/>
      <c r="H337" s="357"/>
      <c r="I337" s="113"/>
      <c r="J337" s="81"/>
      <c r="L337" s="72" t="str">
        <f t="shared" si="29"/>
        <v/>
      </c>
      <c r="M337" s="72" t="str">
        <f t="shared" si="30"/>
        <v/>
      </c>
    </row>
    <row r="338" spans="1:13">
      <c r="A338" s="333" t="str">
        <f>IF(E338="","",VLOOKUP('OPĆI DIO'!$C$3,'OPĆI DIO'!$L$6:$U$138,10,FALSE))</f>
        <v/>
      </c>
      <c r="B338" s="70" t="str">
        <f>IF(E338="","",VLOOKUP('OPĆI DIO'!$C$3,'OPĆI DIO'!$L$6:$U$138,9,FALSE))</f>
        <v/>
      </c>
      <c r="C338" s="115" t="str">
        <f t="shared" si="28"/>
        <v/>
      </c>
      <c r="D338" s="69" t="str">
        <f t="shared" si="27"/>
        <v/>
      </c>
      <c r="E338" s="81"/>
      <c r="F338" s="118" t="str">
        <f t="shared" si="31"/>
        <v/>
      </c>
      <c r="G338" s="113"/>
      <c r="H338" s="357"/>
      <c r="I338" s="113"/>
      <c r="J338" s="81"/>
      <c r="L338" s="72" t="str">
        <f t="shared" si="29"/>
        <v/>
      </c>
      <c r="M338" s="72" t="str">
        <f t="shared" si="30"/>
        <v/>
      </c>
    </row>
    <row r="339" spans="1:13">
      <c r="A339" s="333" t="str">
        <f>IF(E339="","",VLOOKUP('OPĆI DIO'!$C$3,'OPĆI DIO'!$L$6:$U$138,10,FALSE))</f>
        <v/>
      </c>
      <c r="B339" s="70" t="str">
        <f>IF(E339="","",VLOOKUP('OPĆI DIO'!$C$3,'OPĆI DIO'!$L$6:$U$138,9,FALSE))</f>
        <v/>
      </c>
      <c r="C339" s="115" t="str">
        <f t="shared" si="28"/>
        <v/>
      </c>
      <c r="D339" s="69" t="str">
        <f t="shared" si="27"/>
        <v/>
      </c>
      <c r="E339" s="81"/>
      <c r="F339" s="118" t="str">
        <f t="shared" si="31"/>
        <v/>
      </c>
      <c r="G339" s="113"/>
      <c r="H339" s="357"/>
      <c r="I339" s="113"/>
      <c r="J339" s="81"/>
      <c r="L339" s="72" t="str">
        <f t="shared" si="29"/>
        <v/>
      </c>
      <c r="M339" s="72" t="str">
        <f t="shared" si="30"/>
        <v/>
      </c>
    </row>
    <row r="340" spans="1:13">
      <c r="A340" s="333" t="str">
        <f>IF(E340="","",VLOOKUP('OPĆI DIO'!$C$3,'OPĆI DIO'!$L$6:$U$138,10,FALSE))</f>
        <v/>
      </c>
      <c r="B340" s="70" t="str">
        <f>IF(E340="","",VLOOKUP('OPĆI DIO'!$C$3,'OPĆI DIO'!$L$6:$U$138,9,FALSE))</f>
        <v/>
      </c>
      <c r="C340" s="115" t="str">
        <f t="shared" si="28"/>
        <v/>
      </c>
      <c r="D340" s="69" t="str">
        <f t="shared" si="27"/>
        <v/>
      </c>
      <c r="E340" s="81"/>
      <c r="F340" s="118" t="str">
        <f t="shared" si="31"/>
        <v/>
      </c>
      <c r="G340" s="113"/>
      <c r="H340" s="357"/>
      <c r="I340" s="113"/>
      <c r="J340" s="81"/>
      <c r="L340" s="72" t="str">
        <f t="shared" si="29"/>
        <v/>
      </c>
      <c r="M340" s="72" t="str">
        <f t="shared" si="30"/>
        <v/>
      </c>
    </row>
    <row r="341" spans="1:13">
      <c r="A341" s="333" t="str">
        <f>IF(E341="","",VLOOKUP('OPĆI DIO'!$C$3,'OPĆI DIO'!$L$6:$U$138,10,FALSE))</f>
        <v/>
      </c>
      <c r="B341" s="70" t="str">
        <f>IF(E341="","",VLOOKUP('OPĆI DIO'!$C$3,'OPĆI DIO'!$L$6:$U$138,9,FALSE))</f>
        <v/>
      </c>
      <c r="C341" s="115" t="str">
        <f t="shared" si="28"/>
        <v/>
      </c>
      <c r="D341" s="69" t="str">
        <f t="shared" si="27"/>
        <v/>
      </c>
      <c r="E341" s="81"/>
      <c r="F341" s="118" t="str">
        <f t="shared" si="31"/>
        <v/>
      </c>
      <c r="G341" s="113"/>
      <c r="H341" s="357"/>
      <c r="I341" s="113"/>
      <c r="J341" s="81"/>
      <c r="L341" s="72" t="str">
        <f t="shared" si="29"/>
        <v/>
      </c>
      <c r="M341" s="72" t="str">
        <f t="shared" si="30"/>
        <v/>
      </c>
    </row>
    <row r="342" spans="1:13">
      <c r="A342" s="333" t="str">
        <f>IF(E342="","",VLOOKUP('OPĆI DIO'!$C$3,'OPĆI DIO'!$L$6:$U$138,10,FALSE))</f>
        <v/>
      </c>
      <c r="B342" s="70" t="str">
        <f>IF(E342="","",VLOOKUP('OPĆI DIO'!$C$3,'OPĆI DIO'!$L$6:$U$138,9,FALSE))</f>
        <v/>
      </c>
      <c r="C342" s="115" t="str">
        <f t="shared" si="28"/>
        <v/>
      </c>
      <c r="D342" s="69" t="str">
        <f t="shared" si="27"/>
        <v/>
      </c>
      <c r="E342" s="81"/>
      <c r="F342" s="118" t="str">
        <f t="shared" si="31"/>
        <v/>
      </c>
      <c r="G342" s="113"/>
      <c r="H342" s="357"/>
      <c r="I342" s="113"/>
      <c r="J342" s="81"/>
      <c r="L342" s="72" t="str">
        <f t="shared" si="29"/>
        <v/>
      </c>
      <c r="M342" s="72" t="str">
        <f t="shared" si="30"/>
        <v/>
      </c>
    </row>
    <row r="343" spans="1:13">
      <c r="A343" s="333" t="str">
        <f>IF(E343="","",VLOOKUP('OPĆI DIO'!$C$3,'OPĆI DIO'!$L$6:$U$138,10,FALSE))</f>
        <v/>
      </c>
      <c r="B343" s="70" t="str">
        <f>IF(E343="","",VLOOKUP('OPĆI DIO'!$C$3,'OPĆI DIO'!$L$6:$U$138,9,FALSE))</f>
        <v/>
      </c>
      <c r="C343" s="115" t="str">
        <f t="shared" si="28"/>
        <v/>
      </c>
      <c r="D343" s="69" t="str">
        <f t="shared" si="27"/>
        <v/>
      </c>
      <c r="E343" s="81"/>
      <c r="F343" s="118" t="str">
        <f t="shared" si="31"/>
        <v/>
      </c>
      <c r="G343" s="113"/>
      <c r="H343" s="357"/>
      <c r="I343" s="113"/>
      <c r="J343" s="81"/>
      <c r="L343" s="72" t="str">
        <f t="shared" si="29"/>
        <v/>
      </c>
      <c r="M343" s="72" t="str">
        <f t="shared" si="30"/>
        <v/>
      </c>
    </row>
    <row r="344" spans="1:13">
      <c r="A344" s="333" t="str">
        <f>IF(E344="","",VLOOKUP('OPĆI DIO'!$C$3,'OPĆI DIO'!$L$6:$U$138,10,FALSE))</f>
        <v/>
      </c>
      <c r="B344" s="70" t="str">
        <f>IF(E344="","",VLOOKUP('OPĆI DIO'!$C$3,'OPĆI DIO'!$L$6:$U$138,9,FALSE))</f>
        <v/>
      </c>
      <c r="C344" s="115" t="str">
        <f t="shared" si="28"/>
        <v/>
      </c>
      <c r="D344" s="69" t="str">
        <f t="shared" si="27"/>
        <v/>
      </c>
      <c r="E344" s="81"/>
      <c r="F344" s="118" t="str">
        <f t="shared" si="31"/>
        <v/>
      </c>
      <c r="G344" s="113"/>
      <c r="H344" s="357"/>
      <c r="I344" s="113"/>
      <c r="J344" s="81"/>
      <c r="L344" s="72" t="str">
        <f t="shared" si="29"/>
        <v/>
      </c>
      <c r="M344" s="72" t="str">
        <f t="shared" si="30"/>
        <v/>
      </c>
    </row>
    <row r="345" spans="1:13">
      <c r="A345" s="333" t="str">
        <f>IF(E345="","",VLOOKUP('OPĆI DIO'!$C$3,'OPĆI DIO'!$L$6:$U$138,10,FALSE))</f>
        <v/>
      </c>
      <c r="B345" s="70" t="str">
        <f>IF(E345="","",VLOOKUP('OPĆI DIO'!$C$3,'OPĆI DIO'!$L$6:$U$138,9,FALSE))</f>
        <v/>
      </c>
      <c r="C345" s="115" t="str">
        <f t="shared" si="28"/>
        <v/>
      </c>
      <c r="D345" s="69" t="str">
        <f t="shared" si="27"/>
        <v/>
      </c>
      <c r="E345" s="81"/>
      <c r="F345" s="118" t="str">
        <f t="shared" si="31"/>
        <v/>
      </c>
      <c r="G345" s="113"/>
      <c r="H345" s="357"/>
      <c r="I345" s="113"/>
      <c r="J345" s="81"/>
      <c r="L345" s="72" t="str">
        <f t="shared" si="29"/>
        <v/>
      </c>
      <c r="M345" s="72" t="str">
        <f t="shared" si="30"/>
        <v/>
      </c>
    </row>
    <row r="346" spans="1:13">
      <c r="A346" s="333" t="str">
        <f>IF(E346="","",VLOOKUP('OPĆI DIO'!$C$3,'OPĆI DIO'!$L$6:$U$138,10,FALSE))</f>
        <v/>
      </c>
      <c r="B346" s="70" t="str">
        <f>IF(E346="","",VLOOKUP('OPĆI DIO'!$C$3,'OPĆI DIO'!$L$6:$U$138,9,FALSE))</f>
        <v/>
      </c>
      <c r="C346" s="115" t="str">
        <f t="shared" si="28"/>
        <v/>
      </c>
      <c r="D346" s="69" t="str">
        <f t="shared" si="27"/>
        <v/>
      </c>
      <c r="E346" s="81"/>
      <c r="F346" s="118" t="str">
        <f t="shared" si="31"/>
        <v/>
      </c>
      <c r="G346" s="113"/>
      <c r="H346" s="357"/>
      <c r="I346" s="113"/>
      <c r="J346" s="81"/>
      <c r="L346" s="72" t="str">
        <f t="shared" si="29"/>
        <v/>
      </c>
      <c r="M346" s="72" t="str">
        <f t="shared" si="30"/>
        <v/>
      </c>
    </row>
    <row r="347" spans="1:13">
      <c r="A347" s="333" t="str">
        <f>IF(E347="","",VLOOKUP('OPĆI DIO'!$C$3,'OPĆI DIO'!$L$6:$U$138,10,FALSE))</f>
        <v/>
      </c>
      <c r="B347" s="70" t="str">
        <f>IF(E347="","",VLOOKUP('OPĆI DIO'!$C$3,'OPĆI DIO'!$L$6:$U$138,9,FALSE))</f>
        <v/>
      </c>
      <c r="C347" s="115" t="str">
        <f t="shared" si="28"/>
        <v/>
      </c>
      <c r="D347" s="69" t="str">
        <f t="shared" si="27"/>
        <v/>
      </c>
      <c r="E347" s="81"/>
      <c r="F347" s="118" t="str">
        <f t="shared" si="31"/>
        <v/>
      </c>
      <c r="G347" s="113"/>
      <c r="H347" s="357"/>
      <c r="I347" s="113"/>
      <c r="J347" s="81"/>
      <c r="L347" s="72" t="str">
        <f t="shared" si="29"/>
        <v/>
      </c>
      <c r="M347" s="72" t="str">
        <f t="shared" si="30"/>
        <v/>
      </c>
    </row>
    <row r="348" spans="1:13">
      <c r="A348" s="333" t="str">
        <f>IF(E348="","",VLOOKUP('OPĆI DIO'!$C$3,'OPĆI DIO'!$L$6:$U$138,10,FALSE))</f>
        <v/>
      </c>
      <c r="B348" s="70" t="str">
        <f>IF(E348="","",VLOOKUP('OPĆI DIO'!$C$3,'OPĆI DIO'!$L$6:$U$138,9,FALSE))</f>
        <v/>
      </c>
      <c r="C348" s="115" t="str">
        <f t="shared" si="28"/>
        <v/>
      </c>
      <c r="D348" s="69" t="str">
        <f t="shared" si="27"/>
        <v/>
      </c>
      <c r="E348" s="81"/>
      <c r="F348" s="118" t="str">
        <f t="shared" si="31"/>
        <v/>
      </c>
      <c r="G348" s="113"/>
      <c r="H348" s="357"/>
      <c r="I348" s="113"/>
      <c r="J348" s="81"/>
      <c r="L348" s="72" t="str">
        <f t="shared" si="29"/>
        <v/>
      </c>
      <c r="M348" s="72" t="str">
        <f t="shared" si="30"/>
        <v/>
      </c>
    </row>
    <row r="349" spans="1:13">
      <c r="A349" s="333" t="str">
        <f>IF(E349="","",VLOOKUP('OPĆI DIO'!$C$3,'OPĆI DIO'!$L$6:$U$138,10,FALSE))</f>
        <v/>
      </c>
      <c r="B349" s="70" t="str">
        <f>IF(E349="","",VLOOKUP('OPĆI DIO'!$C$3,'OPĆI DIO'!$L$6:$U$138,9,FALSE))</f>
        <v/>
      </c>
      <c r="C349" s="115" t="str">
        <f t="shared" si="28"/>
        <v/>
      </c>
      <c r="D349" s="69" t="str">
        <f t="shared" si="27"/>
        <v/>
      </c>
      <c r="E349" s="81"/>
      <c r="F349" s="118" t="str">
        <f t="shared" si="31"/>
        <v/>
      </c>
      <c r="G349" s="113"/>
      <c r="H349" s="357"/>
      <c r="I349" s="113"/>
      <c r="J349" s="81"/>
      <c r="L349" s="72" t="str">
        <f t="shared" si="29"/>
        <v/>
      </c>
      <c r="M349" s="72" t="str">
        <f t="shared" si="30"/>
        <v/>
      </c>
    </row>
    <row r="350" spans="1:13">
      <c r="A350" s="333" t="str">
        <f>IF(E350="","",VLOOKUP('OPĆI DIO'!$C$3,'OPĆI DIO'!$L$6:$U$138,10,FALSE))</f>
        <v/>
      </c>
      <c r="B350" s="70" t="str">
        <f>IF(E350="","",VLOOKUP('OPĆI DIO'!$C$3,'OPĆI DIO'!$L$6:$U$138,9,FALSE))</f>
        <v/>
      </c>
      <c r="C350" s="115" t="str">
        <f t="shared" si="28"/>
        <v/>
      </c>
      <c r="D350" s="69" t="str">
        <f t="shared" si="27"/>
        <v/>
      </c>
      <c r="E350" s="81"/>
      <c r="F350" s="118" t="str">
        <f t="shared" si="31"/>
        <v/>
      </c>
      <c r="G350" s="113"/>
      <c r="H350" s="357"/>
      <c r="I350" s="113"/>
      <c r="J350" s="81"/>
      <c r="L350" s="72" t="str">
        <f t="shared" si="29"/>
        <v/>
      </c>
      <c r="M350" s="72" t="str">
        <f t="shared" si="30"/>
        <v/>
      </c>
    </row>
    <row r="351" spans="1:13">
      <c r="A351" s="333" t="str">
        <f>IF(E351="","",VLOOKUP('OPĆI DIO'!$C$3,'OPĆI DIO'!$L$6:$U$138,10,FALSE))</f>
        <v/>
      </c>
      <c r="B351" s="70" t="str">
        <f>IF(E351="","",VLOOKUP('OPĆI DIO'!$C$3,'OPĆI DIO'!$L$6:$U$138,9,FALSE))</f>
        <v/>
      </c>
      <c r="C351" s="115" t="str">
        <f t="shared" si="28"/>
        <v/>
      </c>
      <c r="D351" s="69" t="str">
        <f t="shared" si="27"/>
        <v/>
      </c>
      <c r="E351" s="81"/>
      <c r="F351" s="118" t="str">
        <f t="shared" si="31"/>
        <v/>
      </c>
      <c r="G351" s="113"/>
      <c r="H351" s="357"/>
      <c r="I351" s="113"/>
      <c r="J351" s="81"/>
      <c r="L351" s="72" t="str">
        <f t="shared" si="29"/>
        <v/>
      </c>
      <c r="M351" s="72" t="str">
        <f t="shared" si="30"/>
        <v/>
      </c>
    </row>
    <row r="352" spans="1:13">
      <c r="A352" s="333" t="str">
        <f>IF(E352="","",VLOOKUP('OPĆI DIO'!$C$3,'OPĆI DIO'!$L$6:$U$138,10,FALSE))</f>
        <v/>
      </c>
      <c r="B352" s="70" t="str">
        <f>IF(E352="","",VLOOKUP('OPĆI DIO'!$C$3,'OPĆI DIO'!$L$6:$U$138,9,FALSE))</f>
        <v/>
      </c>
      <c r="C352" s="115" t="str">
        <f t="shared" si="28"/>
        <v/>
      </c>
      <c r="D352" s="69" t="str">
        <f t="shared" si="27"/>
        <v/>
      </c>
      <c r="E352" s="81"/>
      <c r="F352" s="118" t="str">
        <f t="shared" si="31"/>
        <v/>
      </c>
      <c r="G352" s="113"/>
      <c r="H352" s="357"/>
      <c r="I352" s="113"/>
      <c r="J352" s="81"/>
      <c r="L352" s="72" t="str">
        <f t="shared" si="29"/>
        <v/>
      </c>
      <c r="M352" s="72" t="str">
        <f t="shared" si="30"/>
        <v/>
      </c>
    </row>
    <row r="353" spans="1:13">
      <c r="A353" s="333" t="str">
        <f>IF(E353="","",VLOOKUP('OPĆI DIO'!$C$3,'OPĆI DIO'!$L$6:$U$138,10,FALSE))</f>
        <v/>
      </c>
      <c r="B353" s="70" t="str">
        <f>IF(E353="","",VLOOKUP('OPĆI DIO'!$C$3,'OPĆI DIO'!$L$6:$U$138,9,FALSE))</f>
        <v/>
      </c>
      <c r="C353" s="115" t="str">
        <f t="shared" si="28"/>
        <v/>
      </c>
      <c r="D353" s="69" t="str">
        <f t="shared" si="27"/>
        <v/>
      </c>
      <c r="E353" s="81"/>
      <c r="F353" s="118" t="str">
        <f t="shared" si="31"/>
        <v/>
      </c>
      <c r="G353" s="113"/>
      <c r="H353" s="357"/>
      <c r="I353" s="113"/>
      <c r="J353" s="81"/>
      <c r="L353" s="72" t="str">
        <f t="shared" si="29"/>
        <v/>
      </c>
      <c r="M353" s="72" t="str">
        <f t="shared" si="30"/>
        <v/>
      </c>
    </row>
    <row r="354" spans="1:13">
      <c r="A354" s="333" t="str">
        <f>IF(E354="","",VLOOKUP('OPĆI DIO'!$C$3,'OPĆI DIO'!$L$6:$U$138,10,FALSE))</f>
        <v/>
      </c>
      <c r="B354" s="70" t="str">
        <f>IF(E354="","",VLOOKUP('OPĆI DIO'!$C$3,'OPĆI DIO'!$L$6:$U$138,9,FALSE))</f>
        <v/>
      </c>
      <c r="C354" s="115" t="str">
        <f t="shared" si="28"/>
        <v/>
      </c>
      <c r="D354" s="69" t="str">
        <f t="shared" si="27"/>
        <v/>
      </c>
      <c r="E354" s="81"/>
      <c r="F354" s="118" t="str">
        <f t="shared" si="31"/>
        <v/>
      </c>
      <c r="G354" s="113"/>
      <c r="H354" s="357"/>
      <c r="I354" s="113"/>
      <c r="J354" s="81"/>
      <c r="L354" s="72" t="str">
        <f t="shared" si="29"/>
        <v/>
      </c>
      <c r="M354" s="72" t="str">
        <f t="shared" si="30"/>
        <v/>
      </c>
    </row>
    <row r="355" spans="1:13">
      <c r="A355" s="333" t="str">
        <f>IF(E355="","",VLOOKUP('OPĆI DIO'!$C$3,'OPĆI DIO'!$L$6:$U$138,10,FALSE))</f>
        <v/>
      </c>
      <c r="B355" s="70" t="str">
        <f>IF(E355="","",VLOOKUP('OPĆI DIO'!$C$3,'OPĆI DIO'!$L$6:$U$138,9,FALSE))</f>
        <v/>
      </c>
      <c r="C355" s="115" t="str">
        <f t="shared" si="28"/>
        <v/>
      </c>
      <c r="D355" s="69" t="str">
        <f t="shared" si="27"/>
        <v/>
      </c>
      <c r="E355" s="81"/>
      <c r="F355" s="118" t="str">
        <f t="shared" si="31"/>
        <v/>
      </c>
      <c r="G355" s="113"/>
      <c r="H355" s="357"/>
      <c r="I355" s="113"/>
      <c r="J355" s="81"/>
      <c r="L355" s="72" t="str">
        <f t="shared" si="29"/>
        <v/>
      </c>
      <c r="M355" s="72" t="str">
        <f t="shared" si="30"/>
        <v/>
      </c>
    </row>
    <row r="356" spans="1:13">
      <c r="A356" s="333" t="str">
        <f>IF(E356="","",VLOOKUP('OPĆI DIO'!$C$3,'OPĆI DIO'!$L$6:$U$138,10,FALSE))</f>
        <v/>
      </c>
      <c r="B356" s="70" t="str">
        <f>IF(E356="","",VLOOKUP('OPĆI DIO'!$C$3,'OPĆI DIO'!$L$6:$U$138,9,FALSE))</f>
        <v/>
      </c>
      <c r="C356" s="115" t="str">
        <f t="shared" si="28"/>
        <v/>
      </c>
      <c r="D356" s="69" t="str">
        <f t="shared" si="27"/>
        <v/>
      </c>
      <c r="E356" s="81"/>
      <c r="F356" s="118" t="str">
        <f t="shared" si="31"/>
        <v/>
      </c>
      <c r="G356" s="113"/>
      <c r="H356" s="357"/>
      <c r="I356" s="113"/>
      <c r="J356" s="81"/>
      <c r="L356" s="72" t="str">
        <f t="shared" si="29"/>
        <v/>
      </c>
      <c r="M356" s="72" t="str">
        <f t="shared" si="30"/>
        <v/>
      </c>
    </row>
    <row r="357" spans="1:13">
      <c r="A357" s="333" t="str">
        <f>IF(E357="","",VLOOKUP('OPĆI DIO'!$C$3,'OPĆI DIO'!$L$6:$U$138,10,FALSE))</f>
        <v/>
      </c>
      <c r="B357" s="70" t="str">
        <f>IF(E357="","",VLOOKUP('OPĆI DIO'!$C$3,'OPĆI DIO'!$L$6:$U$138,9,FALSE))</f>
        <v/>
      </c>
      <c r="C357" s="115" t="str">
        <f t="shared" si="28"/>
        <v/>
      </c>
      <c r="D357" s="69" t="str">
        <f t="shared" si="27"/>
        <v/>
      </c>
      <c r="E357" s="81"/>
      <c r="F357" s="118" t="str">
        <f t="shared" si="31"/>
        <v/>
      </c>
      <c r="G357" s="113"/>
      <c r="H357" s="357"/>
      <c r="I357" s="113"/>
      <c r="J357" s="81"/>
      <c r="L357" s="72" t="str">
        <f t="shared" si="29"/>
        <v/>
      </c>
      <c r="M357" s="72" t="str">
        <f t="shared" si="30"/>
        <v/>
      </c>
    </row>
    <row r="358" spans="1:13">
      <c r="A358" s="333" t="str">
        <f>IF(E358="","",VLOOKUP('OPĆI DIO'!$C$3,'OPĆI DIO'!$L$6:$U$138,10,FALSE))</f>
        <v/>
      </c>
      <c r="B358" s="70" t="str">
        <f>IF(E358="","",VLOOKUP('OPĆI DIO'!$C$3,'OPĆI DIO'!$L$6:$U$138,9,FALSE))</f>
        <v/>
      </c>
      <c r="C358" s="115" t="str">
        <f t="shared" si="28"/>
        <v/>
      </c>
      <c r="D358" s="69" t="str">
        <f t="shared" si="27"/>
        <v/>
      </c>
      <c r="E358" s="81"/>
      <c r="F358" s="118" t="str">
        <f t="shared" si="31"/>
        <v/>
      </c>
      <c r="G358" s="113"/>
      <c r="H358" s="357"/>
      <c r="I358" s="113"/>
      <c r="J358" s="81"/>
      <c r="L358" s="72" t="str">
        <f t="shared" si="29"/>
        <v/>
      </c>
      <c r="M358" s="72" t="str">
        <f t="shared" si="30"/>
        <v/>
      </c>
    </row>
    <row r="359" spans="1:13">
      <c r="A359" s="333" t="str">
        <f>IF(E359="","",VLOOKUP('OPĆI DIO'!$C$3,'OPĆI DIO'!$L$6:$U$138,10,FALSE))</f>
        <v/>
      </c>
      <c r="B359" s="70" t="str">
        <f>IF(E359="","",VLOOKUP('OPĆI DIO'!$C$3,'OPĆI DIO'!$L$6:$U$138,9,FALSE))</f>
        <v/>
      </c>
      <c r="C359" s="115" t="str">
        <f t="shared" si="28"/>
        <v/>
      </c>
      <c r="D359" s="69" t="str">
        <f t="shared" si="27"/>
        <v/>
      </c>
      <c r="E359" s="81"/>
      <c r="F359" s="118" t="str">
        <f t="shared" si="31"/>
        <v/>
      </c>
      <c r="G359" s="113"/>
      <c r="H359" s="357"/>
      <c r="I359" s="113"/>
      <c r="J359" s="81"/>
      <c r="L359" s="72" t="str">
        <f t="shared" si="29"/>
        <v/>
      </c>
      <c r="M359" s="72" t="str">
        <f t="shared" si="30"/>
        <v/>
      </c>
    </row>
    <row r="360" spans="1:13">
      <c r="A360" s="333" t="str">
        <f>IF(E360="","",VLOOKUP('OPĆI DIO'!$C$3,'OPĆI DIO'!$L$6:$U$138,10,FALSE))</f>
        <v/>
      </c>
      <c r="B360" s="70" t="str">
        <f>IF(E360="","",VLOOKUP('OPĆI DIO'!$C$3,'OPĆI DIO'!$L$6:$U$138,9,FALSE))</f>
        <v/>
      </c>
      <c r="C360" s="115" t="str">
        <f t="shared" si="28"/>
        <v/>
      </c>
      <c r="D360" s="69" t="str">
        <f t="shared" si="27"/>
        <v/>
      </c>
      <c r="E360" s="81"/>
      <c r="F360" s="118" t="str">
        <f t="shared" si="31"/>
        <v/>
      </c>
      <c r="G360" s="113"/>
      <c r="H360" s="357"/>
      <c r="I360" s="113"/>
      <c r="J360" s="81"/>
      <c r="L360" s="72" t="str">
        <f t="shared" si="29"/>
        <v/>
      </c>
      <c r="M360" s="72" t="str">
        <f t="shared" si="30"/>
        <v/>
      </c>
    </row>
    <row r="361" spans="1:13">
      <c r="A361" s="333" t="str">
        <f>IF(E361="","",VLOOKUP('OPĆI DIO'!$C$3,'OPĆI DIO'!$L$6:$U$138,10,FALSE))</f>
        <v/>
      </c>
      <c r="B361" s="70" t="str">
        <f>IF(E361="","",VLOOKUP('OPĆI DIO'!$C$3,'OPĆI DIO'!$L$6:$U$138,9,FALSE))</f>
        <v/>
      </c>
      <c r="C361" s="115" t="str">
        <f t="shared" si="28"/>
        <v/>
      </c>
      <c r="D361" s="69" t="str">
        <f t="shared" si="27"/>
        <v/>
      </c>
      <c r="E361" s="81"/>
      <c r="F361" s="118" t="str">
        <f t="shared" si="31"/>
        <v/>
      </c>
      <c r="G361" s="113"/>
      <c r="H361" s="357"/>
      <c r="I361" s="113"/>
      <c r="J361" s="81"/>
      <c r="L361" s="72" t="str">
        <f t="shared" si="29"/>
        <v/>
      </c>
      <c r="M361" s="72" t="str">
        <f t="shared" si="30"/>
        <v/>
      </c>
    </row>
    <row r="362" spans="1:13">
      <c r="A362" s="333" t="str">
        <f>IF(E362="","",VLOOKUP('OPĆI DIO'!$C$3,'OPĆI DIO'!$L$6:$U$138,10,FALSE))</f>
        <v/>
      </c>
      <c r="B362" s="70" t="str">
        <f>IF(E362="","",VLOOKUP('OPĆI DIO'!$C$3,'OPĆI DIO'!$L$6:$U$138,9,FALSE))</f>
        <v/>
      </c>
      <c r="C362" s="115" t="str">
        <f t="shared" si="28"/>
        <v/>
      </c>
      <c r="D362" s="69" t="str">
        <f t="shared" si="27"/>
        <v/>
      </c>
      <c r="E362" s="81"/>
      <c r="F362" s="118" t="str">
        <f t="shared" si="31"/>
        <v/>
      </c>
      <c r="G362" s="113"/>
      <c r="H362" s="357"/>
      <c r="I362" s="113"/>
      <c r="J362" s="81"/>
      <c r="L362" s="72" t="str">
        <f t="shared" si="29"/>
        <v/>
      </c>
      <c r="M362" s="72" t="str">
        <f t="shared" si="30"/>
        <v/>
      </c>
    </row>
    <row r="363" spans="1:13">
      <c r="A363" s="333" t="str">
        <f>IF(E363="","",VLOOKUP('OPĆI DIO'!$C$3,'OPĆI DIO'!$L$6:$U$138,10,FALSE))</f>
        <v/>
      </c>
      <c r="B363" s="70" t="str">
        <f>IF(E363="","",VLOOKUP('OPĆI DIO'!$C$3,'OPĆI DIO'!$L$6:$U$138,9,FALSE))</f>
        <v/>
      </c>
      <c r="C363" s="115" t="str">
        <f t="shared" si="28"/>
        <v/>
      </c>
      <c r="D363" s="69" t="str">
        <f t="shared" si="27"/>
        <v/>
      </c>
      <c r="E363" s="81"/>
      <c r="F363" s="118" t="str">
        <f t="shared" si="31"/>
        <v/>
      </c>
      <c r="G363" s="113"/>
      <c r="H363" s="357"/>
      <c r="I363" s="113"/>
      <c r="J363" s="81"/>
      <c r="L363" s="72" t="str">
        <f t="shared" si="29"/>
        <v/>
      </c>
      <c r="M363" s="72" t="str">
        <f t="shared" si="30"/>
        <v/>
      </c>
    </row>
    <row r="364" spans="1:13">
      <c r="A364" s="333" t="str">
        <f>IF(E364="","",VLOOKUP('OPĆI DIO'!$C$3,'OPĆI DIO'!$L$6:$U$138,10,FALSE))</f>
        <v/>
      </c>
      <c r="B364" s="70" t="str">
        <f>IF(E364="","",VLOOKUP('OPĆI DIO'!$C$3,'OPĆI DIO'!$L$6:$U$138,9,FALSE))</f>
        <v/>
      </c>
      <c r="C364" s="115" t="str">
        <f t="shared" si="28"/>
        <v/>
      </c>
      <c r="D364" s="69" t="str">
        <f t="shared" si="27"/>
        <v/>
      </c>
      <c r="E364" s="81"/>
      <c r="F364" s="118" t="str">
        <f t="shared" si="31"/>
        <v/>
      </c>
      <c r="G364" s="113"/>
      <c r="H364" s="357"/>
      <c r="I364" s="113"/>
      <c r="J364" s="81"/>
      <c r="L364" s="72" t="str">
        <f t="shared" si="29"/>
        <v/>
      </c>
      <c r="M364" s="72" t="str">
        <f t="shared" si="30"/>
        <v/>
      </c>
    </row>
    <row r="365" spans="1:13">
      <c r="A365" s="333" t="str">
        <f>IF(E365="","",VLOOKUP('OPĆI DIO'!$C$3,'OPĆI DIO'!$L$6:$U$138,10,FALSE))</f>
        <v/>
      </c>
      <c r="B365" s="70" t="str">
        <f>IF(E365="","",VLOOKUP('OPĆI DIO'!$C$3,'OPĆI DIO'!$L$6:$U$138,9,FALSE))</f>
        <v/>
      </c>
      <c r="C365" s="115" t="str">
        <f t="shared" si="28"/>
        <v/>
      </c>
      <c r="D365" s="69" t="str">
        <f t="shared" si="27"/>
        <v/>
      </c>
      <c r="E365" s="81"/>
      <c r="F365" s="118" t="str">
        <f t="shared" si="31"/>
        <v/>
      </c>
      <c r="G365" s="113"/>
      <c r="H365" s="357"/>
      <c r="I365" s="113"/>
      <c r="J365" s="81"/>
      <c r="L365" s="72" t="str">
        <f t="shared" si="29"/>
        <v/>
      </c>
      <c r="M365" s="72" t="str">
        <f t="shared" si="30"/>
        <v/>
      </c>
    </row>
    <row r="366" spans="1:13">
      <c r="A366" s="333" t="str">
        <f>IF(E366="","",VLOOKUP('OPĆI DIO'!$C$3,'OPĆI DIO'!$L$6:$U$138,10,FALSE))</f>
        <v/>
      </c>
      <c r="B366" s="70" t="str">
        <f>IF(E366="","",VLOOKUP('OPĆI DIO'!$C$3,'OPĆI DIO'!$L$6:$U$138,9,FALSE))</f>
        <v/>
      </c>
      <c r="C366" s="115" t="str">
        <f t="shared" si="28"/>
        <v/>
      </c>
      <c r="D366" s="69" t="str">
        <f t="shared" si="27"/>
        <v/>
      </c>
      <c r="E366" s="81"/>
      <c r="F366" s="118" t="str">
        <f t="shared" si="31"/>
        <v/>
      </c>
      <c r="G366" s="113"/>
      <c r="H366" s="357"/>
      <c r="I366" s="113"/>
      <c r="J366" s="81"/>
      <c r="L366" s="72" t="str">
        <f t="shared" si="29"/>
        <v/>
      </c>
      <c r="M366" s="72" t="str">
        <f t="shared" si="30"/>
        <v/>
      </c>
    </row>
    <row r="367" spans="1:13">
      <c r="A367" s="333" t="str">
        <f>IF(E367="","",VLOOKUP('OPĆI DIO'!$C$3,'OPĆI DIO'!$L$6:$U$138,10,FALSE))</f>
        <v/>
      </c>
      <c r="B367" s="70" t="str">
        <f>IF(E367="","",VLOOKUP('OPĆI DIO'!$C$3,'OPĆI DIO'!$L$6:$U$138,9,FALSE))</f>
        <v/>
      </c>
      <c r="C367" s="115" t="str">
        <f t="shared" si="28"/>
        <v/>
      </c>
      <c r="D367" s="69" t="str">
        <f t="shared" si="27"/>
        <v/>
      </c>
      <c r="E367" s="81"/>
      <c r="F367" s="118" t="str">
        <f t="shared" si="31"/>
        <v/>
      </c>
      <c r="G367" s="113"/>
      <c r="H367" s="357"/>
      <c r="I367" s="113"/>
      <c r="J367" s="81"/>
      <c r="L367" s="72" t="str">
        <f t="shared" si="29"/>
        <v/>
      </c>
      <c r="M367" s="72" t="str">
        <f t="shared" si="30"/>
        <v/>
      </c>
    </row>
    <row r="368" spans="1:13">
      <c r="A368" s="333" t="str">
        <f>IF(E368="","",VLOOKUP('OPĆI DIO'!$C$3,'OPĆI DIO'!$L$6:$U$138,10,FALSE))</f>
        <v/>
      </c>
      <c r="B368" s="70" t="str">
        <f>IF(E368="","",VLOOKUP('OPĆI DIO'!$C$3,'OPĆI DIO'!$L$6:$U$138,9,FALSE))</f>
        <v/>
      </c>
      <c r="C368" s="115" t="str">
        <f t="shared" si="28"/>
        <v/>
      </c>
      <c r="D368" s="69" t="str">
        <f t="shared" si="27"/>
        <v/>
      </c>
      <c r="E368" s="81"/>
      <c r="F368" s="118" t="str">
        <f t="shared" si="31"/>
        <v/>
      </c>
      <c r="G368" s="113"/>
      <c r="H368" s="357"/>
      <c r="I368" s="113"/>
      <c r="J368" s="81"/>
      <c r="L368" s="72" t="str">
        <f t="shared" si="29"/>
        <v/>
      </c>
      <c r="M368" s="72" t="str">
        <f t="shared" si="30"/>
        <v/>
      </c>
    </row>
    <row r="369" spans="1:13">
      <c r="A369" s="333" t="str">
        <f>IF(E369="","",VLOOKUP('OPĆI DIO'!$C$3,'OPĆI DIO'!$L$6:$U$138,10,FALSE))</f>
        <v/>
      </c>
      <c r="B369" s="70" t="str">
        <f>IF(E369="","",VLOOKUP('OPĆI DIO'!$C$3,'OPĆI DIO'!$L$6:$U$138,9,FALSE))</f>
        <v/>
      </c>
      <c r="C369" s="115" t="str">
        <f t="shared" si="28"/>
        <v/>
      </c>
      <c r="D369" s="69" t="str">
        <f t="shared" si="27"/>
        <v/>
      </c>
      <c r="E369" s="81"/>
      <c r="F369" s="118" t="str">
        <f t="shared" si="31"/>
        <v/>
      </c>
      <c r="G369" s="113"/>
      <c r="H369" s="357"/>
      <c r="I369" s="113"/>
      <c r="J369" s="81"/>
      <c r="L369" s="72" t="str">
        <f t="shared" si="29"/>
        <v/>
      </c>
      <c r="M369" s="72" t="str">
        <f t="shared" si="30"/>
        <v/>
      </c>
    </row>
    <row r="370" spans="1:13">
      <c r="A370" s="333" t="str">
        <f>IF(E370="","",VLOOKUP('OPĆI DIO'!$C$3,'OPĆI DIO'!$L$6:$U$138,10,FALSE))</f>
        <v/>
      </c>
      <c r="B370" s="70" t="str">
        <f>IF(E370="","",VLOOKUP('OPĆI DIO'!$C$3,'OPĆI DIO'!$L$6:$U$138,9,FALSE))</f>
        <v/>
      </c>
      <c r="C370" s="115" t="str">
        <f t="shared" si="28"/>
        <v/>
      </c>
      <c r="D370" s="69" t="str">
        <f t="shared" si="27"/>
        <v/>
      </c>
      <c r="E370" s="81"/>
      <c r="F370" s="118" t="str">
        <f t="shared" si="31"/>
        <v/>
      </c>
      <c r="G370" s="113"/>
      <c r="H370" s="357"/>
      <c r="I370" s="113"/>
      <c r="J370" s="81"/>
      <c r="L370" s="72" t="str">
        <f t="shared" si="29"/>
        <v/>
      </c>
      <c r="M370" s="72" t="str">
        <f t="shared" si="30"/>
        <v/>
      </c>
    </row>
    <row r="371" spans="1:13">
      <c r="A371" s="333" t="str">
        <f>IF(E371="","",VLOOKUP('OPĆI DIO'!$C$3,'OPĆI DIO'!$L$6:$U$138,10,FALSE))</f>
        <v/>
      </c>
      <c r="B371" s="70" t="str">
        <f>IF(E371="","",VLOOKUP('OPĆI DIO'!$C$3,'OPĆI DIO'!$L$6:$U$138,9,FALSE))</f>
        <v/>
      </c>
      <c r="C371" s="115" t="str">
        <f t="shared" si="28"/>
        <v/>
      </c>
      <c r="D371" s="69" t="str">
        <f t="shared" si="27"/>
        <v/>
      </c>
      <c r="E371" s="81"/>
      <c r="F371" s="118" t="str">
        <f t="shared" si="31"/>
        <v/>
      </c>
      <c r="G371" s="113"/>
      <c r="H371" s="357"/>
      <c r="I371" s="113"/>
      <c r="J371" s="81"/>
      <c r="L371" s="72" t="str">
        <f t="shared" si="29"/>
        <v/>
      </c>
      <c r="M371" s="72" t="str">
        <f t="shared" si="30"/>
        <v/>
      </c>
    </row>
    <row r="372" spans="1:13">
      <c r="A372" s="333" t="str">
        <f>IF(E372="","",VLOOKUP('OPĆI DIO'!$C$3,'OPĆI DIO'!$L$6:$U$138,10,FALSE))</f>
        <v/>
      </c>
      <c r="B372" s="70" t="str">
        <f>IF(E372="","",VLOOKUP('OPĆI DIO'!$C$3,'OPĆI DIO'!$L$6:$U$138,9,FALSE))</f>
        <v/>
      </c>
      <c r="C372" s="115" t="str">
        <f t="shared" si="28"/>
        <v/>
      </c>
      <c r="D372" s="69" t="str">
        <f t="shared" si="27"/>
        <v/>
      </c>
      <c r="E372" s="81"/>
      <c r="F372" s="118" t="str">
        <f t="shared" si="31"/>
        <v/>
      </c>
      <c r="G372" s="113"/>
      <c r="H372" s="357"/>
      <c r="I372" s="113"/>
      <c r="J372" s="81"/>
      <c r="L372" s="72" t="str">
        <f t="shared" si="29"/>
        <v/>
      </c>
      <c r="M372" s="72" t="str">
        <f t="shared" si="30"/>
        <v/>
      </c>
    </row>
    <row r="373" spans="1:13">
      <c r="A373" s="333" t="str">
        <f>IF(E373="","",VLOOKUP('OPĆI DIO'!$C$3,'OPĆI DIO'!$L$6:$U$138,10,FALSE))</f>
        <v/>
      </c>
      <c r="B373" s="70" t="str">
        <f>IF(E373="","",VLOOKUP('OPĆI DIO'!$C$3,'OPĆI DIO'!$L$6:$U$138,9,FALSE))</f>
        <v/>
      </c>
      <c r="C373" s="115" t="str">
        <f t="shared" si="28"/>
        <v/>
      </c>
      <c r="D373" s="69" t="str">
        <f t="shared" si="27"/>
        <v/>
      </c>
      <c r="E373" s="81"/>
      <c r="F373" s="118" t="str">
        <f t="shared" si="31"/>
        <v/>
      </c>
      <c r="G373" s="113"/>
      <c r="H373" s="357"/>
      <c r="I373" s="113"/>
      <c r="J373" s="81"/>
      <c r="L373" s="72" t="str">
        <f t="shared" si="29"/>
        <v/>
      </c>
      <c r="M373" s="72" t="str">
        <f t="shared" si="30"/>
        <v/>
      </c>
    </row>
    <row r="374" spans="1:13">
      <c r="A374" s="333" t="str">
        <f>IF(E374="","",VLOOKUP('OPĆI DIO'!$C$3,'OPĆI DIO'!$L$6:$U$138,10,FALSE))</f>
        <v/>
      </c>
      <c r="B374" s="70" t="str">
        <f>IF(E374="","",VLOOKUP('OPĆI DIO'!$C$3,'OPĆI DIO'!$L$6:$U$138,9,FALSE))</f>
        <v/>
      </c>
      <c r="C374" s="115" t="str">
        <f t="shared" si="28"/>
        <v/>
      </c>
      <c r="D374" s="69" t="str">
        <f t="shared" si="27"/>
        <v/>
      </c>
      <c r="E374" s="81"/>
      <c r="F374" s="118" t="str">
        <f t="shared" si="31"/>
        <v/>
      </c>
      <c r="G374" s="113"/>
      <c r="H374" s="357"/>
      <c r="I374" s="113"/>
      <c r="J374" s="81"/>
      <c r="L374" s="72" t="str">
        <f t="shared" si="29"/>
        <v/>
      </c>
      <c r="M374" s="72" t="str">
        <f t="shared" si="30"/>
        <v/>
      </c>
    </row>
    <row r="375" spans="1:13">
      <c r="A375" s="333" t="str">
        <f>IF(E375="","",VLOOKUP('OPĆI DIO'!$C$3,'OPĆI DIO'!$L$6:$U$138,10,FALSE))</f>
        <v/>
      </c>
      <c r="B375" s="70" t="str">
        <f>IF(E375="","",VLOOKUP('OPĆI DIO'!$C$3,'OPĆI DIO'!$L$6:$U$138,9,FALSE))</f>
        <v/>
      </c>
      <c r="C375" s="115" t="str">
        <f t="shared" si="28"/>
        <v/>
      </c>
      <c r="D375" s="69" t="str">
        <f t="shared" si="27"/>
        <v/>
      </c>
      <c r="E375" s="81"/>
      <c r="F375" s="118" t="str">
        <f t="shared" si="31"/>
        <v/>
      </c>
      <c r="G375" s="113"/>
      <c r="H375" s="357"/>
      <c r="I375" s="113"/>
      <c r="J375" s="81"/>
      <c r="L375" s="72" t="str">
        <f t="shared" si="29"/>
        <v/>
      </c>
      <c r="M375" s="72" t="str">
        <f t="shared" si="30"/>
        <v/>
      </c>
    </row>
    <row r="376" spans="1:13">
      <c r="A376" s="333" t="str">
        <f>IF(E376="","",VLOOKUP('OPĆI DIO'!$C$3,'OPĆI DIO'!$L$6:$U$138,10,FALSE))</f>
        <v/>
      </c>
      <c r="B376" s="70" t="str">
        <f>IF(E376="","",VLOOKUP('OPĆI DIO'!$C$3,'OPĆI DIO'!$L$6:$U$138,9,FALSE))</f>
        <v/>
      </c>
      <c r="C376" s="115" t="str">
        <f t="shared" si="28"/>
        <v/>
      </c>
      <c r="D376" s="69" t="str">
        <f t="shared" si="27"/>
        <v/>
      </c>
      <c r="E376" s="81"/>
      <c r="F376" s="118" t="str">
        <f t="shared" si="31"/>
        <v/>
      </c>
      <c r="G376" s="113"/>
      <c r="H376" s="357"/>
      <c r="I376" s="113"/>
      <c r="J376" s="81"/>
      <c r="L376" s="72" t="str">
        <f t="shared" si="29"/>
        <v/>
      </c>
      <c r="M376" s="72" t="str">
        <f t="shared" si="30"/>
        <v/>
      </c>
    </row>
    <row r="377" spans="1:13">
      <c r="A377" s="333" t="str">
        <f>IF(E377="","",VLOOKUP('OPĆI DIO'!$C$3,'OPĆI DIO'!$L$6:$U$138,10,FALSE))</f>
        <v/>
      </c>
      <c r="B377" s="70" t="str">
        <f>IF(E377="","",VLOOKUP('OPĆI DIO'!$C$3,'OPĆI DIO'!$L$6:$U$138,9,FALSE))</f>
        <v/>
      </c>
      <c r="C377" s="115" t="str">
        <f t="shared" si="28"/>
        <v/>
      </c>
      <c r="D377" s="69" t="str">
        <f t="shared" si="27"/>
        <v/>
      </c>
      <c r="E377" s="81"/>
      <c r="F377" s="118" t="str">
        <f t="shared" si="31"/>
        <v/>
      </c>
      <c r="G377" s="113"/>
      <c r="H377" s="357"/>
      <c r="I377" s="113"/>
      <c r="J377" s="81"/>
      <c r="L377" s="72" t="str">
        <f t="shared" si="29"/>
        <v/>
      </c>
      <c r="M377" s="72" t="str">
        <f t="shared" si="30"/>
        <v/>
      </c>
    </row>
    <row r="378" spans="1:13">
      <c r="A378" s="333" t="str">
        <f>IF(E378="","",VLOOKUP('OPĆI DIO'!$C$3,'OPĆI DIO'!$L$6:$U$138,10,FALSE))</f>
        <v/>
      </c>
      <c r="B378" s="70" t="str">
        <f>IF(E378="","",VLOOKUP('OPĆI DIO'!$C$3,'OPĆI DIO'!$L$6:$U$138,9,FALSE))</f>
        <v/>
      </c>
      <c r="C378" s="115" t="str">
        <f t="shared" si="28"/>
        <v/>
      </c>
      <c r="D378" s="69" t="str">
        <f t="shared" si="27"/>
        <v/>
      </c>
      <c r="E378" s="81"/>
      <c r="F378" s="118" t="str">
        <f t="shared" si="31"/>
        <v/>
      </c>
      <c r="G378" s="113"/>
      <c r="H378" s="357"/>
      <c r="I378" s="113"/>
      <c r="J378" s="81"/>
      <c r="L378" s="72" t="str">
        <f t="shared" si="29"/>
        <v/>
      </c>
      <c r="M378" s="72" t="str">
        <f t="shared" si="30"/>
        <v/>
      </c>
    </row>
    <row r="379" spans="1:13">
      <c r="A379" s="333" t="str">
        <f>IF(E379="","",VLOOKUP('OPĆI DIO'!$C$3,'OPĆI DIO'!$L$6:$U$138,10,FALSE))</f>
        <v/>
      </c>
      <c r="B379" s="70" t="str">
        <f>IF(E379="","",VLOOKUP('OPĆI DIO'!$C$3,'OPĆI DIO'!$L$6:$U$138,9,FALSE))</f>
        <v/>
      </c>
      <c r="C379" s="115" t="str">
        <f t="shared" si="28"/>
        <v/>
      </c>
      <c r="D379" s="69" t="str">
        <f t="shared" si="27"/>
        <v/>
      </c>
      <c r="E379" s="81"/>
      <c r="F379" s="118" t="str">
        <f t="shared" si="31"/>
        <v/>
      </c>
      <c r="G379" s="113"/>
      <c r="H379" s="357"/>
      <c r="I379" s="113"/>
      <c r="J379" s="81"/>
      <c r="L379" s="72" t="str">
        <f t="shared" si="29"/>
        <v/>
      </c>
      <c r="M379" s="72" t="str">
        <f t="shared" si="30"/>
        <v/>
      </c>
    </row>
    <row r="380" spans="1:13">
      <c r="A380" s="333" t="str">
        <f>IF(E380="","",VLOOKUP('OPĆI DIO'!$C$3,'OPĆI DIO'!$L$6:$U$138,10,FALSE))</f>
        <v/>
      </c>
      <c r="B380" s="70" t="str">
        <f>IF(E380="","",VLOOKUP('OPĆI DIO'!$C$3,'OPĆI DIO'!$L$6:$U$138,9,FALSE))</f>
        <v/>
      </c>
      <c r="C380" s="115" t="str">
        <f t="shared" si="28"/>
        <v/>
      </c>
      <c r="D380" s="69" t="str">
        <f t="shared" si="27"/>
        <v/>
      </c>
      <c r="E380" s="81"/>
      <c r="F380" s="118" t="str">
        <f t="shared" si="31"/>
        <v/>
      </c>
      <c r="G380" s="113"/>
      <c r="H380" s="357"/>
      <c r="I380" s="113"/>
      <c r="J380" s="81"/>
      <c r="L380" s="72" t="str">
        <f t="shared" si="29"/>
        <v/>
      </c>
      <c r="M380" s="72" t="str">
        <f t="shared" si="30"/>
        <v/>
      </c>
    </row>
    <row r="381" spans="1:13">
      <c r="A381" s="333" t="str">
        <f>IF(E381="","",VLOOKUP('OPĆI DIO'!$C$3,'OPĆI DIO'!$L$6:$U$138,10,FALSE))</f>
        <v/>
      </c>
      <c r="B381" s="70" t="str">
        <f>IF(E381="","",VLOOKUP('OPĆI DIO'!$C$3,'OPĆI DIO'!$L$6:$U$138,9,FALSE))</f>
        <v/>
      </c>
      <c r="C381" s="115" t="str">
        <f t="shared" si="28"/>
        <v/>
      </c>
      <c r="D381" s="69" t="str">
        <f t="shared" si="27"/>
        <v/>
      </c>
      <c r="E381" s="81"/>
      <c r="F381" s="118" t="str">
        <f t="shared" si="31"/>
        <v/>
      </c>
      <c r="G381" s="113"/>
      <c r="H381" s="357"/>
      <c r="I381" s="113"/>
      <c r="J381" s="81"/>
      <c r="L381" s="72" t="str">
        <f t="shared" si="29"/>
        <v/>
      </c>
      <c r="M381" s="72" t="str">
        <f t="shared" si="30"/>
        <v/>
      </c>
    </row>
    <row r="382" spans="1:13">
      <c r="A382" s="333" t="str">
        <f>IF(E382="","",VLOOKUP('OPĆI DIO'!$C$3,'OPĆI DIO'!$L$6:$U$138,10,FALSE))</f>
        <v/>
      </c>
      <c r="B382" s="70" t="str">
        <f>IF(E382="","",VLOOKUP('OPĆI DIO'!$C$3,'OPĆI DIO'!$L$6:$U$138,9,FALSE))</f>
        <v/>
      </c>
      <c r="C382" s="115" t="str">
        <f t="shared" si="28"/>
        <v/>
      </c>
      <c r="D382" s="69" t="str">
        <f t="shared" si="27"/>
        <v/>
      </c>
      <c r="E382" s="81"/>
      <c r="F382" s="118" t="str">
        <f t="shared" si="31"/>
        <v/>
      </c>
      <c r="G382" s="113"/>
      <c r="H382" s="357"/>
      <c r="I382" s="113"/>
      <c r="J382" s="81"/>
      <c r="L382" s="72" t="str">
        <f t="shared" si="29"/>
        <v/>
      </c>
      <c r="M382" s="72" t="str">
        <f t="shared" si="30"/>
        <v/>
      </c>
    </row>
    <row r="383" spans="1:13">
      <c r="A383" s="333" t="str">
        <f>IF(E383="","",VLOOKUP('OPĆI DIO'!$C$3,'OPĆI DIO'!$L$6:$U$138,10,FALSE))</f>
        <v/>
      </c>
      <c r="B383" s="70" t="str">
        <f>IF(E383="","",VLOOKUP('OPĆI DIO'!$C$3,'OPĆI DIO'!$L$6:$U$138,9,FALSE))</f>
        <v/>
      </c>
      <c r="C383" s="115" t="str">
        <f t="shared" si="28"/>
        <v/>
      </c>
      <c r="D383" s="69" t="str">
        <f t="shared" si="27"/>
        <v/>
      </c>
      <c r="E383" s="81"/>
      <c r="F383" s="118" t="str">
        <f t="shared" si="31"/>
        <v/>
      </c>
      <c r="G383" s="113"/>
      <c r="H383" s="357"/>
      <c r="I383" s="113"/>
      <c r="J383" s="81"/>
      <c r="L383" s="72" t="str">
        <f t="shared" si="29"/>
        <v/>
      </c>
      <c r="M383" s="72" t="str">
        <f t="shared" si="30"/>
        <v/>
      </c>
    </row>
    <row r="384" spans="1:13">
      <c r="A384" s="333" t="str">
        <f>IF(E384="","",VLOOKUP('OPĆI DIO'!$C$3,'OPĆI DIO'!$L$6:$U$138,10,FALSE))</f>
        <v/>
      </c>
      <c r="B384" s="70" t="str">
        <f>IF(E384="","",VLOOKUP('OPĆI DIO'!$C$3,'OPĆI DIO'!$L$6:$U$138,9,FALSE))</f>
        <v/>
      </c>
      <c r="C384" s="115" t="str">
        <f t="shared" si="28"/>
        <v/>
      </c>
      <c r="D384" s="69" t="str">
        <f t="shared" si="27"/>
        <v/>
      </c>
      <c r="E384" s="81"/>
      <c r="F384" s="118" t="str">
        <f t="shared" si="31"/>
        <v/>
      </c>
      <c r="G384" s="113"/>
      <c r="H384" s="357"/>
      <c r="I384" s="113"/>
      <c r="J384" s="81"/>
      <c r="L384" s="72" t="str">
        <f t="shared" si="29"/>
        <v/>
      </c>
      <c r="M384" s="72" t="str">
        <f t="shared" si="30"/>
        <v/>
      </c>
    </row>
    <row r="385" spans="1:13">
      <c r="A385" s="333" t="str">
        <f>IF(E385="","",VLOOKUP('OPĆI DIO'!$C$3,'OPĆI DIO'!$L$6:$U$138,10,FALSE))</f>
        <v/>
      </c>
      <c r="B385" s="70" t="str">
        <f>IF(E385="","",VLOOKUP('OPĆI DIO'!$C$3,'OPĆI DIO'!$L$6:$U$138,9,FALSE))</f>
        <v/>
      </c>
      <c r="C385" s="115" t="str">
        <f t="shared" si="28"/>
        <v/>
      </c>
      <c r="D385" s="69" t="str">
        <f t="shared" si="27"/>
        <v/>
      </c>
      <c r="E385" s="81"/>
      <c r="F385" s="118" t="str">
        <f t="shared" si="31"/>
        <v/>
      </c>
      <c r="G385" s="113"/>
      <c r="H385" s="357"/>
      <c r="I385" s="113"/>
      <c r="J385" s="81"/>
      <c r="L385" s="72" t="str">
        <f t="shared" si="29"/>
        <v/>
      </c>
      <c r="M385" s="72" t="str">
        <f t="shared" si="30"/>
        <v/>
      </c>
    </row>
    <row r="386" spans="1:13">
      <c r="A386" s="333" t="str">
        <f>IF(E386="","",VLOOKUP('OPĆI DIO'!$C$3,'OPĆI DIO'!$L$6:$U$138,10,FALSE))</f>
        <v/>
      </c>
      <c r="B386" s="70" t="str">
        <f>IF(E386="","",VLOOKUP('OPĆI DIO'!$C$3,'OPĆI DIO'!$L$6:$U$138,9,FALSE))</f>
        <v/>
      </c>
      <c r="C386" s="115" t="str">
        <f t="shared" si="28"/>
        <v/>
      </c>
      <c r="D386" s="69" t="str">
        <f t="shared" si="27"/>
        <v/>
      </c>
      <c r="E386" s="81"/>
      <c r="F386" s="118" t="str">
        <f t="shared" si="31"/>
        <v/>
      </c>
      <c r="G386" s="113"/>
      <c r="H386" s="357"/>
      <c r="I386" s="113"/>
      <c r="J386" s="81"/>
      <c r="L386" s="72" t="str">
        <f t="shared" si="29"/>
        <v/>
      </c>
      <c r="M386" s="72" t="str">
        <f t="shared" si="30"/>
        <v/>
      </c>
    </row>
    <row r="387" spans="1:13">
      <c r="A387" s="333" t="str">
        <f>IF(E387="","",VLOOKUP('OPĆI DIO'!$C$3,'OPĆI DIO'!$L$6:$U$138,10,FALSE))</f>
        <v/>
      </c>
      <c r="B387" s="70" t="str">
        <f>IF(E387="","",VLOOKUP('OPĆI DIO'!$C$3,'OPĆI DIO'!$L$6:$U$138,9,FALSE))</f>
        <v/>
      </c>
      <c r="C387" s="115" t="str">
        <f t="shared" si="28"/>
        <v/>
      </c>
      <c r="D387" s="69" t="str">
        <f t="shared" si="27"/>
        <v/>
      </c>
      <c r="E387" s="81"/>
      <c r="F387" s="118" t="str">
        <f t="shared" si="31"/>
        <v/>
      </c>
      <c r="G387" s="113"/>
      <c r="H387" s="357"/>
      <c r="I387" s="113"/>
      <c r="J387" s="81"/>
      <c r="L387" s="72" t="str">
        <f t="shared" si="29"/>
        <v/>
      </c>
      <c r="M387" s="72" t="str">
        <f t="shared" si="30"/>
        <v/>
      </c>
    </row>
    <row r="388" spans="1:13">
      <c r="A388" s="333" t="str">
        <f>IF(E388="","",VLOOKUP('OPĆI DIO'!$C$3,'OPĆI DIO'!$L$6:$U$138,10,FALSE))</f>
        <v/>
      </c>
      <c r="B388" s="70" t="str">
        <f>IF(E388="","",VLOOKUP('OPĆI DIO'!$C$3,'OPĆI DIO'!$L$6:$U$138,9,FALSE))</f>
        <v/>
      </c>
      <c r="C388" s="115" t="str">
        <f t="shared" si="28"/>
        <v/>
      </c>
      <c r="D388" s="69" t="str">
        <f t="shared" ref="D388:D451" si="32">IFERROR(VLOOKUP(E388,$R$6:$U$116,4,FALSE),"")</f>
        <v/>
      </c>
      <c r="E388" s="81"/>
      <c r="F388" s="118" t="str">
        <f t="shared" si="31"/>
        <v/>
      </c>
      <c r="G388" s="113"/>
      <c r="H388" s="357"/>
      <c r="I388" s="113"/>
      <c r="J388" s="81"/>
      <c r="L388" s="72" t="str">
        <f t="shared" si="29"/>
        <v/>
      </c>
      <c r="M388" s="72" t="str">
        <f t="shared" si="30"/>
        <v/>
      </c>
    </row>
    <row r="389" spans="1:13">
      <c r="A389" s="333" t="str">
        <f>IF(E389="","",VLOOKUP('OPĆI DIO'!$C$3,'OPĆI DIO'!$L$6:$U$138,10,FALSE))</f>
        <v/>
      </c>
      <c r="B389" s="70" t="str">
        <f>IF(E389="","",VLOOKUP('OPĆI DIO'!$C$3,'OPĆI DIO'!$L$6:$U$138,9,FALSE))</f>
        <v/>
      </c>
      <c r="C389" s="115" t="str">
        <f t="shared" si="28"/>
        <v/>
      </c>
      <c r="D389" s="69" t="str">
        <f t="shared" si="32"/>
        <v/>
      </c>
      <c r="E389" s="81"/>
      <c r="F389" s="118" t="str">
        <f t="shared" si="31"/>
        <v/>
      </c>
      <c r="G389" s="113"/>
      <c r="H389" s="357"/>
      <c r="I389" s="113"/>
      <c r="J389" s="81"/>
      <c r="L389" s="72" t="str">
        <f t="shared" si="29"/>
        <v/>
      </c>
      <c r="M389" s="72" t="str">
        <f t="shared" si="30"/>
        <v/>
      </c>
    </row>
    <row r="390" spans="1:13">
      <c r="A390" s="333" t="str">
        <f>IF(E390="","",VLOOKUP('OPĆI DIO'!$C$3,'OPĆI DIO'!$L$6:$U$138,10,FALSE))</f>
        <v/>
      </c>
      <c r="B390" s="70" t="str">
        <f>IF(E390="","",VLOOKUP('OPĆI DIO'!$C$3,'OPĆI DIO'!$L$6:$U$138,9,FALSE))</f>
        <v/>
      </c>
      <c r="C390" s="115" t="str">
        <f t="shared" ref="C390:C453" si="33">IFERROR(VLOOKUP(E390,$R$6:$U$116,3,FALSE),"")</f>
        <v/>
      </c>
      <c r="D390" s="69" t="str">
        <f t="shared" si="32"/>
        <v/>
      </c>
      <c r="E390" s="81"/>
      <c r="F390" s="118" t="str">
        <f t="shared" si="31"/>
        <v/>
      </c>
      <c r="G390" s="113"/>
      <c r="H390" s="357"/>
      <c r="I390" s="113"/>
      <c r="J390" s="81"/>
      <c r="L390" s="72" t="str">
        <f t="shared" si="29"/>
        <v/>
      </c>
      <c r="M390" s="72" t="str">
        <f t="shared" si="30"/>
        <v/>
      </c>
    </row>
    <row r="391" spans="1:13">
      <c r="A391" s="333" t="str">
        <f>IF(E391="","",VLOOKUP('OPĆI DIO'!$C$3,'OPĆI DIO'!$L$6:$U$138,10,FALSE))</f>
        <v/>
      </c>
      <c r="B391" s="70" t="str">
        <f>IF(E391="","",VLOOKUP('OPĆI DIO'!$C$3,'OPĆI DIO'!$L$6:$U$138,9,FALSE))</f>
        <v/>
      </c>
      <c r="C391" s="115" t="str">
        <f t="shared" si="33"/>
        <v/>
      </c>
      <c r="D391" s="69" t="str">
        <f t="shared" si="32"/>
        <v/>
      </c>
      <c r="E391" s="81"/>
      <c r="F391" s="118" t="str">
        <f t="shared" si="31"/>
        <v/>
      </c>
      <c r="G391" s="113"/>
      <c r="H391" s="357"/>
      <c r="I391" s="113"/>
      <c r="J391" s="81"/>
      <c r="L391" s="72" t="str">
        <f t="shared" ref="L391:L454" si="34">LEFT(E391,2)</f>
        <v/>
      </c>
      <c r="M391" s="72" t="str">
        <f t="shared" ref="M391:M454" si="35">LEFT(E391,3)</f>
        <v/>
      </c>
    </row>
    <row r="392" spans="1:13">
      <c r="A392" s="333" t="str">
        <f>IF(E392="","",VLOOKUP('OPĆI DIO'!$C$3,'OPĆI DIO'!$L$6:$U$138,10,FALSE))</f>
        <v/>
      </c>
      <c r="B392" s="70" t="str">
        <f>IF(E392="","",VLOOKUP('OPĆI DIO'!$C$3,'OPĆI DIO'!$L$6:$U$138,9,FALSE))</f>
        <v/>
      </c>
      <c r="C392" s="115" t="str">
        <f t="shared" si="33"/>
        <v/>
      </c>
      <c r="D392" s="69" t="str">
        <f t="shared" si="32"/>
        <v/>
      </c>
      <c r="E392" s="81"/>
      <c r="F392" s="118" t="str">
        <f t="shared" si="31"/>
        <v/>
      </c>
      <c r="G392" s="113"/>
      <c r="H392" s="357"/>
      <c r="I392" s="113"/>
      <c r="J392" s="81"/>
      <c r="L392" s="72" t="str">
        <f t="shared" si="34"/>
        <v/>
      </c>
      <c r="M392" s="72" t="str">
        <f t="shared" si="35"/>
        <v/>
      </c>
    </row>
    <row r="393" spans="1:13">
      <c r="A393" s="333" t="str">
        <f>IF(E393="","",VLOOKUP('OPĆI DIO'!$C$3,'OPĆI DIO'!$L$6:$U$138,10,FALSE))</f>
        <v/>
      </c>
      <c r="B393" s="70" t="str">
        <f>IF(E393="","",VLOOKUP('OPĆI DIO'!$C$3,'OPĆI DIO'!$L$6:$U$138,9,FALSE))</f>
        <v/>
      </c>
      <c r="C393" s="115" t="str">
        <f t="shared" si="33"/>
        <v/>
      </c>
      <c r="D393" s="69" t="str">
        <f t="shared" si="32"/>
        <v/>
      </c>
      <c r="E393" s="81"/>
      <c r="F393" s="118" t="str">
        <f t="shared" si="31"/>
        <v/>
      </c>
      <c r="G393" s="113"/>
      <c r="H393" s="357"/>
      <c r="I393" s="113"/>
      <c r="J393" s="81"/>
      <c r="L393" s="72" t="str">
        <f t="shared" si="34"/>
        <v/>
      </c>
      <c r="M393" s="72" t="str">
        <f t="shared" si="35"/>
        <v/>
      </c>
    </row>
    <row r="394" spans="1:13">
      <c r="A394" s="333" t="str">
        <f>IF(E394="","",VLOOKUP('OPĆI DIO'!$C$3,'OPĆI DIO'!$L$6:$U$138,10,FALSE))</f>
        <v/>
      </c>
      <c r="B394" s="70" t="str">
        <f>IF(E394="","",VLOOKUP('OPĆI DIO'!$C$3,'OPĆI DIO'!$L$6:$U$138,9,FALSE))</f>
        <v/>
      </c>
      <c r="C394" s="115" t="str">
        <f t="shared" si="33"/>
        <v/>
      </c>
      <c r="D394" s="69" t="str">
        <f t="shared" si="32"/>
        <v/>
      </c>
      <c r="E394" s="81"/>
      <c r="F394" s="118" t="str">
        <f t="shared" si="31"/>
        <v/>
      </c>
      <c r="G394" s="113"/>
      <c r="H394" s="357"/>
      <c r="I394" s="113"/>
      <c r="J394" s="81"/>
      <c r="L394" s="72" t="str">
        <f t="shared" si="34"/>
        <v/>
      </c>
      <c r="M394" s="72" t="str">
        <f t="shared" si="35"/>
        <v/>
      </c>
    </row>
    <row r="395" spans="1:13">
      <c r="A395" s="333" t="str">
        <f>IF(E395="","",VLOOKUP('OPĆI DIO'!$C$3,'OPĆI DIO'!$L$6:$U$138,10,FALSE))</f>
        <v/>
      </c>
      <c r="B395" s="70" t="str">
        <f>IF(E395="","",VLOOKUP('OPĆI DIO'!$C$3,'OPĆI DIO'!$L$6:$U$138,9,FALSE))</f>
        <v/>
      </c>
      <c r="C395" s="115" t="str">
        <f t="shared" si="33"/>
        <v/>
      </c>
      <c r="D395" s="69" t="str">
        <f t="shared" si="32"/>
        <v/>
      </c>
      <c r="E395" s="81"/>
      <c r="F395" s="118" t="str">
        <f t="shared" si="31"/>
        <v/>
      </c>
      <c r="G395" s="113"/>
      <c r="H395" s="357"/>
      <c r="I395" s="113"/>
      <c r="J395" s="81"/>
      <c r="L395" s="72" t="str">
        <f t="shared" si="34"/>
        <v/>
      </c>
      <c r="M395" s="72" t="str">
        <f t="shared" si="35"/>
        <v/>
      </c>
    </row>
    <row r="396" spans="1:13">
      <c r="A396" s="333" t="str">
        <f>IF(E396="","",VLOOKUP('OPĆI DIO'!$C$3,'OPĆI DIO'!$L$6:$U$138,10,FALSE))</f>
        <v/>
      </c>
      <c r="B396" s="70" t="str">
        <f>IF(E396="","",VLOOKUP('OPĆI DIO'!$C$3,'OPĆI DIO'!$L$6:$U$138,9,FALSE))</f>
        <v/>
      </c>
      <c r="C396" s="115" t="str">
        <f t="shared" si="33"/>
        <v/>
      </c>
      <c r="D396" s="69" t="str">
        <f t="shared" si="32"/>
        <v/>
      </c>
      <c r="E396" s="81"/>
      <c r="F396" s="118" t="str">
        <f t="shared" si="31"/>
        <v/>
      </c>
      <c r="G396" s="113"/>
      <c r="H396" s="357"/>
      <c r="I396" s="113"/>
      <c r="J396" s="81"/>
      <c r="L396" s="72" t="str">
        <f t="shared" si="34"/>
        <v/>
      </c>
      <c r="M396" s="72" t="str">
        <f t="shared" si="35"/>
        <v/>
      </c>
    </row>
    <row r="397" spans="1:13">
      <c r="A397" s="333" t="str">
        <f>IF(E397="","",VLOOKUP('OPĆI DIO'!$C$3,'OPĆI DIO'!$L$6:$U$138,10,FALSE))</f>
        <v/>
      </c>
      <c r="B397" s="70" t="str">
        <f>IF(E397="","",VLOOKUP('OPĆI DIO'!$C$3,'OPĆI DIO'!$L$6:$U$138,9,FALSE))</f>
        <v/>
      </c>
      <c r="C397" s="115" t="str">
        <f t="shared" si="33"/>
        <v/>
      </c>
      <c r="D397" s="69" t="str">
        <f t="shared" si="32"/>
        <v/>
      </c>
      <c r="E397" s="81"/>
      <c r="F397" s="118" t="str">
        <f t="shared" si="31"/>
        <v/>
      </c>
      <c r="G397" s="113"/>
      <c r="H397" s="357"/>
      <c r="I397" s="113"/>
      <c r="J397" s="81"/>
      <c r="L397" s="72" t="str">
        <f t="shared" si="34"/>
        <v/>
      </c>
      <c r="M397" s="72" t="str">
        <f t="shared" si="35"/>
        <v/>
      </c>
    </row>
    <row r="398" spans="1:13">
      <c r="A398" s="333" t="str">
        <f>IF(E398="","",VLOOKUP('OPĆI DIO'!$C$3,'OPĆI DIO'!$L$6:$U$138,10,FALSE))</f>
        <v/>
      </c>
      <c r="B398" s="70" t="str">
        <f>IF(E398="","",VLOOKUP('OPĆI DIO'!$C$3,'OPĆI DIO'!$L$6:$U$138,9,FALSE))</f>
        <v/>
      </c>
      <c r="C398" s="115" t="str">
        <f t="shared" si="33"/>
        <v/>
      </c>
      <c r="D398" s="69" t="str">
        <f t="shared" si="32"/>
        <v/>
      </c>
      <c r="E398" s="81"/>
      <c r="F398" s="118" t="str">
        <f t="shared" ref="F398:F461" si="36">IFERROR(VLOOKUP(E398,$R$6:$U$116,2,FALSE),"")</f>
        <v/>
      </c>
      <c r="G398" s="113"/>
      <c r="H398" s="357"/>
      <c r="I398" s="113"/>
      <c r="J398" s="81"/>
      <c r="L398" s="72" t="str">
        <f t="shared" si="34"/>
        <v/>
      </c>
      <c r="M398" s="72" t="str">
        <f t="shared" si="35"/>
        <v/>
      </c>
    </row>
    <row r="399" spans="1:13">
      <c r="A399" s="333" t="str">
        <f>IF(E399="","",VLOOKUP('OPĆI DIO'!$C$3,'OPĆI DIO'!$L$6:$U$138,10,FALSE))</f>
        <v/>
      </c>
      <c r="B399" s="70" t="str">
        <f>IF(E399="","",VLOOKUP('OPĆI DIO'!$C$3,'OPĆI DIO'!$L$6:$U$138,9,FALSE))</f>
        <v/>
      </c>
      <c r="C399" s="115" t="str">
        <f t="shared" si="33"/>
        <v/>
      </c>
      <c r="D399" s="69" t="str">
        <f t="shared" si="32"/>
        <v/>
      </c>
      <c r="E399" s="81"/>
      <c r="F399" s="118" t="str">
        <f t="shared" si="36"/>
        <v/>
      </c>
      <c r="G399" s="113"/>
      <c r="H399" s="357"/>
      <c r="I399" s="113"/>
      <c r="J399" s="81"/>
      <c r="L399" s="72" t="str">
        <f t="shared" si="34"/>
        <v/>
      </c>
      <c r="M399" s="72" t="str">
        <f t="shared" si="35"/>
        <v/>
      </c>
    </row>
    <row r="400" spans="1:13">
      <c r="A400" s="333" t="str">
        <f>IF(E400="","",VLOOKUP('OPĆI DIO'!$C$3,'OPĆI DIO'!$L$6:$U$138,10,FALSE))</f>
        <v/>
      </c>
      <c r="B400" s="70" t="str">
        <f>IF(E400="","",VLOOKUP('OPĆI DIO'!$C$3,'OPĆI DIO'!$L$6:$U$138,9,FALSE))</f>
        <v/>
      </c>
      <c r="C400" s="115" t="str">
        <f t="shared" si="33"/>
        <v/>
      </c>
      <c r="D400" s="69" t="str">
        <f t="shared" si="32"/>
        <v/>
      </c>
      <c r="E400" s="81"/>
      <c r="F400" s="118" t="str">
        <f t="shared" si="36"/>
        <v/>
      </c>
      <c r="G400" s="113"/>
      <c r="H400" s="357"/>
      <c r="I400" s="113"/>
      <c r="J400" s="81"/>
      <c r="L400" s="72" t="str">
        <f t="shared" si="34"/>
        <v/>
      </c>
      <c r="M400" s="72" t="str">
        <f t="shared" si="35"/>
        <v/>
      </c>
    </row>
    <row r="401" spans="1:13">
      <c r="A401" s="333" t="str">
        <f>IF(E401="","",VLOOKUP('OPĆI DIO'!$C$3,'OPĆI DIO'!$L$6:$U$138,10,FALSE))</f>
        <v/>
      </c>
      <c r="B401" s="70" t="str">
        <f>IF(E401="","",VLOOKUP('OPĆI DIO'!$C$3,'OPĆI DIO'!$L$6:$U$138,9,FALSE))</f>
        <v/>
      </c>
      <c r="C401" s="115" t="str">
        <f t="shared" si="33"/>
        <v/>
      </c>
      <c r="D401" s="69" t="str">
        <f t="shared" si="32"/>
        <v/>
      </c>
      <c r="E401" s="81"/>
      <c r="F401" s="118" t="str">
        <f t="shared" si="36"/>
        <v/>
      </c>
      <c r="G401" s="113"/>
      <c r="H401" s="357"/>
      <c r="I401" s="113"/>
      <c r="J401" s="81"/>
      <c r="L401" s="72" t="str">
        <f t="shared" si="34"/>
        <v/>
      </c>
      <c r="M401" s="72" t="str">
        <f t="shared" si="35"/>
        <v/>
      </c>
    </row>
    <row r="402" spans="1:13">
      <c r="A402" s="333" t="str">
        <f>IF(E402="","",VLOOKUP('OPĆI DIO'!$C$3,'OPĆI DIO'!$L$6:$U$138,10,FALSE))</f>
        <v/>
      </c>
      <c r="B402" s="70" t="str">
        <f>IF(E402="","",VLOOKUP('OPĆI DIO'!$C$3,'OPĆI DIO'!$L$6:$U$138,9,FALSE))</f>
        <v/>
      </c>
      <c r="C402" s="115" t="str">
        <f t="shared" si="33"/>
        <v/>
      </c>
      <c r="D402" s="69" t="str">
        <f t="shared" si="32"/>
        <v/>
      </c>
      <c r="E402" s="81"/>
      <c r="F402" s="118" t="str">
        <f t="shared" si="36"/>
        <v/>
      </c>
      <c r="G402" s="113"/>
      <c r="H402" s="357"/>
      <c r="I402" s="113"/>
      <c r="J402" s="81"/>
      <c r="L402" s="72" t="str">
        <f t="shared" si="34"/>
        <v/>
      </c>
      <c r="M402" s="72" t="str">
        <f t="shared" si="35"/>
        <v/>
      </c>
    </row>
    <row r="403" spans="1:13">
      <c r="A403" s="333" t="str">
        <f>IF(E403="","",VLOOKUP('OPĆI DIO'!$C$3,'OPĆI DIO'!$L$6:$U$138,10,FALSE))</f>
        <v/>
      </c>
      <c r="B403" s="70" t="str">
        <f>IF(E403="","",VLOOKUP('OPĆI DIO'!$C$3,'OPĆI DIO'!$L$6:$U$138,9,FALSE))</f>
        <v/>
      </c>
      <c r="C403" s="115" t="str">
        <f t="shared" si="33"/>
        <v/>
      </c>
      <c r="D403" s="69" t="str">
        <f t="shared" si="32"/>
        <v/>
      </c>
      <c r="E403" s="81"/>
      <c r="F403" s="118" t="str">
        <f t="shared" si="36"/>
        <v/>
      </c>
      <c r="G403" s="113"/>
      <c r="H403" s="357"/>
      <c r="I403" s="113"/>
      <c r="J403" s="81"/>
      <c r="L403" s="72" t="str">
        <f t="shared" si="34"/>
        <v/>
      </c>
      <c r="M403" s="72" t="str">
        <f t="shared" si="35"/>
        <v/>
      </c>
    </row>
    <row r="404" spans="1:13">
      <c r="A404" s="333" t="str">
        <f>IF(E404="","",VLOOKUP('OPĆI DIO'!$C$3,'OPĆI DIO'!$L$6:$U$138,10,FALSE))</f>
        <v/>
      </c>
      <c r="B404" s="70" t="str">
        <f>IF(E404="","",VLOOKUP('OPĆI DIO'!$C$3,'OPĆI DIO'!$L$6:$U$138,9,FALSE))</f>
        <v/>
      </c>
      <c r="C404" s="115" t="str">
        <f t="shared" si="33"/>
        <v/>
      </c>
      <c r="D404" s="69" t="str">
        <f t="shared" si="32"/>
        <v/>
      </c>
      <c r="E404" s="81"/>
      <c r="F404" s="118" t="str">
        <f t="shared" si="36"/>
        <v/>
      </c>
      <c r="G404" s="113"/>
      <c r="H404" s="357"/>
      <c r="I404" s="113"/>
      <c r="J404" s="81"/>
      <c r="L404" s="72" t="str">
        <f t="shared" si="34"/>
        <v/>
      </c>
      <c r="M404" s="72" t="str">
        <f t="shared" si="35"/>
        <v/>
      </c>
    </row>
    <row r="405" spans="1:13">
      <c r="A405" s="333" t="str">
        <f>IF(E405="","",VLOOKUP('OPĆI DIO'!$C$3,'OPĆI DIO'!$L$6:$U$138,10,FALSE))</f>
        <v/>
      </c>
      <c r="B405" s="70" t="str">
        <f>IF(E405="","",VLOOKUP('OPĆI DIO'!$C$3,'OPĆI DIO'!$L$6:$U$138,9,FALSE))</f>
        <v/>
      </c>
      <c r="C405" s="115" t="str">
        <f t="shared" si="33"/>
        <v/>
      </c>
      <c r="D405" s="69" t="str">
        <f t="shared" si="32"/>
        <v/>
      </c>
      <c r="E405" s="81"/>
      <c r="F405" s="118" t="str">
        <f t="shared" si="36"/>
        <v/>
      </c>
      <c r="G405" s="113"/>
      <c r="H405" s="357"/>
      <c r="I405" s="113"/>
      <c r="J405" s="81"/>
      <c r="L405" s="72" t="str">
        <f t="shared" si="34"/>
        <v/>
      </c>
      <c r="M405" s="72" t="str">
        <f t="shared" si="35"/>
        <v/>
      </c>
    </row>
    <row r="406" spans="1:13">
      <c r="A406" s="333" t="str">
        <f>IF(E406="","",VLOOKUP('OPĆI DIO'!$C$3,'OPĆI DIO'!$L$6:$U$138,10,FALSE))</f>
        <v/>
      </c>
      <c r="B406" s="70" t="str">
        <f>IF(E406="","",VLOOKUP('OPĆI DIO'!$C$3,'OPĆI DIO'!$L$6:$U$138,9,FALSE))</f>
        <v/>
      </c>
      <c r="C406" s="115" t="str">
        <f t="shared" si="33"/>
        <v/>
      </c>
      <c r="D406" s="69" t="str">
        <f t="shared" si="32"/>
        <v/>
      </c>
      <c r="E406" s="81"/>
      <c r="F406" s="118" t="str">
        <f t="shared" si="36"/>
        <v/>
      </c>
      <c r="G406" s="113"/>
      <c r="H406" s="357"/>
      <c r="I406" s="113"/>
      <c r="J406" s="81"/>
      <c r="L406" s="72" t="str">
        <f t="shared" si="34"/>
        <v/>
      </c>
      <c r="M406" s="72" t="str">
        <f t="shared" si="35"/>
        <v/>
      </c>
    </row>
    <row r="407" spans="1:13">
      <c r="A407" s="333" t="str">
        <f>IF(E407="","",VLOOKUP('OPĆI DIO'!$C$3,'OPĆI DIO'!$L$6:$U$138,10,FALSE))</f>
        <v/>
      </c>
      <c r="B407" s="70" t="str">
        <f>IF(E407="","",VLOOKUP('OPĆI DIO'!$C$3,'OPĆI DIO'!$L$6:$U$138,9,FALSE))</f>
        <v/>
      </c>
      <c r="C407" s="115" t="str">
        <f t="shared" si="33"/>
        <v/>
      </c>
      <c r="D407" s="69" t="str">
        <f t="shared" si="32"/>
        <v/>
      </c>
      <c r="E407" s="81"/>
      <c r="F407" s="118" t="str">
        <f t="shared" si="36"/>
        <v/>
      </c>
      <c r="G407" s="113"/>
      <c r="H407" s="357"/>
      <c r="I407" s="113"/>
      <c r="J407" s="81"/>
      <c r="L407" s="72" t="str">
        <f t="shared" si="34"/>
        <v/>
      </c>
      <c r="M407" s="72" t="str">
        <f t="shared" si="35"/>
        <v/>
      </c>
    </row>
    <row r="408" spans="1:13">
      <c r="A408" s="333" t="str">
        <f>IF(E408="","",VLOOKUP('OPĆI DIO'!$C$3,'OPĆI DIO'!$L$6:$U$138,10,FALSE))</f>
        <v/>
      </c>
      <c r="B408" s="70" t="str">
        <f>IF(E408="","",VLOOKUP('OPĆI DIO'!$C$3,'OPĆI DIO'!$L$6:$U$138,9,FALSE))</f>
        <v/>
      </c>
      <c r="C408" s="115" t="str">
        <f t="shared" si="33"/>
        <v/>
      </c>
      <c r="D408" s="69" t="str">
        <f t="shared" si="32"/>
        <v/>
      </c>
      <c r="E408" s="81"/>
      <c r="F408" s="118" t="str">
        <f t="shared" si="36"/>
        <v/>
      </c>
      <c r="G408" s="113"/>
      <c r="H408" s="357"/>
      <c r="I408" s="113"/>
      <c r="J408" s="81"/>
      <c r="L408" s="72" t="str">
        <f t="shared" si="34"/>
        <v/>
      </c>
      <c r="M408" s="72" t="str">
        <f t="shared" si="35"/>
        <v/>
      </c>
    </row>
    <row r="409" spans="1:13">
      <c r="A409" s="333" t="str">
        <f>IF(E409="","",VLOOKUP('OPĆI DIO'!$C$3,'OPĆI DIO'!$L$6:$U$138,10,FALSE))</f>
        <v/>
      </c>
      <c r="B409" s="70" t="str">
        <f>IF(E409="","",VLOOKUP('OPĆI DIO'!$C$3,'OPĆI DIO'!$L$6:$U$138,9,FALSE))</f>
        <v/>
      </c>
      <c r="C409" s="115" t="str">
        <f t="shared" si="33"/>
        <v/>
      </c>
      <c r="D409" s="69" t="str">
        <f t="shared" si="32"/>
        <v/>
      </c>
      <c r="E409" s="81"/>
      <c r="F409" s="118" t="str">
        <f t="shared" si="36"/>
        <v/>
      </c>
      <c r="G409" s="113"/>
      <c r="H409" s="357"/>
      <c r="I409" s="113"/>
      <c r="J409" s="81"/>
      <c r="L409" s="72" t="str">
        <f t="shared" si="34"/>
        <v/>
      </c>
      <c r="M409" s="72" t="str">
        <f t="shared" si="35"/>
        <v/>
      </c>
    </row>
    <row r="410" spans="1:13">
      <c r="A410" s="333" t="str">
        <f>IF(E410="","",VLOOKUP('OPĆI DIO'!$C$3,'OPĆI DIO'!$L$6:$U$138,10,FALSE))</f>
        <v/>
      </c>
      <c r="B410" s="70" t="str">
        <f>IF(E410="","",VLOOKUP('OPĆI DIO'!$C$3,'OPĆI DIO'!$L$6:$U$138,9,FALSE))</f>
        <v/>
      </c>
      <c r="C410" s="115" t="str">
        <f t="shared" si="33"/>
        <v/>
      </c>
      <c r="D410" s="69" t="str">
        <f t="shared" si="32"/>
        <v/>
      </c>
      <c r="E410" s="81"/>
      <c r="F410" s="118" t="str">
        <f t="shared" si="36"/>
        <v/>
      </c>
      <c r="G410" s="113"/>
      <c r="H410" s="357"/>
      <c r="I410" s="113"/>
      <c r="J410" s="81"/>
      <c r="L410" s="72" t="str">
        <f t="shared" si="34"/>
        <v/>
      </c>
      <c r="M410" s="72" t="str">
        <f t="shared" si="35"/>
        <v/>
      </c>
    </row>
    <row r="411" spans="1:13">
      <c r="A411" s="333" t="str">
        <f>IF(E411="","",VLOOKUP('OPĆI DIO'!$C$3,'OPĆI DIO'!$L$6:$U$138,10,FALSE))</f>
        <v/>
      </c>
      <c r="B411" s="70" t="str">
        <f>IF(E411="","",VLOOKUP('OPĆI DIO'!$C$3,'OPĆI DIO'!$L$6:$U$138,9,FALSE))</f>
        <v/>
      </c>
      <c r="C411" s="115" t="str">
        <f t="shared" si="33"/>
        <v/>
      </c>
      <c r="D411" s="69" t="str">
        <f t="shared" si="32"/>
        <v/>
      </c>
      <c r="E411" s="81"/>
      <c r="F411" s="118" t="str">
        <f t="shared" si="36"/>
        <v/>
      </c>
      <c r="G411" s="113"/>
      <c r="H411" s="357"/>
      <c r="I411" s="113"/>
      <c r="J411" s="81"/>
      <c r="L411" s="72" t="str">
        <f t="shared" si="34"/>
        <v/>
      </c>
      <c r="M411" s="72" t="str">
        <f t="shared" si="35"/>
        <v/>
      </c>
    </row>
    <row r="412" spans="1:13">
      <c r="A412" s="333" t="str">
        <f>IF(E412="","",VLOOKUP('OPĆI DIO'!$C$3,'OPĆI DIO'!$L$6:$U$138,10,FALSE))</f>
        <v/>
      </c>
      <c r="B412" s="70" t="str">
        <f>IF(E412="","",VLOOKUP('OPĆI DIO'!$C$3,'OPĆI DIO'!$L$6:$U$138,9,FALSE))</f>
        <v/>
      </c>
      <c r="C412" s="115" t="str">
        <f t="shared" si="33"/>
        <v/>
      </c>
      <c r="D412" s="69" t="str">
        <f t="shared" si="32"/>
        <v/>
      </c>
      <c r="E412" s="81"/>
      <c r="F412" s="118" t="str">
        <f t="shared" si="36"/>
        <v/>
      </c>
      <c r="G412" s="113"/>
      <c r="H412" s="357"/>
      <c r="I412" s="113"/>
      <c r="J412" s="81"/>
      <c r="L412" s="72" t="str">
        <f t="shared" si="34"/>
        <v/>
      </c>
      <c r="M412" s="72" t="str">
        <f t="shared" si="35"/>
        <v/>
      </c>
    </row>
    <row r="413" spans="1:13">
      <c r="A413" s="333" t="str">
        <f>IF(E413="","",VLOOKUP('OPĆI DIO'!$C$3,'OPĆI DIO'!$L$6:$U$138,10,FALSE))</f>
        <v/>
      </c>
      <c r="B413" s="70" t="str">
        <f>IF(E413="","",VLOOKUP('OPĆI DIO'!$C$3,'OPĆI DIO'!$L$6:$U$138,9,FALSE))</f>
        <v/>
      </c>
      <c r="C413" s="115" t="str">
        <f t="shared" si="33"/>
        <v/>
      </c>
      <c r="D413" s="69" t="str">
        <f t="shared" si="32"/>
        <v/>
      </c>
      <c r="E413" s="81"/>
      <c r="F413" s="118" t="str">
        <f t="shared" si="36"/>
        <v/>
      </c>
      <c r="G413" s="113"/>
      <c r="H413" s="357"/>
      <c r="I413" s="113"/>
      <c r="J413" s="81"/>
      <c r="L413" s="72" t="str">
        <f t="shared" si="34"/>
        <v/>
      </c>
      <c r="M413" s="72" t="str">
        <f t="shared" si="35"/>
        <v/>
      </c>
    </row>
    <row r="414" spans="1:13">
      <c r="A414" s="333" t="str">
        <f>IF(E414="","",VLOOKUP('OPĆI DIO'!$C$3,'OPĆI DIO'!$L$6:$U$138,10,FALSE))</f>
        <v/>
      </c>
      <c r="B414" s="70" t="str">
        <f>IF(E414="","",VLOOKUP('OPĆI DIO'!$C$3,'OPĆI DIO'!$L$6:$U$138,9,FALSE))</f>
        <v/>
      </c>
      <c r="C414" s="115" t="str">
        <f t="shared" si="33"/>
        <v/>
      </c>
      <c r="D414" s="69" t="str">
        <f t="shared" si="32"/>
        <v/>
      </c>
      <c r="E414" s="81"/>
      <c r="F414" s="118" t="str">
        <f t="shared" si="36"/>
        <v/>
      </c>
      <c r="G414" s="113"/>
      <c r="H414" s="357"/>
      <c r="I414" s="113"/>
      <c r="J414" s="81"/>
      <c r="L414" s="72" t="str">
        <f t="shared" si="34"/>
        <v/>
      </c>
      <c r="M414" s="72" t="str">
        <f t="shared" si="35"/>
        <v/>
      </c>
    </row>
    <row r="415" spans="1:13">
      <c r="A415" s="333" t="str">
        <f>IF(E415="","",VLOOKUP('OPĆI DIO'!$C$3,'OPĆI DIO'!$L$6:$U$138,10,FALSE))</f>
        <v/>
      </c>
      <c r="B415" s="70" t="str">
        <f>IF(E415="","",VLOOKUP('OPĆI DIO'!$C$3,'OPĆI DIO'!$L$6:$U$138,9,FALSE))</f>
        <v/>
      </c>
      <c r="C415" s="115" t="str">
        <f t="shared" si="33"/>
        <v/>
      </c>
      <c r="D415" s="69" t="str">
        <f t="shared" si="32"/>
        <v/>
      </c>
      <c r="E415" s="81"/>
      <c r="F415" s="118" t="str">
        <f t="shared" si="36"/>
        <v/>
      </c>
      <c r="G415" s="113"/>
      <c r="H415" s="357"/>
      <c r="I415" s="113"/>
      <c r="J415" s="81"/>
      <c r="L415" s="72" t="str">
        <f t="shared" si="34"/>
        <v/>
      </c>
      <c r="M415" s="72" t="str">
        <f t="shared" si="35"/>
        <v/>
      </c>
    </row>
    <row r="416" spans="1:13">
      <c r="A416" s="333" t="str">
        <f>IF(E416="","",VLOOKUP('OPĆI DIO'!$C$3,'OPĆI DIO'!$L$6:$U$138,10,FALSE))</f>
        <v/>
      </c>
      <c r="B416" s="70" t="str">
        <f>IF(E416="","",VLOOKUP('OPĆI DIO'!$C$3,'OPĆI DIO'!$L$6:$U$138,9,FALSE))</f>
        <v/>
      </c>
      <c r="C416" s="115" t="str">
        <f t="shared" si="33"/>
        <v/>
      </c>
      <c r="D416" s="69" t="str">
        <f t="shared" si="32"/>
        <v/>
      </c>
      <c r="E416" s="81"/>
      <c r="F416" s="118" t="str">
        <f t="shared" si="36"/>
        <v/>
      </c>
      <c r="G416" s="113"/>
      <c r="H416" s="357"/>
      <c r="I416" s="113"/>
      <c r="J416" s="81"/>
      <c r="L416" s="72" t="str">
        <f t="shared" si="34"/>
        <v/>
      </c>
      <c r="M416" s="72" t="str">
        <f t="shared" si="35"/>
        <v/>
      </c>
    </row>
    <row r="417" spans="1:13">
      <c r="A417" s="333" t="str">
        <f>IF(E417="","",VLOOKUP('OPĆI DIO'!$C$3,'OPĆI DIO'!$L$6:$U$138,10,FALSE))</f>
        <v/>
      </c>
      <c r="B417" s="70" t="str">
        <f>IF(E417="","",VLOOKUP('OPĆI DIO'!$C$3,'OPĆI DIO'!$L$6:$U$138,9,FALSE))</f>
        <v/>
      </c>
      <c r="C417" s="115" t="str">
        <f t="shared" si="33"/>
        <v/>
      </c>
      <c r="D417" s="69" t="str">
        <f t="shared" si="32"/>
        <v/>
      </c>
      <c r="E417" s="81"/>
      <c r="F417" s="118" t="str">
        <f t="shared" si="36"/>
        <v/>
      </c>
      <c r="G417" s="113"/>
      <c r="H417" s="357"/>
      <c r="I417" s="113"/>
      <c r="J417" s="81"/>
      <c r="L417" s="72" t="str">
        <f t="shared" si="34"/>
        <v/>
      </c>
      <c r="M417" s="72" t="str">
        <f t="shared" si="35"/>
        <v/>
      </c>
    </row>
    <row r="418" spans="1:13">
      <c r="A418" s="333" t="str">
        <f>IF(E418="","",VLOOKUP('OPĆI DIO'!$C$3,'OPĆI DIO'!$L$6:$U$138,10,FALSE))</f>
        <v/>
      </c>
      <c r="B418" s="70" t="str">
        <f>IF(E418="","",VLOOKUP('OPĆI DIO'!$C$3,'OPĆI DIO'!$L$6:$U$138,9,FALSE))</f>
        <v/>
      </c>
      <c r="C418" s="115" t="str">
        <f t="shared" si="33"/>
        <v/>
      </c>
      <c r="D418" s="69" t="str">
        <f t="shared" si="32"/>
        <v/>
      </c>
      <c r="E418" s="81"/>
      <c r="F418" s="118" t="str">
        <f t="shared" si="36"/>
        <v/>
      </c>
      <c r="G418" s="113"/>
      <c r="H418" s="357"/>
      <c r="I418" s="113"/>
      <c r="J418" s="81"/>
      <c r="L418" s="72" t="str">
        <f t="shared" si="34"/>
        <v/>
      </c>
      <c r="M418" s="72" t="str">
        <f t="shared" si="35"/>
        <v/>
      </c>
    </row>
    <row r="419" spans="1:13">
      <c r="A419" s="333" t="str">
        <f>IF(E419="","",VLOOKUP('OPĆI DIO'!$C$3,'OPĆI DIO'!$L$6:$U$138,10,FALSE))</f>
        <v/>
      </c>
      <c r="B419" s="70" t="str">
        <f>IF(E419="","",VLOOKUP('OPĆI DIO'!$C$3,'OPĆI DIO'!$L$6:$U$138,9,FALSE))</f>
        <v/>
      </c>
      <c r="C419" s="115" t="str">
        <f t="shared" si="33"/>
        <v/>
      </c>
      <c r="D419" s="69" t="str">
        <f t="shared" si="32"/>
        <v/>
      </c>
      <c r="E419" s="81"/>
      <c r="F419" s="118" t="str">
        <f t="shared" si="36"/>
        <v/>
      </c>
      <c r="G419" s="113"/>
      <c r="H419" s="357"/>
      <c r="I419" s="113"/>
      <c r="J419" s="81"/>
      <c r="L419" s="72" t="str">
        <f t="shared" si="34"/>
        <v/>
      </c>
      <c r="M419" s="72" t="str">
        <f t="shared" si="35"/>
        <v/>
      </c>
    </row>
    <row r="420" spans="1:13">
      <c r="A420" s="333" t="str">
        <f>IF(E420="","",VLOOKUP('OPĆI DIO'!$C$3,'OPĆI DIO'!$L$6:$U$138,10,FALSE))</f>
        <v/>
      </c>
      <c r="B420" s="70" t="str">
        <f>IF(E420="","",VLOOKUP('OPĆI DIO'!$C$3,'OPĆI DIO'!$L$6:$U$138,9,FALSE))</f>
        <v/>
      </c>
      <c r="C420" s="115" t="str">
        <f t="shared" si="33"/>
        <v/>
      </c>
      <c r="D420" s="69" t="str">
        <f t="shared" si="32"/>
        <v/>
      </c>
      <c r="E420" s="81"/>
      <c r="F420" s="118" t="str">
        <f t="shared" si="36"/>
        <v/>
      </c>
      <c r="G420" s="113"/>
      <c r="H420" s="357"/>
      <c r="I420" s="113"/>
      <c r="J420" s="81"/>
      <c r="L420" s="72" t="str">
        <f t="shared" si="34"/>
        <v/>
      </c>
      <c r="M420" s="72" t="str">
        <f t="shared" si="35"/>
        <v/>
      </c>
    </row>
    <row r="421" spans="1:13">
      <c r="A421" s="333" t="str">
        <f>IF(E421="","",VLOOKUP('OPĆI DIO'!$C$3,'OPĆI DIO'!$L$6:$U$138,10,FALSE))</f>
        <v/>
      </c>
      <c r="B421" s="70" t="str">
        <f>IF(E421="","",VLOOKUP('OPĆI DIO'!$C$3,'OPĆI DIO'!$L$6:$U$138,9,FALSE))</f>
        <v/>
      </c>
      <c r="C421" s="115" t="str">
        <f t="shared" si="33"/>
        <v/>
      </c>
      <c r="D421" s="69" t="str">
        <f t="shared" si="32"/>
        <v/>
      </c>
      <c r="E421" s="81"/>
      <c r="F421" s="118" t="str">
        <f t="shared" si="36"/>
        <v/>
      </c>
      <c r="G421" s="113"/>
      <c r="H421" s="357"/>
      <c r="I421" s="113"/>
      <c r="J421" s="81"/>
      <c r="L421" s="72" t="str">
        <f t="shared" si="34"/>
        <v/>
      </c>
      <c r="M421" s="72" t="str">
        <f t="shared" si="35"/>
        <v/>
      </c>
    </row>
    <row r="422" spans="1:13">
      <c r="A422" s="333" t="str">
        <f>IF(E422="","",VLOOKUP('OPĆI DIO'!$C$3,'OPĆI DIO'!$L$6:$U$138,10,FALSE))</f>
        <v/>
      </c>
      <c r="B422" s="70" t="str">
        <f>IF(E422="","",VLOOKUP('OPĆI DIO'!$C$3,'OPĆI DIO'!$L$6:$U$138,9,FALSE))</f>
        <v/>
      </c>
      <c r="C422" s="115" t="str">
        <f t="shared" si="33"/>
        <v/>
      </c>
      <c r="D422" s="69" t="str">
        <f t="shared" si="32"/>
        <v/>
      </c>
      <c r="E422" s="81"/>
      <c r="F422" s="118" t="str">
        <f t="shared" si="36"/>
        <v/>
      </c>
      <c r="G422" s="113"/>
      <c r="H422" s="357"/>
      <c r="I422" s="113"/>
      <c r="J422" s="81"/>
      <c r="L422" s="72" t="str">
        <f t="shared" si="34"/>
        <v/>
      </c>
      <c r="M422" s="72" t="str">
        <f t="shared" si="35"/>
        <v/>
      </c>
    </row>
    <row r="423" spans="1:13">
      <c r="A423" s="333" t="str">
        <f>IF(E423="","",VLOOKUP('OPĆI DIO'!$C$3,'OPĆI DIO'!$L$6:$U$138,10,FALSE))</f>
        <v/>
      </c>
      <c r="B423" s="70" t="str">
        <f>IF(E423="","",VLOOKUP('OPĆI DIO'!$C$3,'OPĆI DIO'!$L$6:$U$138,9,FALSE))</f>
        <v/>
      </c>
      <c r="C423" s="115" t="str">
        <f t="shared" si="33"/>
        <v/>
      </c>
      <c r="D423" s="69" t="str">
        <f t="shared" si="32"/>
        <v/>
      </c>
      <c r="E423" s="81"/>
      <c r="F423" s="118" t="str">
        <f t="shared" si="36"/>
        <v/>
      </c>
      <c r="G423" s="113"/>
      <c r="H423" s="357"/>
      <c r="I423" s="113"/>
      <c r="J423" s="81"/>
      <c r="L423" s="72" t="str">
        <f t="shared" si="34"/>
        <v/>
      </c>
      <c r="M423" s="72" t="str">
        <f t="shared" si="35"/>
        <v/>
      </c>
    </row>
    <row r="424" spans="1:13">
      <c r="A424" s="333" t="str">
        <f>IF(E424="","",VLOOKUP('OPĆI DIO'!$C$3,'OPĆI DIO'!$L$6:$U$138,10,FALSE))</f>
        <v/>
      </c>
      <c r="B424" s="70" t="str">
        <f>IF(E424="","",VLOOKUP('OPĆI DIO'!$C$3,'OPĆI DIO'!$L$6:$U$138,9,FALSE))</f>
        <v/>
      </c>
      <c r="C424" s="115" t="str">
        <f t="shared" si="33"/>
        <v/>
      </c>
      <c r="D424" s="69" t="str">
        <f t="shared" si="32"/>
        <v/>
      </c>
      <c r="E424" s="81"/>
      <c r="F424" s="118" t="str">
        <f t="shared" si="36"/>
        <v/>
      </c>
      <c r="G424" s="113"/>
      <c r="H424" s="357"/>
      <c r="I424" s="113"/>
      <c r="J424" s="81"/>
      <c r="L424" s="72" t="str">
        <f t="shared" si="34"/>
        <v/>
      </c>
      <c r="M424" s="72" t="str">
        <f t="shared" si="35"/>
        <v/>
      </c>
    </row>
    <row r="425" spans="1:13">
      <c r="A425" s="333" t="str">
        <f>IF(E425="","",VLOOKUP('OPĆI DIO'!$C$3,'OPĆI DIO'!$L$6:$U$138,10,FALSE))</f>
        <v/>
      </c>
      <c r="B425" s="70" t="str">
        <f>IF(E425="","",VLOOKUP('OPĆI DIO'!$C$3,'OPĆI DIO'!$L$6:$U$138,9,FALSE))</f>
        <v/>
      </c>
      <c r="C425" s="115" t="str">
        <f t="shared" si="33"/>
        <v/>
      </c>
      <c r="D425" s="69" t="str">
        <f t="shared" si="32"/>
        <v/>
      </c>
      <c r="E425" s="81"/>
      <c r="F425" s="118" t="str">
        <f t="shared" si="36"/>
        <v/>
      </c>
      <c r="G425" s="113"/>
      <c r="H425" s="357"/>
      <c r="I425" s="113"/>
      <c r="J425" s="81"/>
      <c r="L425" s="72" t="str">
        <f t="shared" si="34"/>
        <v/>
      </c>
      <c r="M425" s="72" t="str">
        <f t="shared" si="35"/>
        <v/>
      </c>
    </row>
    <row r="426" spans="1:13">
      <c r="A426" s="333" t="str">
        <f>IF(E426="","",VLOOKUP('OPĆI DIO'!$C$3,'OPĆI DIO'!$L$6:$U$138,10,FALSE))</f>
        <v/>
      </c>
      <c r="B426" s="70" t="str">
        <f>IF(E426="","",VLOOKUP('OPĆI DIO'!$C$3,'OPĆI DIO'!$L$6:$U$138,9,FALSE))</f>
        <v/>
      </c>
      <c r="C426" s="115" t="str">
        <f t="shared" si="33"/>
        <v/>
      </c>
      <c r="D426" s="69" t="str">
        <f t="shared" si="32"/>
        <v/>
      </c>
      <c r="E426" s="81"/>
      <c r="F426" s="118" t="str">
        <f t="shared" si="36"/>
        <v/>
      </c>
      <c r="G426" s="113"/>
      <c r="H426" s="357"/>
      <c r="I426" s="113"/>
      <c r="J426" s="81"/>
      <c r="L426" s="72" t="str">
        <f t="shared" si="34"/>
        <v/>
      </c>
      <c r="M426" s="72" t="str">
        <f t="shared" si="35"/>
        <v/>
      </c>
    </row>
    <row r="427" spans="1:13">
      <c r="A427" s="333" t="str">
        <f>IF(E427="","",VLOOKUP('OPĆI DIO'!$C$3,'OPĆI DIO'!$L$6:$U$138,10,FALSE))</f>
        <v/>
      </c>
      <c r="B427" s="70" t="str">
        <f>IF(E427="","",VLOOKUP('OPĆI DIO'!$C$3,'OPĆI DIO'!$L$6:$U$138,9,FALSE))</f>
        <v/>
      </c>
      <c r="C427" s="115" t="str">
        <f t="shared" si="33"/>
        <v/>
      </c>
      <c r="D427" s="69" t="str">
        <f t="shared" si="32"/>
        <v/>
      </c>
      <c r="E427" s="81"/>
      <c r="F427" s="118" t="str">
        <f t="shared" si="36"/>
        <v/>
      </c>
      <c r="G427" s="113"/>
      <c r="H427" s="357"/>
      <c r="I427" s="113"/>
      <c r="J427" s="81"/>
      <c r="L427" s="72" t="str">
        <f t="shared" si="34"/>
        <v/>
      </c>
      <c r="M427" s="72" t="str">
        <f t="shared" si="35"/>
        <v/>
      </c>
    </row>
    <row r="428" spans="1:13">
      <c r="A428" s="333" t="str">
        <f>IF(E428="","",VLOOKUP('OPĆI DIO'!$C$3,'OPĆI DIO'!$L$6:$U$138,10,FALSE))</f>
        <v/>
      </c>
      <c r="B428" s="70" t="str">
        <f>IF(E428="","",VLOOKUP('OPĆI DIO'!$C$3,'OPĆI DIO'!$L$6:$U$138,9,FALSE))</f>
        <v/>
      </c>
      <c r="C428" s="115" t="str">
        <f t="shared" si="33"/>
        <v/>
      </c>
      <c r="D428" s="69" t="str">
        <f t="shared" si="32"/>
        <v/>
      </c>
      <c r="E428" s="81"/>
      <c r="F428" s="118" t="str">
        <f t="shared" si="36"/>
        <v/>
      </c>
      <c r="G428" s="113"/>
      <c r="H428" s="357"/>
      <c r="I428" s="113"/>
      <c r="J428" s="81"/>
      <c r="L428" s="72" t="str">
        <f t="shared" si="34"/>
        <v/>
      </c>
      <c r="M428" s="72" t="str">
        <f t="shared" si="35"/>
        <v/>
      </c>
    </row>
    <row r="429" spans="1:13">
      <c r="A429" s="333" t="str">
        <f>IF(E429="","",VLOOKUP('OPĆI DIO'!$C$3,'OPĆI DIO'!$L$6:$U$138,10,FALSE))</f>
        <v/>
      </c>
      <c r="B429" s="70" t="str">
        <f>IF(E429="","",VLOOKUP('OPĆI DIO'!$C$3,'OPĆI DIO'!$L$6:$U$138,9,FALSE))</f>
        <v/>
      </c>
      <c r="C429" s="115" t="str">
        <f t="shared" si="33"/>
        <v/>
      </c>
      <c r="D429" s="69" t="str">
        <f t="shared" si="32"/>
        <v/>
      </c>
      <c r="E429" s="81"/>
      <c r="F429" s="118" t="str">
        <f t="shared" si="36"/>
        <v/>
      </c>
      <c r="G429" s="113"/>
      <c r="H429" s="357"/>
      <c r="I429" s="113"/>
      <c r="J429" s="81"/>
      <c r="L429" s="72" t="str">
        <f t="shared" si="34"/>
        <v/>
      </c>
      <c r="M429" s="72" t="str">
        <f t="shared" si="35"/>
        <v/>
      </c>
    </row>
    <row r="430" spans="1:13">
      <c r="A430" s="333" t="str">
        <f>IF(E430="","",VLOOKUP('OPĆI DIO'!$C$3,'OPĆI DIO'!$L$6:$U$138,10,FALSE))</f>
        <v/>
      </c>
      <c r="B430" s="70" t="str">
        <f>IF(E430="","",VLOOKUP('OPĆI DIO'!$C$3,'OPĆI DIO'!$L$6:$U$138,9,FALSE))</f>
        <v/>
      </c>
      <c r="C430" s="115" t="str">
        <f t="shared" si="33"/>
        <v/>
      </c>
      <c r="D430" s="69" t="str">
        <f t="shared" si="32"/>
        <v/>
      </c>
      <c r="E430" s="81"/>
      <c r="F430" s="118" t="str">
        <f t="shared" si="36"/>
        <v/>
      </c>
      <c r="G430" s="113"/>
      <c r="H430" s="357"/>
      <c r="I430" s="113"/>
      <c r="J430" s="81"/>
      <c r="L430" s="72" t="str">
        <f t="shared" si="34"/>
        <v/>
      </c>
      <c r="M430" s="72" t="str">
        <f t="shared" si="35"/>
        <v/>
      </c>
    </row>
    <row r="431" spans="1:13">
      <c r="A431" s="333" t="str">
        <f>IF(E431="","",VLOOKUP('OPĆI DIO'!$C$3,'OPĆI DIO'!$L$6:$U$138,10,FALSE))</f>
        <v/>
      </c>
      <c r="B431" s="70" t="str">
        <f>IF(E431="","",VLOOKUP('OPĆI DIO'!$C$3,'OPĆI DIO'!$L$6:$U$138,9,FALSE))</f>
        <v/>
      </c>
      <c r="C431" s="115" t="str">
        <f t="shared" si="33"/>
        <v/>
      </c>
      <c r="D431" s="69" t="str">
        <f t="shared" si="32"/>
        <v/>
      </c>
      <c r="E431" s="81"/>
      <c r="F431" s="118" t="str">
        <f t="shared" si="36"/>
        <v/>
      </c>
      <c r="G431" s="113"/>
      <c r="H431" s="357"/>
      <c r="I431" s="113"/>
      <c r="J431" s="81"/>
      <c r="L431" s="72" t="str">
        <f t="shared" si="34"/>
        <v/>
      </c>
      <c r="M431" s="72" t="str">
        <f t="shared" si="35"/>
        <v/>
      </c>
    </row>
    <row r="432" spans="1:13">
      <c r="A432" s="333" t="str">
        <f>IF(E432="","",VLOOKUP('OPĆI DIO'!$C$3,'OPĆI DIO'!$L$6:$U$138,10,FALSE))</f>
        <v/>
      </c>
      <c r="B432" s="70" t="str">
        <f>IF(E432="","",VLOOKUP('OPĆI DIO'!$C$3,'OPĆI DIO'!$L$6:$U$138,9,FALSE))</f>
        <v/>
      </c>
      <c r="C432" s="115" t="str">
        <f t="shared" si="33"/>
        <v/>
      </c>
      <c r="D432" s="69" t="str">
        <f t="shared" si="32"/>
        <v/>
      </c>
      <c r="E432" s="81"/>
      <c r="F432" s="118" t="str">
        <f t="shared" si="36"/>
        <v/>
      </c>
      <c r="G432" s="113"/>
      <c r="H432" s="357"/>
      <c r="I432" s="113"/>
      <c r="J432" s="81"/>
      <c r="L432" s="72" t="str">
        <f t="shared" si="34"/>
        <v/>
      </c>
      <c r="M432" s="72" t="str">
        <f t="shared" si="35"/>
        <v/>
      </c>
    </row>
    <row r="433" spans="1:13">
      <c r="A433" s="333" t="str">
        <f>IF(E433="","",VLOOKUP('OPĆI DIO'!$C$3,'OPĆI DIO'!$L$6:$U$138,10,FALSE))</f>
        <v/>
      </c>
      <c r="B433" s="70" t="str">
        <f>IF(E433="","",VLOOKUP('OPĆI DIO'!$C$3,'OPĆI DIO'!$L$6:$U$138,9,FALSE))</f>
        <v/>
      </c>
      <c r="C433" s="115" t="str">
        <f t="shared" si="33"/>
        <v/>
      </c>
      <c r="D433" s="69" t="str">
        <f t="shared" si="32"/>
        <v/>
      </c>
      <c r="E433" s="81"/>
      <c r="F433" s="118" t="str">
        <f t="shared" si="36"/>
        <v/>
      </c>
      <c r="G433" s="113"/>
      <c r="H433" s="357"/>
      <c r="I433" s="113"/>
      <c r="J433" s="81"/>
      <c r="L433" s="72" t="str">
        <f t="shared" si="34"/>
        <v/>
      </c>
      <c r="M433" s="72" t="str">
        <f t="shared" si="35"/>
        <v/>
      </c>
    </row>
    <row r="434" spans="1:13">
      <c r="A434" s="333" t="str">
        <f>IF(E434="","",VLOOKUP('OPĆI DIO'!$C$3,'OPĆI DIO'!$L$6:$U$138,10,FALSE))</f>
        <v/>
      </c>
      <c r="B434" s="70" t="str">
        <f>IF(E434="","",VLOOKUP('OPĆI DIO'!$C$3,'OPĆI DIO'!$L$6:$U$138,9,FALSE))</f>
        <v/>
      </c>
      <c r="C434" s="115" t="str">
        <f t="shared" si="33"/>
        <v/>
      </c>
      <c r="D434" s="69" t="str">
        <f t="shared" si="32"/>
        <v/>
      </c>
      <c r="E434" s="81"/>
      <c r="F434" s="118" t="str">
        <f t="shared" si="36"/>
        <v/>
      </c>
      <c r="G434" s="113"/>
      <c r="H434" s="357"/>
      <c r="I434" s="113"/>
      <c r="J434" s="81"/>
      <c r="L434" s="72" t="str">
        <f t="shared" si="34"/>
        <v/>
      </c>
      <c r="M434" s="72" t="str">
        <f t="shared" si="35"/>
        <v/>
      </c>
    </row>
    <row r="435" spans="1:13">
      <c r="A435" s="333" t="str">
        <f>IF(E435="","",VLOOKUP('OPĆI DIO'!$C$3,'OPĆI DIO'!$L$6:$U$138,10,FALSE))</f>
        <v/>
      </c>
      <c r="B435" s="70" t="str">
        <f>IF(E435="","",VLOOKUP('OPĆI DIO'!$C$3,'OPĆI DIO'!$L$6:$U$138,9,FALSE))</f>
        <v/>
      </c>
      <c r="C435" s="115" t="str">
        <f t="shared" si="33"/>
        <v/>
      </c>
      <c r="D435" s="69" t="str">
        <f t="shared" si="32"/>
        <v/>
      </c>
      <c r="E435" s="81"/>
      <c r="F435" s="118" t="str">
        <f t="shared" si="36"/>
        <v/>
      </c>
      <c r="G435" s="113"/>
      <c r="H435" s="357"/>
      <c r="I435" s="113"/>
      <c r="J435" s="81"/>
      <c r="L435" s="72" t="str">
        <f t="shared" si="34"/>
        <v/>
      </c>
      <c r="M435" s="72" t="str">
        <f t="shared" si="35"/>
        <v/>
      </c>
    </row>
    <row r="436" spans="1:13">
      <c r="A436" s="333" t="str">
        <f>IF(E436="","",VLOOKUP('OPĆI DIO'!$C$3,'OPĆI DIO'!$L$6:$U$138,10,FALSE))</f>
        <v/>
      </c>
      <c r="B436" s="70" t="str">
        <f>IF(E436="","",VLOOKUP('OPĆI DIO'!$C$3,'OPĆI DIO'!$L$6:$U$138,9,FALSE))</f>
        <v/>
      </c>
      <c r="C436" s="115" t="str">
        <f t="shared" si="33"/>
        <v/>
      </c>
      <c r="D436" s="69" t="str">
        <f t="shared" si="32"/>
        <v/>
      </c>
      <c r="E436" s="81"/>
      <c r="F436" s="118" t="str">
        <f t="shared" si="36"/>
        <v/>
      </c>
      <c r="G436" s="113"/>
      <c r="H436" s="357"/>
      <c r="I436" s="113"/>
      <c r="J436" s="81"/>
      <c r="L436" s="72" t="str">
        <f t="shared" si="34"/>
        <v/>
      </c>
      <c r="M436" s="72" t="str">
        <f t="shared" si="35"/>
        <v/>
      </c>
    </row>
    <row r="437" spans="1:13">
      <c r="A437" s="333" t="str">
        <f>IF(E437="","",VLOOKUP('OPĆI DIO'!$C$3,'OPĆI DIO'!$L$6:$U$138,10,FALSE))</f>
        <v/>
      </c>
      <c r="B437" s="70" t="str">
        <f>IF(E437="","",VLOOKUP('OPĆI DIO'!$C$3,'OPĆI DIO'!$L$6:$U$138,9,FALSE))</f>
        <v/>
      </c>
      <c r="C437" s="115" t="str">
        <f t="shared" si="33"/>
        <v/>
      </c>
      <c r="D437" s="69" t="str">
        <f t="shared" si="32"/>
        <v/>
      </c>
      <c r="E437" s="81"/>
      <c r="F437" s="118" t="str">
        <f t="shared" si="36"/>
        <v/>
      </c>
      <c r="G437" s="113"/>
      <c r="H437" s="357"/>
      <c r="I437" s="113"/>
      <c r="J437" s="81"/>
      <c r="L437" s="72" t="str">
        <f t="shared" si="34"/>
        <v/>
      </c>
      <c r="M437" s="72" t="str">
        <f t="shared" si="35"/>
        <v/>
      </c>
    </row>
    <row r="438" spans="1:13">
      <c r="A438" s="333" t="str">
        <f>IF(E438="","",VLOOKUP('OPĆI DIO'!$C$3,'OPĆI DIO'!$L$6:$U$138,10,FALSE))</f>
        <v/>
      </c>
      <c r="B438" s="70" t="str">
        <f>IF(E438="","",VLOOKUP('OPĆI DIO'!$C$3,'OPĆI DIO'!$L$6:$U$138,9,FALSE))</f>
        <v/>
      </c>
      <c r="C438" s="115" t="str">
        <f t="shared" si="33"/>
        <v/>
      </c>
      <c r="D438" s="69" t="str">
        <f t="shared" si="32"/>
        <v/>
      </c>
      <c r="E438" s="81"/>
      <c r="F438" s="118" t="str">
        <f t="shared" si="36"/>
        <v/>
      </c>
      <c r="G438" s="113"/>
      <c r="H438" s="357"/>
      <c r="I438" s="113"/>
      <c r="J438" s="81"/>
      <c r="L438" s="72" t="str">
        <f t="shared" si="34"/>
        <v/>
      </c>
      <c r="M438" s="72" t="str">
        <f t="shared" si="35"/>
        <v/>
      </c>
    </row>
    <row r="439" spans="1:13">
      <c r="A439" s="333" t="str">
        <f>IF(E439="","",VLOOKUP('OPĆI DIO'!$C$3,'OPĆI DIO'!$L$6:$U$138,10,FALSE))</f>
        <v/>
      </c>
      <c r="B439" s="70" t="str">
        <f>IF(E439="","",VLOOKUP('OPĆI DIO'!$C$3,'OPĆI DIO'!$L$6:$U$138,9,FALSE))</f>
        <v/>
      </c>
      <c r="C439" s="115" t="str">
        <f t="shared" si="33"/>
        <v/>
      </c>
      <c r="D439" s="69" t="str">
        <f t="shared" si="32"/>
        <v/>
      </c>
      <c r="E439" s="81"/>
      <c r="F439" s="118" t="str">
        <f t="shared" si="36"/>
        <v/>
      </c>
      <c r="G439" s="113"/>
      <c r="H439" s="357"/>
      <c r="I439" s="113"/>
      <c r="J439" s="81"/>
      <c r="L439" s="72" t="str">
        <f t="shared" si="34"/>
        <v/>
      </c>
      <c r="M439" s="72" t="str">
        <f t="shared" si="35"/>
        <v/>
      </c>
    </row>
    <row r="440" spans="1:13">
      <c r="A440" s="333" t="str">
        <f>IF(E440="","",VLOOKUP('OPĆI DIO'!$C$3,'OPĆI DIO'!$L$6:$U$138,10,FALSE))</f>
        <v/>
      </c>
      <c r="B440" s="70" t="str">
        <f>IF(E440="","",VLOOKUP('OPĆI DIO'!$C$3,'OPĆI DIO'!$L$6:$U$138,9,FALSE))</f>
        <v/>
      </c>
      <c r="C440" s="115" t="str">
        <f t="shared" si="33"/>
        <v/>
      </c>
      <c r="D440" s="69" t="str">
        <f t="shared" si="32"/>
        <v/>
      </c>
      <c r="E440" s="81"/>
      <c r="F440" s="118" t="str">
        <f t="shared" si="36"/>
        <v/>
      </c>
      <c r="G440" s="113"/>
      <c r="H440" s="357"/>
      <c r="I440" s="113"/>
      <c r="J440" s="81"/>
      <c r="L440" s="72" t="str">
        <f t="shared" si="34"/>
        <v/>
      </c>
      <c r="M440" s="72" t="str">
        <f t="shared" si="35"/>
        <v/>
      </c>
    </row>
    <row r="441" spans="1:13">
      <c r="A441" s="333" t="str">
        <f>IF(E441="","",VLOOKUP('OPĆI DIO'!$C$3,'OPĆI DIO'!$L$6:$U$138,10,FALSE))</f>
        <v/>
      </c>
      <c r="B441" s="70" t="str">
        <f>IF(E441="","",VLOOKUP('OPĆI DIO'!$C$3,'OPĆI DIO'!$L$6:$U$138,9,FALSE))</f>
        <v/>
      </c>
      <c r="C441" s="115" t="str">
        <f t="shared" si="33"/>
        <v/>
      </c>
      <c r="D441" s="69" t="str">
        <f t="shared" si="32"/>
        <v/>
      </c>
      <c r="E441" s="81"/>
      <c r="F441" s="118" t="str">
        <f t="shared" si="36"/>
        <v/>
      </c>
      <c r="G441" s="113"/>
      <c r="H441" s="357"/>
      <c r="I441" s="113"/>
      <c r="J441" s="81"/>
      <c r="L441" s="72" t="str">
        <f t="shared" si="34"/>
        <v/>
      </c>
      <c r="M441" s="72" t="str">
        <f t="shared" si="35"/>
        <v/>
      </c>
    </row>
    <row r="442" spans="1:13">
      <c r="A442" s="333" t="str">
        <f>IF(E442="","",VLOOKUP('OPĆI DIO'!$C$3,'OPĆI DIO'!$L$6:$U$138,10,FALSE))</f>
        <v/>
      </c>
      <c r="B442" s="70" t="str">
        <f>IF(E442="","",VLOOKUP('OPĆI DIO'!$C$3,'OPĆI DIO'!$L$6:$U$138,9,FALSE))</f>
        <v/>
      </c>
      <c r="C442" s="115" t="str">
        <f t="shared" si="33"/>
        <v/>
      </c>
      <c r="D442" s="69" t="str">
        <f t="shared" si="32"/>
        <v/>
      </c>
      <c r="E442" s="81"/>
      <c r="F442" s="118" t="str">
        <f t="shared" si="36"/>
        <v/>
      </c>
      <c r="G442" s="113"/>
      <c r="H442" s="357"/>
      <c r="I442" s="113"/>
      <c r="J442" s="81"/>
      <c r="L442" s="72" t="str">
        <f t="shared" si="34"/>
        <v/>
      </c>
      <c r="M442" s="72" t="str">
        <f t="shared" si="35"/>
        <v/>
      </c>
    </row>
    <row r="443" spans="1:13">
      <c r="A443" s="333" t="str">
        <f>IF(E443="","",VLOOKUP('OPĆI DIO'!$C$3,'OPĆI DIO'!$L$6:$U$138,10,FALSE))</f>
        <v/>
      </c>
      <c r="B443" s="70" t="str">
        <f>IF(E443="","",VLOOKUP('OPĆI DIO'!$C$3,'OPĆI DIO'!$L$6:$U$138,9,FALSE))</f>
        <v/>
      </c>
      <c r="C443" s="115" t="str">
        <f t="shared" si="33"/>
        <v/>
      </c>
      <c r="D443" s="69" t="str">
        <f t="shared" si="32"/>
        <v/>
      </c>
      <c r="E443" s="81"/>
      <c r="F443" s="118" t="str">
        <f t="shared" si="36"/>
        <v/>
      </c>
      <c r="G443" s="113"/>
      <c r="H443" s="357"/>
      <c r="I443" s="113"/>
      <c r="J443" s="81"/>
      <c r="L443" s="72" t="str">
        <f t="shared" si="34"/>
        <v/>
      </c>
      <c r="M443" s="72" t="str">
        <f t="shared" si="35"/>
        <v/>
      </c>
    </row>
    <row r="444" spans="1:13">
      <c r="A444" s="333" t="str">
        <f>IF(E444="","",VLOOKUP('OPĆI DIO'!$C$3,'OPĆI DIO'!$L$6:$U$138,10,FALSE))</f>
        <v/>
      </c>
      <c r="B444" s="70" t="str">
        <f>IF(E444="","",VLOOKUP('OPĆI DIO'!$C$3,'OPĆI DIO'!$L$6:$U$138,9,FALSE))</f>
        <v/>
      </c>
      <c r="C444" s="115" t="str">
        <f t="shared" si="33"/>
        <v/>
      </c>
      <c r="D444" s="69" t="str">
        <f t="shared" si="32"/>
        <v/>
      </c>
      <c r="E444" s="81"/>
      <c r="F444" s="118" t="str">
        <f t="shared" si="36"/>
        <v/>
      </c>
      <c r="G444" s="113"/>
      <c r="H444" s="357"/>
      <c r="I444" s="113"/>
      <c r="J444" s="81"/>
      <c r="L444" s="72" t="str">
        <f t="shared" si="34"/>
        <v/>
      </c>
      <c r="M444" s="72" t="str">
        <f t="shared" si="35"/>
        <v/>
      </c>
    </row>
    <row r="445" spans="1:13">
      <c r="A445" s="333" t="str">
        <f>IF(E445="","",VLOOKUP('OPĆI DIO'!$C$3,'OPĆI DIO'!$L$6:$U$138,10,FALSE))</f>
        <v/>
      </c>
      <c r="B445" s="70" t="str">
        <f>IF(E445="","",VLOOKUP('OPĆI DIO'!$C$3,'OPĆI DIO'!$L$6:$U$138,9,FALSE))</f>
        <v/>
      </c>
      <c r="C445" s="115" t="str">
        <f t="shared" si="33"/>
        <v/>
      </c>
      <c r="D445" s="69" t="str">
        <f t="shared" si="32"/>
        <v/>
      </c>
      <c r="E445" s="81"/>
      <c r="F445" s="118" t="str">
        <f t="shared" si="36"/>
        <v/>
      </c>
      <c r="G445" s="113"/>
      <c r="H445" s="357"/>
      <c r="I445" s="113"/>
      <c r="J445" s="81"/>
      <c r="L445" s="72" t="str">
        <f t="shared" si="34"/>
        <v/>
      </c>
      <c r="M445" s="72" t="str">
        <f t="shared" si="35"/>
        <v/>
      </c>
    </row>
    <row r="446" spans="1:13">
      <c r="A446" s="333" t="str">
        <f>IF(E446="","",VLOOKUP('OPĆI DIO'!$C$3,'OPĆI DIO'!$L$6:$U$138,10,FALSE))</f>
        <v/>
      </c>
      <c r="B446" s="70" t="str">
        <f>IF(E446="","",VLOOKUP('OPĆI DIO'!$C$3,'OPĆI DIO'!$L$6:$U$138,9,FALSE))</f>
        <v/>
      </c>
      <c r="C446" s="115" t="str">
        <f t="shared" si="33"/>
        <v/>
      </c>
      <c r="D446" s="69" t="str">
        <f t="shared" si="32"/>
        <v/>
      </c>
      <c r="E446" s="81"/>
      <c r="F446" s="118" t="str">
        <f t="shared" si="36"/>
        <v/>
      </c>
      <c r="G446" s="113"/>
      <c r="H446" s="357"/>
      <c r="I446" s="113"/>
      <c r="J446" s="81"/>
      <c r="L446" s="72" t="str">
        <f t="shared" si="34"/>
        <v/>
      </c>
      <c r="M446" s="72" t="str">
        <f t="shared" si="35"/>
        <v/>
      </c>
    </row>
    <row r="447" spans="1:13">
      <c r="A447" s="333" t="str">
        <f>IF(E447="","",VLOOKUP('OPĆI DIO'!$C$3,'OPĆI DIO'!$L$6:$U$138,10,FALSE))</f>
        <v/>
      </c>
      <c r="B447" s="70" t="str">
        <f>IF(E447="","",VLOOKUP('OPĆI DIO'!$C$3,'OPĆI DIO'!$L$6:$U$138,9,FALSE))</f>
        <v/>
      </c>
      <c r="C447" s="115" t="str">
        <f t="shared" si="33"/>
        <v/>
      </c>
      <c r="D447" s="69" t="str">
        <f t="shared" si="32"/>
        <v/>
      </c>
      <c r="E447" s="81"/>
      <c r="F447" s="118" t="str">
        <f t="shared" si="36"/>
        <v/>
      </c>
      <c r="G447" s="113"/>
      <c r="H447" s="357"/>
      <c r="I447" s="113"/>
      <c r="J447" s="81"/>
      <c r="L447" s="72" t="str">
        <f t="shared" si="34"/>
        <v/>
      </c>
      <c r="M447" s="72" t="str">
        <f t="shared" si="35"/>
        <v/>
      </c>
    </row>
    <row r="448" spans="1:13">
      <c r="A448" s="333" t="str">
        <f>IF(E448="","",VLOOKUP('OPĆI DIO'!$C$3,'OPĆI DIO'!$L$6:$U$138,10,FALSE))</f>
        <v/>
      </c>
      <c r="B448" s="70" t="str">
        <f>IF(E448="","",VLOOKUP('OPĆI DIO'!$C$3,'OPĆI DIO'!$L$6:$U$138,9,FALSE))</f>
        <v/>
      </c>
      <c r="C448" s="115" t="str">
        <f t="shared" si="33"/>
        <v/>
      </c>
      <c r="D448" s="69" t="str">
        <f t="shared" si="32"/>
        <v/>
      </c>
      <c r="E448" s="81"/>
      <c r="F448" s="118" t="str">
        <f t="shared" si="36"/>
        <v/>
      </c>
      <c r="G448" s="113"/>
      <c r="H448" s="357"/>
      <c r="I448" s="113"/>
      <c r="J448" s="81"/>
      <c r="L448" s="72" t="str">
        <f t="shared" si="34"/>
        <v/>
      </c>
      <c r="M448" s="72" t="str">
        <f t="shared" si="35"/>
        <v/>
      </c>
    </row>
    <row r="449" spans="1:13">
      <c r="A449" s="333" t="str">
        <f>IF(E449="","",VLOOKUP('OPĆI DIO'!$C$3,'OPĆI DIO'!$L$6:$U$138,10,FALSE))</f>
        <v/>
      </c>
      <c r="B449" s="70" t="str">
        <f>IF(E449="","",VLOOKUP('OPĆI DIO'!$C$3,'OPĆI DIO'!$L$6:$U$138,9,FALSE))</f>
        <v/>
      </c>
      <c r="C449" s="115" t="str">
        <f t="shared" si="33"/>
        <v/>
      </c>
      <c r="D449" s="69" t="str">
        <f t="shared" si="32"/>
        <v/>
      </c>
      <c r="E449" s="81"/>
      <c r="F449" s="118" t="str">
        <f t="shared" si="36"/>
        <v/>
      </c>
      <c r="G449" s="113"/>
      <c r="H449" s="357"/>
      <c r="I449" s="113"/>
      <c r="J449" s="81"/>
      <c r="L449" s="72" t="str">
        <f t="shared" si="34"/>
        <v/>
      </c>
      <c r="M449" s="72" t="str">
        <f t="shared" si="35"/>
        <v/>
      </c>
    </row>
    <row r="450" spans="1:13">
      <c r="A450" s="333" t="str">
        <f>IF(E450="","",VLOOKUP('OPĆI DIO'!$C$3,'OPĆI DIO'!$L$6:$U$138,10,FALSE))</f>
        <v/>
      </c>
      <c r="B450" s="70" t="str">
        <f>IF(E450="","",VLOOKUP('OPĆI DIO'!$C$3,'OPĆI DIO'!$L$6:$U$138,9,FALSE))</f>
        <v/>
      </c>
      <c r="C450" s="115" t="str">
        <f t="shared" si="33"/>
        <v/>
      </c>
      <c r="D450" s="69" t="str">
        <f t="shared" si="32"/>
        <v/>
      </c>
      <c r="E450" s="81"/>
      <c r="F450" s="118" t="str">
        <f t="shared" si="36"/>
        <v/>
      </c>
      <c r="G450" s="113"/>
      <c r="H450" s="357"/>
      <c r="I450" s="113"/>
      <c r="J450" s="81"/>
      <c r="L450" s="72" t="str">
        <f t="shared" si="34"/>
        <v/>
      </c>
      <c r="M450" s="72" t="str">
        <f t="shared" si="35"/>
        <v/>
      </c>
    </row>
    <row r="451" spans="1:13">
      <c r="A451" s="333" t="str">
        <f>IF(E451="","",VLOOKUP('OPĆI DIO'!$C$3,'OPĆI DIO'!$L$6:$U$138,10,FALSE))</f>
        <v/>
      </c>
      <c r="B451" s="70" t="str">
        <f>IF(E451="","",VLOOKUP('OPĆI DIO'!$C$3,'OPĆI DIO'!$L$6:$U$138,9,FALSE))</f>
        <v/>
      </c>
      <c r="C451" s="115" t="str">
        <f t="shared" si="33"/>
        <v/>
      </c>
      <c r="D451" s="69" t="str">
        <f t="shared" si="32"/>
        <v/>
      </c>
      <c r="E451" s="81"/>
      <c r="F451" s="118" t="str">
        <f t="shared" si="36"/>
        <v/>
      </c>
      <c r="G451" s="113"/>
      <c r="H451" s="357"/>
      <c r="I451" s="113"/>
      <c r="J451" s="81"/>
      <c r="L451" s="72" t="str">
        <f t="shared" si="34"/>
        <v/>
      </c>
      <c r="M451" s="72" t="str">
        <f t="shared" si="35"/>
        <v/>
      </c>
    </row>
    <row r="452" spans="1:13">
      <c r="A452" s="333" t="str">
        <f>IF(E452="","",VLOOKUP('OPĆI DIO'!$C$3,'OPĆI DIO'!$L$6:$U$138,10,FALSE))</f>
        <v/>
      </c>
      <c r="B452" s="70" t="str">
        <f>IF(E452="","",VLOOKUP('OPĆI DIO'!$C$3,'OPĆI DIO'!$L$6:$U$138,9,FALSE))</f>
        <v/>
      </c>
      <c r="C452" s="115" t="str">
        <f t="shared" si="33"/>
        <v/>
      </c>
      <c r="D452" s="69" t="str">
        <f t="shared" ref="D452:D504" si="37">IFERROR(VLOOKUP(E452,$R$6:$U$116,4,FALSE),"")</f>
        <v/>
      </c>
      <c r="E452" s="81"/>
      <c r="F452" s="118" t="str">
        <f t="shared" si="36"/>
        <v/>
      </c>
      <c r="G452" s="113"/>
      <c r="H452" s="357"/>
      <c r="I452" s="113"/>
      <c r="J452" s="81"/>
      <c r="L452" s="72" t="str">
        <f t="shared" si="34"/>
        <v/>
      </c>
      <c r="M452" s="72" t="str">
        <f t="shared" si="35"/>
        <v/>
      </c>
    </row>
    <row r="453" spans="1:13">
      <c r="A453" s="333" t="str">
        <f>IF(E453="","",VLOOKUP('OPĆI DIO'!$C$3,'OPĆI DIO'!$L$6:$U$138,10,FALSE))</f>
        <v/>
      </c>
      <c r="B453" s="70" t="str">
        <f>IF(E453="","",VLOOKUP('OPĆI DIO'!$C$3,'OPĆI DIO'!$L$6:$U$138,9,FALSE))</f>
        <v/>
      </c>
      <c r="C453" s="115" t="str">
        <f t="shared" si="33"/>
        <v/>
      </c>
      <c r="D453" s="69" t="str">
        <f t="shared" si="37"/>
        <v/>
      </c>
      <c r="E453" s="81"/>
      <c r="F453" s="118" t="str">
        <f t="shared" si="36"/>
        <v/>
      </c>
      <c r="G453" s="113"/>
      <c r="H453" s="357"/>
      <c r="I453" s="113"/>
      <c r="J453" s="81"/>
      <c r="L453" s="72" t="str">
        <f t="shared" si="34"/>
        <v/>
      </c>
      <c r="M453" s="72" t="str">
        <f t="shared" si="35"/>
        <v/>
      </c>
    </row>
    <row r="454" spans="1:13">
      <c r="A454" s="333" t="str">
        <f>IF(E454="","",VLOOKUP('OPĆI DIO'!$C$3,'OPĆI DIO'!$L$6:$U$138,10,FALSE))</f>
        <v/>
      </c>
      <c r="B454" s="70" t="str">
        <f>IF(E454="","",VLOOKUP('OPĆI DIO'!$C$3,'OPĆI DIO'!$L$6:$U$138,9,FALSE))</f>
        <v/>
      </c>
      <c r="C454" s="115" t="str">
        <f t="shared" ref="C454:C504" si="38">IFERROR(VLOOKUP(E454,$R$6:$U$116,3,FALSE),"")</f>
        <v/>
      </c>
      <c r="D454" s="69" t="str">
        <f t="shared" si="37"/>
        <v/>
      </c>
      <c r="E454" s="81"/>
      <c r="F454" s="118" t="str">
        <f t="shared" si="36"/>
        <v/>
      </c>
      <c r="G454" s="113"/>
      <c r="H454" s="357"/>
      <c r="I454" s="113"/>
      <c r="J454" s="81"/>
      <c r="L454" s="72" t="str">
        <f t="shared" si="34"/>
        <v/>
      </c>
      <c r="M454" s="72" t="str">
        <f t="shared" si="35"/>
        <v/>
      </c>
    </row>
    <row r="455" spans="1:13">
      <c r="A455" s="333" t="str">
        <f>IF(E455="","",VLOOKUP('OPĆI DIO'!$C$3,'OPĆI DIO'!$L$6:$U$138,10,FALSE))</f>
        <v/>
      </c>
      <c r="B455" s="70" t="str">
        <f>IF(E455="","",VLOOKUP('OPĆI DIO'!$C$3,'OPĆI DIO'!$L$6:$U$138,9,FALSE))</f>
        <v/>
      </c>
      <c r="C455" s="115" t="str">
        <f t="shared" si="38"/>
        <v/>
      </c>
      <c r="D455" s="69" t="str">
        <f t="shared" si="37"/>
        <v/>
      </c>
      <c r="E455" s="81"/>
      <c r="F455" s="118" t="str">
        <f t="shared" si="36"/>
        <v/>
      </c>
      <c r="G455" s="113"/>
      <c r="H455" s="357"/>
      <c r="I455" s="113"/>
      <c r="J455" s="81"/>
      <c r="L455" s="72" t="str">
        <f t="shared" ref="L455:L504" si="39">LEFT(E455,2)</f>
        <v/>
      </c>
      <c r="M455" s="72" t="str">
        <f t="shared" ref="M455:M504" si="40">LEFT(E455,3)</f>
        <v/>
      </c>
    </row>
    <row r="456" spans="1:13">
      <c r="A456" s="333" t="str">
        <f>IF(E456="","",VLOOKUP('OPĆI DIO'!$C$3,'OPĆI DIO'!$L$6:$U$138,10,FALSE))</f>
        <v/>
      </c>
      <c r="B456" s="70" t="str">
        <f>IF(E456="","",VLOOKUP('OPĆI DIO'!$C$3,'OPĆI DIO'!$L$6:$U$138,9,FALSE))</f>
        <v/>
      </c>
      <c r="C456" s="115" t="str">
        <f t="shared" si="38"/>
        <v/>
      </c>
      <c r="D456" s="69" t="str">
        <f t="shared" si="37"/>
        <v/>
      </c>
      <c r="E456" s="81"/>
      <c r="F456" s="118" t="str">
        <f t="shared" si="36"/>
        <v/>
      </c>
      <c r="G456" s="113"/>
      <c r="H456" s="357"/>
      <c r="I456" s="113"/>
      <c r="J456" s="81"/>
      <c r="L456" s="72" t="str">
        <f t="shared" si="39"/>
        <v/>
      </c>
      <c r="M456" s="72" t="str">
        <f t="shared" si="40"/>
        <v/>
      </c>
    </row>
    <row r="457" spans="1:13">
      <c r="A457" s="333" t="str">
        <f>IF(E457="","",VLOOKUP('OPĆI DIO'!$C$3,'OPĆI DIO'!$L$6:$U$138,10,FALSE))</f>
        <v/>
      </c>
      <c r="B457" s="70" t="str">
        <f>IF(E457="","",VLOOKUP('OPĆI DIO'!$C$3,'OPĆI DIO'!$L$6:$U$138,9,FALSE))</f>
        <v/>
      </c>
      <c r="C457" s="115" t="str">
        <f t="shared" si="38"/>
        <v/>
      </c>
      <c r="D457" s="69" t="str">
        <f t="shared" si="37"/>
        <v/>
      </c>
      <c r="E457" s="81"/>
      <c r="F457" s="118" t="str">
        <f t="shared" si="36"/>
        <v/>
      </c>
      <c r="G457" s="113"/>
      <c r="H457" s="357"/>
      <c r="I457" s="113"/>
      <c r="J457" s="81"/>
      <c r="L457" s="72" t="str">
        <f t="shared" si="39"/>
        <v/>
      </c>
      <c r="M457" s="72" t="str">
        <f t="shared" si="40"/>
        <v/>
      </c>
    </row>
    <row r="458" spans="1:13">
      <c r="A458" s="333" t="str">
        <f>IF(E458="","",VLOOKUP('OPĆI DIO'!$C$3,'OPĆI DIO'!$L$6:$U$138,10,FALSE))</f>
        <v/>
      </c>
      <c r="B458" s="70" t="str">
        <f>IF(E458="","",VLOOKUP('OPĆI DIO'!$C$3,'OPĆI DIO'!$L$6:$U$138,9,FALSE))</f>
        <v/>
      </c>
      <c r="C458" s="115" t="str">
        <f t="shared" si="38"/>
        <v/>
      </c>
      <c r="D458" s="69" t="str">
        <f t="shared" si="37"/>
        <v/>
      </c>
      <c r="E458" s="81"/>
      <c r="F458" s="118" t="str">
        <f t="shared" si="36"/>
        <v/>
      </c>
      <c r="G458" s="113"/>
      <c r="H458" s="357"/>
      <c r="I458" s="113"/>
      <c r="J458" s="81"/>
      <c r="L458" s="72" t="str">
        <f t="shared" si="39"/>
        <v/>
      </c>
      <c r="M458" s="72" t="str">
        <f t="shared" si="40"/>
        <v/>
      </c>
    </row>
    <row r="459" spans="1:13">
      <c r="A459" s="333" t="str">
        <f>IF(E459="","",VLOOKUP('OPĆI DIO'!$C$3,'OPĆI DIO'!$L$6:$U$138,10,FALSE))</f>
        <v/>
      </c>
      <c r="B459" s="70" t="str">
        <f>IF(E459="","",VLOOKUP('OPĆI DIO'!$C$3,'OPĆI DIO'!$L$6:$U$138,9,FALSE))</f>
        <v/>
      </c>
      <c r="C459" s="115" t="str">
        <f t="shared" si="38"/>
        <v/>
      </c>
      <c r="D459" s="69" t="str">
        <f t="shared" si="37"/>
        <v/>
      </c>
      <c r="E459" s="81"/>
      <c r="F459" s="118" t="str">
        <f t="shared" si="36"/>
        <v/>
      </c>
      <c r="G459" s="113"/>
      <c r="H459" s="357"/>
      <c r="I459" s="113"/>
      <c r="J459" s="81"/>
      <c r="L459" s="72" t="str">
        <f t="shared" si="39"/>
        <v/>
      </c>
      <c r="M459" s="72" t="str">
        <f t="shared" si="40"/>
        <v/>
      </c>
    </row>
    <row r="460" spans="1:13">
      <c r="A460" s="333" t="str">
        <f>IF(E460="","",VLOOKUP('OPĆI DIO'!$C$3,'OPĆI DIO'!$L$6:$U$138,10,FALSE))</f>
        <v/>
      </c>
      <c r="B460" s="70" t="str">
        <f>IF(E460="","",VLOOKUP('OPĆI DIO'!$C$3,'OPĆI DIO'!$L$6:$U$138,9,FALSE))</f>
        <v/>
      </c>
      <c r="C460" s="115" t="str">
        <f t="shared" si="38"/>
        <v/>
      </c>
      <c r="D460" s="69" t="str">
        <f t="shared" si="37"/>
        <v/>
      </c>
      <c r="E460" s="81"/>
      <c r="F460" s="118" t="str">
        <f t="shared" si="36"/>
        <v/>
      </c>
      <c r="G460" s="113"/>
      <c r="H460" s="357"/>
      <c r="I460" s="113"/>
      <c r="J460" s="81"/>
      <c r="L460" s="72" t="str">
        <f t="shared" si="39"/>
        <v/>
      </c>
      <c r="M460" s="72" t="str">
        <f t="shared" si="40"/>
        <v/>
      </c>
    </row>
    <row r="461" spans="1:13">
      <c r="A461" s="333" t="str">
        <f>IF(E461="","",VLOOKUP('OPĆI DIO'!$C$3,'OPĆI DIO'!$L$6:$U$138,10,FALSE))</f>
        <v/>
      </c>
      <c r="B461" s="70" t="str">
        <f>IF(E461="","",VLOOKUP('OPĆI DIO'!$C$3,'OPĆI DIO'!$L$6:$U$138,9,FALSE))</f>
        <v/>
      </c>
      <c r="C461" s="115" t="str">
        <f t="shared" si="38"/>
        <v/>
      </c>
      <c r="D461" s="69" t="str">
        <f t="shared" si="37"/>
        <v/>
      </c>
      <c r="E461" s="81"/>
      <c r="F461" s="118" t="str">
        <f t="shared" si="36"/>
        <v/>
      </c>
      <c r="G461" s="113"/>
      <c r="H461" s="357"/>
      <c r="I461" s="113"/>
      <c r="J461" s="81"/>
      <c r="L461" s="72" t="str">
        <f t="shared" si="39"/>
        <v/>
      </c>
      <c r="M461" s="72" t="str">
        <f t="shared" si="40"/>
        <v/>
      </c>
    </row>
    <row r="462" spans="1:13">
      <c r="A462" s="333" t="str">
        <f>IF(E462="","",VLOOKUP('OPĆI DIO'!$C$3,'OPĆI DIO'!$L$6:$U$138,10,FALSE))</f>
        <v/>
      </c>
      <c r="B462" s="70" t="str">
        <f>IF(E462="","",VLOOKUP('OPĆI DIO'!$C$3,'OPĆI DIO'!$L$6:$U$138,9,FALSE))</f>
        <v/>
      </c>
      <c r="C462" s="115" t="str">
        <f t="shared" si="38"/>
        <v/>
      </c>
      <c r="D462" s="69" t="str">
        <f t="shared" si="37"/>
        <v/>
      </c>
      <c r="E462" s="81"/>
      <c r="F462" s="118" t="str">
        <f t="shared" ref="F462:F504" si="41">IFERROR(VLOOKUP(E462,$R$6:$U$116,2,FALSE),"")</f>
        <v/>
      </c>
      <c r="G462" s="113"/>
      <c r="H462" s="357"/>
      <c r="I462" s="113"/>
      <c r="J462" s="81"/>
      <c r="L462" s="72" t="str">
        <f t="shared" si="39"/>
        <v/>
      </c>
      <c r="M462" s="72" t="str">
        <f t="shared" si="40"/>
        <v/>
      </c>
    </row>
    <row r="463" spans="1:13">
      <c r="A463" s="333" t="str">
        <f>IF(E463="","",VLOOKUP('OPĆI DIO'!$C$3,'OPĆI DIO'!$L$6:$U$138,10,FALSE))</f>
        <v/>
      </c>
      <c r="B463" s="70" t="str">
        <f>IF(E463="","",VLOOKUP('OPĆI DIO'!$C$3,'OPĆI DIO'!$L$6:$U$138,9,FALSE))</f>
        <v/>
      </c>
      <c r="C463" s="115" t="str">
        <f t="shared" si="38"/>
        <v/>
      </c>
      <c r="D463" s="69" t="str">
        <f t="shared" si="37"/>
        <v/>
      </c>
      <c r="E463" s="81"/>
      <c r="F463" s="118" t="str">
        <f t="shared" si="41"/>
        <v/>
      </c>
      <c r="G463" s="113"/>
      <c r="H463" s="357"/>
      <c r="I463" s="113"/>
      <c r="J463" s="81"/>
      <c r="L463" s="72" t="str">
        <f t="shared" si="39"/>
        <v/>
      </c>
      <c r="M463" s="72" t="str">
        <f t="shared" si="40"/>
        <v/>
      </c>
    </row>
    <row r="464" spans="1:13">
      <c r="A464" s="333" t="str">
        <f>IF(E464="","",VLOOKUP('OPĆI DIO'!$C$3,'OPĆI DIO'!$L$6:$U$138,10,FALSE))</f>
        <v/>
      </c>
      <c r="B464" s="70" t="str">
        <f>IF(E464="","",VLOOKUP('OPĆI DIO'!$C$3,'OPĆI DIO'!$L$6:$U$138,9,FALSE))</f>
        <v/>
      </c>
      <c r="C464" s="115" t="str">
        <f t="shared" si="38"/>
        <v/>
      </c>
      <c r="D464" s="69" t="str">
        <f t="shared" si="37"/>
        <v/>
      </c>
      <c r="E464" s="81"/>
      <c r="F464" s="118" t="str">
        <f t="shared" si="41"/>
        <v/>
      </c>
      <c r="G464" s="113"/>
      <c r="H464" s="357"/>
      <c r="I464" s="113"/>
      <c r="J464" s="81"/>
      <c r="L464" s="72" t="str">
        <f t="shared" si="39"/>
        <v/>
      </c>
      <c r="M464" s="72" t="str">
        <f t="shared" si="40"/>
        <v/>
      </c>
    </row>
    <row r="465" spans="1:13">
      <c r="A465" s="333" t="str">
        <f>IF(E465="","",VLOOKUP('OPĆI DIO'!$C$3,'OPĆI DIO'!$L$6:$U$138,10,FALSE))</f>
        <v/>
      </c>
      <c r="B465" s="70" t="str">
        <f>IF(E465="","",VLOOKUP('OPĆI DIO'!$C$3,'OPĆI DIO'!$L$6:$U$138,9,FALSE))</f>
        <v/>
      </c>
      <c r="C465" s="115" t="str">
        <f t="shared" si="38"/>
        <v/>
      </c>
      <c r="D465" s="69" t="str">
        <f t="shared" si="37"/>
        <v/>
      </c>
      <c r="E465" s="81"/>
      <c r="F465" s="118" t="str">
        <f t="shared" si="41"/>
        <v/>
      </c>
      <c r="G465" s="113"/>
      <c r="H465" s="357"/>
      <c r="I465" s="113"/>
      <c r="J465" s="81"/>
      <c r="L465" s="72" t="str">
        <f t="shared" si="39"/>
        <v/>
      </c>
      <c r="M465" s="72" t="str">
        <f t="shared" si="40"/>
        <v/>
      </c>
    </row>
    <row r="466" spans="1:13">
      <c r="A466" s="333" t="str">
        <f>IF(E466="","",VLOOKUP('OPĆI DIO'!$C$3,'OPĆI DIO'!$L$6:$U$138,10,FALSE))</f>
        <v/>
      </c>
      <c r="B466" s="70" t="str">
        <f>IF(E466="","",VLOOKUP('OPĆI DIO'!$C$3,'OPĆI DIO'!$L$6:$U$138,9,FALSE))</f>
        <v/>
      </c>
      <c r="C466" s="115" t="str">
        <f t="shared" si="38"/>
        <v/>
      </c>
      <c r="D466" s="69" t="str">
        <f t="shared" si="37"/>
        <v/>
      </c>
      <c r="E466" s="81"/>
      <c r="F466" s="118" t="str">
        <f t="shared" si="41"/>
        <v/>
      </c>
      <c r="G466" s="113"/>
      <c r="H466" s="357"/>
      <c r="I466" s="113"/>
      <c r="J466" s="81"/>
      <c r="L466" s="72" t="str">
        <f t="shared" si="39"/>
        <v/>
      </c>
      <c r="M466" s="72" t="str">
        <f t="shared" si="40"/>
        <v/>
      </c>
    </row>
    <row r="467" spans="1:13">
      <c r="A467" s="333" t="str">
        <f>IF(E467="","",VLOOKUP('OPĆI DIO'!$C$3,'OPĆI DIO'!$L$6:$U$138,10,FALSE))</f>
        <v/>
      </c>
      <c r="B467" s="70" t="str">
        <f>IF(E467="","",VLOOKUP('OPĆI DIO'!$C$3,'OPĆI DIO'!$L$6:$U$138,9,FALSE))</f>
        <v/>
      </c>
      <c r="C467" s="115" t="str">
        <f t="shared" si="38"/>
        <v/>
      </c>
      <c r="D467" s="69" t="str">
        <f t="shared" si="37"/>
        <v/>
      </c>
      <c r="E467" s="81"/>
      <c r="F467" s="118" t="str">
        <f t="shared" si="41"/>
        <v/>
      </c>
      <c r="G467" s="113"/>
      <c r="H467" s="357"/>
      <c r="I467" s="113"/>
      <c r="J467" s="81"/>
      <c r="L467" s="72" t="str">
        <f t="shared" si="39"/>
        <v/>
      </c>
      <c r="M467" s="72" t="str">
        <f t="shared" si="40"/>
        <v/>
      </c>
    </row>
    <row r="468" spans="1:13">
      <c r="A468" s="333" t="str">
        <f>IF(E468="","",VLOOKUP('OPĆI DIO'!$C$3,'OPĆI DIO'!$L$6:$U$138,10,FALSE))</f>
        <v/>
      </c>
      <c r="B468" s="70" t="str">
        <f>IF(E468="","",VLOOKUP('OPĆI DIO'!$C$3,'OPĆI DIO'!$L$6:$U$138,9,FALSE))</f>
        <v/>
      </c>
      <c r="C468" s="115" t="str">
        <f t="shared" si="38"/>
        <v/>
      </c>
      <c r="D468" s="69" t="str">
        <f t="shared" si="37"/>
        <v/>
      </c>
      <c r="E468" s="81"/>
      <c r="F468" s="118" t="str">
        <f t="shared" si="41"/>
        <v/>
      </c>
      <c r="G468" s="113"/>
      <c r="H468" s="357"/>
      <c r="I468" s="113"/>
      <c r="J468" s="81"/>
      <c r="L468" s="72" t="str">
        <f t="shared" si="39"/>
        <v/>
      </c>
      <c r="M468" s="72" t="str">
        <f t="shared" si="40"/>
        <v/>
      </c>
    </row>
    <row r="469" spans="1:13">
      <c r="A469" s="333" t="str">
        <f>IF(E469="","",VLOOKUP('OPĆI DIO'!$C$3,'OPĆI DIO'!$L$6:$U$138,10,FALSE))</f>
        <v/>
      </c>
      <c r="B469" s="70" t="str">
        <f>IF(E469="","",VLOOKUP('OPĆI DIO'!$C$3,'OPĆI DIO'!$L$6:$U$138,9,FALSE))</f>
        <v/>
      </c>
      <c r="C469" s="115" t="str">
        <f t="shared" si="38"/>
        <v/>
      </c>
      <c r="D469" s="69" t="str">
        <f t="shared" si="37"/>
        <v/>
      </c>
      <c r="E469" s="81"/>
      <c r="F469" s="118" t="str">
        <f t="shared" si="41"/>
        <v/>
      </c>
      <c r="G469" s="113"/>
      <c r="H469" s="357"/>
      <c r="I469" s="113"/>
      <c r="J469" s="81"/>
      <c r="L469" s="72" t="str">
        <f t="shared" si="39"/>
        <v/>
      </c>
      <c r="M469" s="72" t="str">
        <f t="shared" si="40"/>
        <v/>
      </c>
    </row>
    <row r="470" spans="1:13">
      <c r="A470" s="333" t="str">
        <f>IF(E470="","",VLOOKUP('OPĆI DIO'!$C$3,'OPĆI DIO'!$L$6:$U$138,10,FALSE))</f>
        <v/>
      </c>
      <c r="B470" s="70" t="str">
        <f>IF(E470="","",VLOOKUP('OPĆI DIO'!$C$3,'OPĆI DIO'!$L$6:$U$138,9,FALSE))</f>
        <v/>
      </c>
      <c r="C470" s="115" t="str">
        <f t="shared" si="38"/>
        <v/>
      </c>
      <c r="D470" s="69" t="str">
        <f t="shared" si="37"/>
        <v/>
      </c>
      <c r="E470" s="81"/>
      <c r="F470" s="118" t="str">
        <f t="shared" si="41"/>
        <v/>
      </c>
      <c r="G470" s="113"/>
      <c r="H470" s="357"/>
      <c r="I470" s="113"/>
      <c r="J470" s="81"/>
      <c r="L470" s="72" t="str">
        <f t="shared" si="39"/>
        <v/>
      </c>
      <c r="M470" s="72" t="str">
        <f t="shared" si="40"/>
        <v/>
      </c>
    </row>
    <row r="471" spans="1:13">
      <c r="A471" s="333" t="str">
        <f>IF(E471="","",VLOOKUP('OPĆI DIO'!$C$3,'OPĆI DIO'!$L$6:$U$138,10,FALSE))</f>
        <v/>
      </c>
      <c r="B471" s="70" t="str">
        <f>IF(E471="","",VLOOKUP('OPĆI DIO'!$C$3,'OPĆI DIO'!$L$6:$U$138,9,FALSE))</f>
        <v/>
      </c>
      <c r="C471" s="115" t="str">
        <f t="shared" si="38"/>
        <v/>
      </c>
      <c r="D471" s="69" t="str">
        <f t="shared" si="37"/>
        <v/>
      </c>
      <c r="E471" s="81"/>
      <c r="F471" s="118" t="str">
        <f t="shared" si="41"/>
        <v/>
      </c>
      <c r="G471" s="113"/>
      <c r="H471" s="357"/>
      <c r="I471" s="113"/>
      <c r="J471" s="81"/>
      <c r="L471" s="72" t="str">
        <f t="shared" si="39"/>
        <v/>
      </c>
      <c r="M471" s="72" t="str">
        <f t="shared" si="40"/>
        <v/>
      </c>
    </row>
    <row r="472" spans="1:13">
      <c r="A472" s="333" t="str">
        <f>IF(E472="","",VLOOKUP('OPĆI DIO'!$C$3,'OPĆI DIO'!$L$6:$U$138,10,FALSE))</f>
        <v/>
      </c>
      <c r="B472" s="70" t="str">
        <f>IF(E472="","",VLOOKUP('OPĆI DIO'!$C$3,'OPĆI DIO'!$L$6:$U$138,9,FALSE))</f>
        <v/>
      </c>
      <c r="C472" s="115" t="str">
        <f t="shared" si="38"/>
        <v/>
      </c>
      <c r="D472" s="69" t="str">
        <f t="shared" si="37"/>
        <v/>
      </c>
      <c r="E472" s="81"/>
      <c r="F472" s="118" t="str">
        <f t="shared" si="41"/>
        <v/>
      </c>
      <c r="G472" s="113"/>
      <c r="H472" s="357"/>
      <c r="I472" s="113"/>
      <c r="J472" s="81"/>
      <c r="L472" s="72" t="str">
        <f t="shared" si="39"/>
        <v/>
      </c>
      <c r="M472" s="72" t="str">
        <f t="shared" si="40"/>
        <v/>
      </c>
    </row>
    <row r="473" spans="1:13">
      <c r="A473" s="333" t="str">
        <f>IF(E473="","",VLOOKUP('OPĆI DIO'!$C$3,'OPĆI DIO'!$L$6:$U$138,10,FALSE))</f>
        <v/>
      </c>
      <c r="B473" s="70" t="str">
        <f>IF(E473="","",VLOOKUP('OPĆI DIO'!$C$3,'OPĆI DIO'!$L$6:$U$138,9,FALSE))</f>
        <v/>
      </c>
      <c r="C473" s="115" t="str">
        <f t="shared" si="38"/>
        <v/>
      </c>
      <c r="D473" s="69" t="str">
        <f t="shared" si="37"/>
        <v/>
      </c>
      <c r="E473" s="81"/>
      <c r="F473" s="118" t="str">
        <f t="shared" si="41"/>
        <v/>
      </c>
      <c r="G473" s="113"/>
      <c r="H473" s="357"/>
      <c r="I473" s="113"/>
      <c r="J473" s="81"/>
      <c r="L473" s="72" t="str">
        <f t="shared" si="39"/>
        <v/>
      </c>
      <c r="M473" s="72" t="str">
        <f t="shared" si="40"/>
        <v/>
      </c>
    </row>
    <row r="474" spans="1:13">
      <c r="A474" s="333" t="str">
        <f>IF(E474="","",VLOOKUP('OPĆI DIO'!$C$3,'OPĆI DIO'!$L$6:$U$138,10,FALSE))</f>
        <v/>
      </c>
      <c r="B474" s="70" t="str">
        <f>IF(E474="","",VLOOKUP('OPĆI DIO'!$C$3,'OPĆI DIO'!$L$6:$U$138,9,FALSE))</f>
        <v/>
      </c>
      <c r="C474" s="115" t="str">
        <f t="shared" si="38"/>
        <v/>
      </c>
      <c r="D474" s="69" t="str">
        <f t="shared" si="37"/>
        <v/>
      </c>
      <c r="E474" s="81"/>
      <c r="F474" s="118" t="str">
        <f t="shared" si="41"/>
        <v/>
      </c>
      <c r="G474" s="113"/>
      <c r="H474" s="357"/>
      <c r="I474" s="113"/>
      <c r="J474" s="81"/>
      <c r="L474" s="72" t="str">
        <f t="shared" si="39"/>
        <v/>
      </c>
      <c r="M474" s="72" t="str">
        <f t="shared" si="40"/>
        <v/>
      </c>
    </row>
    <row r="475" spans="1:13">
      <c r="A475" s="333" t="str">
        <f>IF(E475="","",VLOOKUP('OPĆI DIO'!$C$3,'OPĆI DIO'!$L$6:$U$138,10,FALSE))</f>
        <v/>
      </c>
      <c r="B475" s="70" t="str">
        <f>IF(E475="","",VLOOKUP('OPĆI DIO'!$C$3,'OPĆI DIO'!$L$6:$U$138,9,FALSE))</f>
        <v/>
      </c>
      <c r="C475" s="115" t="str">
        <f t="shared" si="38"/>
        <v/>
      </c>
      <c r="D475" s="69" t="str">
        <f t="shared" si="37"/>
        <v/>
      </c>
      <c r="E475" s="81"/>
      <c r="F475" s="118" t="str">
        <f t="shared" si="41"/>
        <v/>
      </c>
      <c r="G475" s="113"/>
      <c r="H475" s="357"/>
      <c r="I475" s="113"/>
      <c r="J475" s="81"/>
      <c r="L475" s="72" t="str">
        <f t="shared" si="39"/>
        <v/>
      </c>
      <c r="M475" s="72" t="str">
        <f t="shared" si="40"/>
        <v/>
      </c>
    </row>
    <row r="476" spans="1:13">
      <c r="A476" s="333" t="str">
        <f>IF(E476="","",VLOOKUP('OPĆI DIO'!$C$3,'OPĆI DIO'!$L$6:$U$138,10,FALSE))</f>
        <v/>
      </c>
      <c r="B476" s="70" t="str">
        <f>IF(E476="","",VLOOKUP('OPĆI DIO'!$C$3,'OPĆI DIO'!$L$6:$U$138,9,FALSE))</f>
        <v/>
      </c>
      <c r="C476" s="115" t="str">
        <f t="shared" si="38"/>
        <v/>
      </c>
      <c r="D476" s="69" t="str">
        <f t="shared" si="37"/>
        <v/>
      </c>
      <c r="E476" s="81"/>
      <c r="F476" s="118" t="str">
        <f t="shared" si="41"/>
        <v/>
      </c>
      <c r="G476" s="113"/>
      <c r="H476" s="357"/>
      <c r="I476" s="113"/>
      <c r="J476" s="81"/>
      <c r="L476" s="72" t="str">
        <f t="shared" si="39"/>
        <v/>
      </c>
      <c r="M476" s="72" t="str">
        <f t="shared" si="40"/>
        <v/>
      </c>
    </row>
    <row r="477" spans="1:13">
      <c r="A477" s="333" t="str">
        <f>IF(E477="","",VLOOKUP('OPĆI DIO'!$C$3,'OPĆI DIO'!$L$6:$U$138,10,FALSE))</f>
        <v/>
      </c>
      <c r="B477" s="70" t="str">
        <f>IF(E477="","",VLOOKUP('OPĆI DIO'!$C$3,'OPĆI DIO'!$L$6:$U$138,9,FALSE))</f>
        <v/>
      </c>
      <c r="C477" s="115" t="str">
        <f t="shared" si="38"/>
        <v/>
      </c>
      <c r="D477" s="69" t="str">
        <f t="shared" si="37"/>
        <v/>
      </c>
      <c r="E477" s="81"/>
      <c r="F477" s="118" t="str">
        <f t="shared" si="41"/>
        <v/>
      </c>
      <c r="G477" s="113"/>
      <c r="H477" s="357"/>
      <c r="I477" s="113"/>
      <c r="J477" s="81"/>
      <c r="L477" s="72" t="str">
        <f t="shared" si="39"/>
        <v/>
      </c>
      <c r="M477" s="72" t="str">
        <f t="shared" si="40"/>
        <v/>
      </c>
    </row>
    <row r="478" spans="1:13">
      <c r="A478" s="333" t="str">
        <f>IF(E478="","",VLOOKUP('OPĆI DIO'!$C$3,'OPĆI DIO'!$L$6:$U$138,10,FALSE))</f>
        <v/>
      </c>
      <c r="B478" s="70" t="str">
        <f>IF(E478="","",VLOOKUP('OPĆI DIO'!$C$3,'OPĆI DIO'!$L$6:$U$138,9,FALSE))</f>
        <v/>
      </c>
      <c r="C478" s="115" t="str">
        <f t="shared" si="38"/>
        <v/>
      </c>
      <c r="D478" s="69" t="str">
        <f t="shared" si="37"/>
        <v/>
      </c>
      <c r="E478" s="81"/>
      <c r="F478" s="118" t="str">
        <f t="shared" si="41"/>
        <v/>
      </c>
      <c r="G478" s="113"/>
      <c r="H478" s="357"/>
      <c r="I478" s="113"/>
      <c r="J478" s="81"/>
      <c r="L478" s="72" t="str">
        <f t="shared" si="39"/>
        <v/>
      </c>
      <c r="M478" s="72" t="str">
        <f t="shared" si="40"/>
        <v/>
      </c>
    </row>
    <row r="479" spans="1:13">
      <c r="A479" s="333" t="str">
        <f>IF(E479="","",VLOOKUP('OPĆI DIO'!$C$3,'OPĆI DIO'!$L$6:$U$138,10,FALSE))</f>
        <v/>
      </c>
      <c r="B479" s="70" t="str">
        <f>IF(E479="","",VLOOKUP('OPĆI DIO'!$C$3,'OPĆI DIO'!$L$6:$U$138,9,FALSE))</f>
        <v/>
      </c>
      <c r="C479" s="115" t="str">
        <f t="shared" si="38"/>
        <v/>
      </c>
      <c r="D479" s="69" t="str">
        <f t="shared" si="37"/>
        <v/>
      </c>
      <c r="E479" s="81"/>
      <c r="F479" s="118" t="str">
        <f t="shared" si="41"/>
        <v/>
      </c>
      <c r="G479" s="113"/>
      <c r="H479" s="357"/>
      <c r="I479" s="113"/>
      <c r="J479" s="81"/>
      <c r="L479" s="72" t="str">
        <f t="shared" si="39"/>
        <v/>
      </c>
      <c r="M479" s="72" t="str">
        <f t="shared" si="40"/>
        <v/>
      </c>
    </row>
    <row r="480" spans="1:13">
      <c r="A480" s="333" t="str">
        <f>IF(E480="","",VLOOKUP('OPĆI DIO'!$C$3,'OPĆI DIO'!$L$6:$U$138,10,FALSE))</f>
        <v/>
      </c>
      <c r="B480" s="70" t="str">
        <f>IF(E480="","",VLOOKUP('OPĆI DIO'!$C$3,'OPĆI DIO'!$L$6:$U$138,9,FALSE))</f>
        <v/>
      </c>
      <c r="C480" s="115" t="str">
        <f t="shared" si="38"/>
        <v/>
      </c>
      <c r="D480" s="69" t="str">
        <f t="shared" si="37"/>
        <v/>
      </c>
      <c r="E480" s="81"/>
      <c r="F480" s="118" t="str">
        <f t="shared" si="41"/>
        <v/>
      </c>
      <c r="G480" s="113"/>
      <c r="H480" s="357"/>
      <c r="I480" s="113"/>
      <c r="J480" s="81"/>
      <c r="L480" s="72" t="str">
        <f t="shared" si="39"/>
        <v/>
      </c>
      <c r="M480" s="72" t="str">
        <f t="shared" si="40"/>
        <v/>
      </c>
    </row>
    <row r="481" spans="1:13">
      <c r="A481" s="333" t="str">
        <f>IF(E481="","",VLOOKUP('OPĆI DIO'!$C$3,'OPĆI DIO'!$L$6:$U$138,10,FALSE))</f>
        <v/>
      </c>
      <c r="B481" s="70" t="str">
        <f>IF(E481="","",VLOOKUP('OPĆI DIO'!$C$3,'OPĆI DIO'!$L$6:$U$138,9,FALSE))</f>
        <v/>
      </c>
      <c r="C481" s="115" t="str">
        <f t="shared" si="38"/>
        <v/>
      </c>
      <c r="D481" s="69" t="str">
        <f t="shared" si="37"/>
        <v/>
      </c>
      <c r="E481" s="81"/>
      <c r="F481" s="118" t="str">
        <f t="shared" si="41"/>
        <v/>
      </c>
      <c r="G481" s="113"/>
      <c r="H481" s="357"/>
      <c r="I481" s="113"/>
      <c r="J481" s="81"/>
      <c r="L481" s="72" t="str">
        <f t="shared" si="39"/>
        <v/>
      </c>
      <c r="M481" s="72" t="str">
        <f t="shared" si="40"/>
        <v/>
      </c>
    </row>
    <row r="482" spans="1:13">
      <c r="A482" s="333" t="str">
        <f>IF(E482="","",VLOOKUP('OPĆI DIO'!$C$3,'OPĆI DIO'!$L$6:$U$138,10,FALSE))</f>
        <v/>
      </c>
      <c r="B482" s="70" t="str">
        <f>IF(E482="","",VLOOKUP('OPĆI DIO'!$C$3,'OPĆI DIO'!$L$6:$U$138,9,FALSE))</f>
        <v/>
      </c>
      <c r="C482" s="115" t="str">
        <f t="shared" si="38"/>
        <v/>
      </c>
      <c r="D482" s="69" t="str">
        <f t="shared" si="37"/>
        <v/>
      </c>
      <c r="E482" s="81"/>
      <c r="F482" s="118" t="str">
        <f t="shared" si="41"/>
        <v/>
      </c>
      <c r="G482" s="113"/>
      <c r="H482" s="357"/>
      <c r="I482" s="113"/>
      <c r="J482" s="81"/>
      <c r="L482" s="72" t="str">
        <f t="shared" si="39"/>
        <v/>
      </c>
      <c r="M482" s="72" t="str">
        <f t="shared" si="40"/>
        <v/>
      </c>
    </row>
    <row r="483" spans="1:13">
      <c r="A483" s="333" t="str">
        <f>IF(E483="","",VLOOKUP('OPĆI DIO'!$C$3,'OPĆI DIO'!$L$6:$U$138,10,FALSE))</f>
        <v/>
      </c>
      <c r="B483" s="70" t="str">
        <f>IF(E483="","",VLOOKUP('OPĆI DIO'!$C$3,'OPĆI DIO'!$L$6:$U$138,9,FALSE))</f>
        <v/>
      </c>
      <c r="C483" s="115" t="str">
        <f t="shared" si="38"/>
        <v/>
      </c>
      <c r="D483" s="69" t="str">
        <f t="shared" si="37"/>
        <v/>
      </c>
      <c r="E483" s="81"/>
      <c r="F483" s="118" t="str">
        <f t="shared" si="41"/>
        <v/>
      </c>
      <c r="G483" s="113"/>
      <c r="H483" s="357"/>
      <c r="I483" s="113"/>
      <c r="J483" s="81"/>
      <c r="L483" s="72" t="str">
        <f t="shared" si="39"/>
        <v/>
      </c>
      <c r="M483" s="72" t="str">
        <f t="shared" si="40"/>
        <v/>
      </c>
    </row>
    <row r="484" spans="1:13">
      <c r="A484" s="333" t="str">
        <f>IF(E484="","",VLOOKUP('OPĆI DIO'!$C$3,'OPĆI DIO'!$L$6:$U$138,10,FALSE))</f>
        <v/>
      </c>
      <c r="B484" s="70" t="str">
        <f>IF(E484="","",VLOOKUP('OPĆI DIO'!$C$3,'OPĆI DIO'!$L$6:$U$138,9,FALSE))</f>
        <v/>
      </c>
      <c r="C484" s="115" t="str">
        <f t="shared" si="38"/>
        <v/>
      </c>
      <c r="D484" s="69" t="str">
        <f t="shared" si="37"/>
        <v/>
      </c>
      <c r="E484" s="81"/>
      <c r="F484" s="118" t="str">
        <f t="shared" si="41"/>
        <v/>
      </c>
      <c r="G484" s="113"/>
      <c r="H484" s="357"/>
      <c r="I484" s="113"/>
      <c r="J484" s="81"/>
      <c r="L484" s="72" t="str">
        <f t="shared" si="39"/>
        <v/>
      </c>
      <c r="M484" s="72" t="str">
        <f t="shared" si="40"/>
        <v/>
      </c>
    </row>
    <row r="485" spans="1:13">
      <c r="A485" s="333" t="str">
        <f>IF(E485="","",VLOOKUP('OPĆI DIO'!$C$3,'OPĆI DIO'!$L$6:$U$138,10,FALSE))</f>
        <v/>
      </c>
      <c r="B485" s="70" t="str">
        <f>IF(E485="","",VLOOKUP('OPĆI DIO'!$C$3,'OPĆI DIO'!$L$6:$U$138,9,FALSE))</f>
        <v/>
      </c>
      <c r="C485" s="115" t="str">
        <f t="shared" si="38"/>
        <v/>
      </c>
      <c r="D485" s="69" t="str">
        <f t="shared" si="37"/>
        <v/>
      </c>
      <c r="E485" s="81"/>
      <c r="F485" s="118" t="str">
        <f t="shared" si="41"/>
        <v/>
      </c>
      <c r="G485" s="113"/>
      <c r="H485" s="357"/>
      <c r="I485" s="113"/>
      <c r="J485" s="81"/>
      <c r="L485" s="72" t="str">
        <f t="shared" si="39"/>
        <v/>
      </c>
      <c r="M485" s="72" t="str">
        <f t="shared" si="40"/>
        <v/>
      </c>
    </row>
    <row r="486" spans="1:13">
      <c r="A486" s="333" t="str">
        <f>IF(E486="","",VLOOKUP('OPĆI DIO'!$C$3,'OPĆI DIO'!$L$6:$U$138,10,FALSE))</f>
        <v/>
      </c>
      <c r="B486" s="70" t="str">
        <f>IF(E486="","",VLOOKUP('OPĆI DIO'!$C$3,'OPĆI DIO'!$L$6:$U$138,9,FALSE))</f>
        <v/>
      </c>
      <c r="C486" s="115" t="str">
        <f t="shared" si="38"/>
        <v/>
      </c>
      <c r="D486" s="69" t="str">
        <f t="shared" si="37"/>
        <v/>
      </c>
      <c r="E486" s="81"/>
      <c r="F486" s="118" t="str">
        <f t="shared" si="41"/>
        <v/>
      </c>
      <c r="G486" s="113"/>
      <c r="H486" s="357"/>
      <c r="I486" s="113"/>
      <c r="J486" s="81"/>
      <c r="L486" s="72" t="str">
        <f t="shared" si="39"/>
        <v/>
      </c>
      <c r="M486" s="72" t="str">
        <f t="shared" si="40"/>
        <v/>
      </c>
    </row>
    <row r="487" spans="1:13">
      <c r="A487" s="333" t="str">
        <f>IF(E487="","",VLOOKUP('OPĆI DIO'!$C$3,'OPĆI DIO'!$L$6:$U$138,10,FALSE))</f>
        <v/>
      </c>
      <c r="B487" s="70" t="str">
        <f>IF(E487="","",VLOOKUP('OPĆI DIO'!$C$3,'OPĆI DIO'!$L$6:$U$138,9,FALSE))</f>
        <v/>
      </c>
      <c r="C487" s="115" t="str">
        <f t="shared" si="38"/>
        <v/>
      </c>
      <c r="D487" s="69" t="str">
        <f t="shared" si="37"/>
        <v/>
      </c>
      <c r="E487" s="81"/>
      <c r="F487" s="118" t="str">
        <f t="shared" si="41"/>
        <v/>
      </c>
      <c r="G487" s="113"/>
      <c r="H487" s="357"/>
      <c r="I487" s="113"/>
      <c r="J487" s="81"/>
      <c r="L487" s="72" t="str">
        <f t="shared" si="39"/>
        <v/>
      </c>
      <c r="M487" s="72" t="str">
        <f t="shared" si="40"/>
        <v/>
      </c>
    </row>
    <row r="488" spans="1:13">
      <c r="A488" s="333" t="str">
        <f>IF(E488="","",VLOOKUP('OPĆI DIO'!$C$3,'OPĆI DIO'!$L$6:$U$138,10,FALSE))</f>
        <v/>
      </c>
      <c r="B488" s="70" t="str">
        <f>IF(E488="","",VLOOKUP('OPĆI DIO'!$C$3,'OPĆI DIO'!$L$6:$U$138,9,FALSE))</f>
        <v/>
      </c>
      <c r="C488" s="115" t="str">
        <f t="shared" si="38"/>
        <v/>
      </c>
      <c r="D488" s="69" t="str">
        <f t="shared" si="37"/>
        <v/>
      </c>
      <c r="E488" s="81"/>
      <c r="F488" s="118" t="str">
        <f t="shared" si="41"/>
        <v/>
      </c>
      <c r="G488" s="113"/>
      <c r="H488" s="357"/>
      <c r="I488" s="113"/>
      <c r="J488" s="81"/>
      <c r="L488" s="72" t="str">
        <f t="shared" si="39"/>
        <v/>
      </c>
      <c r="M488" s="72" t="str">
        <f t="shared" si="40"/>
        <v/>
      </c>
    </row>
    <row r="489" spans="1:13">
      <c r="A489" s="333" t="str">
        <f>IF(E489="","",VLOOKUP('OPĆI DIO'!$C$3,'OPĆI DIO'!$L$6:$U$138,10,FALSE))</f>
        <v/>
      </c>
      <c r="B489" s="70" t="str">
        <f>IF(E489="","",VLOOKUP('OPĆI DIO'!$C$3,'OPĆI DIO'!$L$6:$U$138,9,FALSE))</f>
        <v/>
      </c>
      <c r="C489" s="115" t="str">
        <f t="shared" si="38"/>
        <v/>
      </c>
      <c r="D489" s="69" t="str">
        <f t="shared" si="37"/>
        <v/>
      </c>
      <c r="E489" s="81"/>
      <c r="F489" s="118" t="str">
        <f t="shared" si="41"/>
        <v/>
      </c>
      <c r="G489" s="113"/>
      <c r="H489" s="357"/>
      <c r="I489" s="113"/>
      <c r="J489" s="81"/>
      <c r="L489" s="72" t="str">
        <f t="shared" si="39"/>
        <v/>
      </c>
      <c r="M489" s="72" t="str">
        <f t="shared" si="40"/>
        <v/>
      </c>
    </row>
    <row r="490" spans="1:13">
      <c r="A490" s="333" t="str">
        <f>IF(E490="","",VLOOKUP('OPĆI DIO'!$C$3,'OPĆI DIO'!$L$6:$U$138,10,FALSE))</f>
        <v/>
      </c>
      <c r="B490" s="70" t="str">
        <f>IF(E490="","",VLOOKUP('OPĆI DIO'!$C$3,'OPĆI DIO'!$L$6:$U$138,9,FALSE))</f>
        <v/>
      </c>
      <c r="C490" s="115" t="str">
        <f t="shared" si="38"/>
        <v/>
      </c>
      <c r="D490" s="69" t="str">
        <f t="shared" si="37"/>
        <v/>
      </c>
      <c r="E490" s="81"/>
      <c r="F490" s="118" t="str">
        <f t="shared" si="41"/>
        <v/>
      </c>
      <c r="G490" s="113"/>
      <c r="H490" s="357"/>
      <c r="I490" s="113"/>
      <c r="J490" s="81"/>
      <c r="L490" s="72" t="str">
        <f t="shared" si="39"/>
        <v/>
      </c>
      <c r="M490" s="72" t="str">
        <f t="shared" si="40"/>
        <v/>
      </c>
    </row>
    <row r="491" spans="1:13">
      <c r="A491" s="333" t="str">
        <f>IF(E491="","",VLOOKUP('OPĆI DIO'!$C$3,'OPĆI DIO'!$L$6:$U$138,10,FALSE))</f>
        <v/>
      </c>
      <c r="B491" s="70" t="str">
        <f>IF(E491="","",VLOOKUP('OPĆI DIO'!$C$3,'OPĆI DIO'!$L$6:$U$138,9,FALSE))</f>
        <v/>
      </c>
      <c r="C491" s="115" t="str">
        <f t="shared" si="38"/>
        <v/>
      </c>
      <c r="D491" s="69" t="str">
        <f t="shared" si="37"/>
        <v/>
      </c>
      <c r="E491" s="81"/>
      <c r="F491" s="118" t="str">
        <f t="shared" si="41"/>
        <v/>
      </c>
      <c r="G491" s="113"/>
      <c r="H491" s="357"/>
      <c r="I491" s="113"/>
      <c r="J491" s="81"/>
      <c r="L491" s="72" t="str">
        <f t="shared" si="39"/>
        <v/>
      </c>
      <c r="M491" s="72" t="str">
        <f t="shared" si="40"/>
        <v/>
      </c>
    </row>
    <row r="492" spans="1:13">
      <c r="A492" s="333" t="str">
        <f>IF(E492="","",VLOOKUP('OPĆI DIO'!$C$3,'OPĆI DIO'!$L$6:$U$138,10,FALSE))</f>
        <v/>
      </c>
      <c r="B492" s="70" t="str">
        <f>IF(E492="","",VLOOKUP('OPĆI DIO'!$C$3,'OPĆI DIO'!$L$6:$U$138,9,FALSE))</f>
        <v/>
      </c>
      <c r="C492" s="115" t="str">
        <f t="shared" si="38"/>
        <v/>
      </c>
      <c r="D492" s="69" t="str">
        <f t="shared" si="37"/>
        <v/>
      </c>
      <c r="E492" s="81"/>
      <c r="F492" s="118" t="str">
        <f t="shared" si="41"/>
        <v/>
      </c>
      <c r="G492" s="113"/>
      <c r="H492" s="357"/>
      <c r="I492" s="113"/>
      <c r="J492" s="81"/>
      <c r="L492" s="72" t="str">
        <f t="shared" si="39"/>
        <v/>
      </c>
      <c r="M492" s="72" t="str">
        <f t="shared" si="40"/>
        <v/>
      </c>
    </row>
    <row r="493" spans="1:13">
      <c r="A493" s="333" t="str">
        <f>IF(E493="","",VLOOKUP('OPĆI DIO'!$C$3,'OPĆI DIO'!$L$6:$U$138,10,FALSE))</f>
        <v/>
      </c>
      <c r="B493" s="70" t="str">
        <f>IF(E493="","",VLOOKUP('OPĆI DIO'!$C$3,'OPĆI DIO'!$L$6:$U$138,9,FALSE))</f>
        <v/>
      </c>
      <c r="C493" s="115" t="str">
        <f t="shared" si="38"/>
        <v/>
      </c>
      <c r="D493" s="69" t="str">
        <f t="shared" si="37"/>
        <v/>
      </c>
      <c r="E493" s="81"/>
      <c r="F493" s="118" t="str">
        <f t="shared" si="41"/>
        <v/>
      </c>
      <c r="G493" s="113"/>
      <c r="H493" s="357"/>
      <c r="I493" s="113"/>
      <c r="J493" s="81"/>
      <c r="L493" s="72" t="str">
        <f t="shared" si="39"/>
        <v/>
      </c>
      <c r="M493" s="72" t="str">
        <f t="shared" si="40"/>
        <v/>
      </c>
    </row>
    <row r="494" spans="1:13">
      <c r="A494" s="333" t="str">
        <f>IF(E494="","",VLOOKUP('OPĆI DIO'!$C$3,'OPĆI DIO'!$L$6:$U$138,10,FALSE))</f>
        <v/>
      </c>
      <c r="B494" s="70" t="str">
        <f>IF(E494="","",VLOOKUP('OPĆI DIO'!$C$3,'OPĆI DIO'!$L$6:$U$138,9,FALSE))</f>
        <v/>
      </c>
      <c r="C494" s="115" t="str">
        <f t="shared" si="38"/>
        <v/>
      </c>
      <c r="D494" s="69" t="str">
        <f t="shared" si="37"/>
        <v/>
      </c>
      <c r="E494" s="81"/>
      <c r="F494" s="118" t="str">
        <f t="shared" si="41"/>
        <v/>
      </c>
      <c r="G494" s="113"/>
      <c r="H494" s="357"/>
      <c r="I494" s="113"/>
      <c r="J494" s="81"/>
      <c r="L494" s="72" t="str">
        <f t="shared" si="39"/>
        <v/>
      </c>
      <c r="M494" s="72" t="str">
        <f t="shared" si="40"/>
        <v/>
      </c>
    </row>
    <row r="495" spans="1:13">
      <c r="A495" s="333" t="str">
        <f>IF(E495="","",VLOOKUP('OPĆI DIO'!$C$3,'OPĆI DIO'!$L$6:$U$138,10,FALSE))</f>
        <v/>
      </c>
      <c r="B495" s="70" t="str">
        <f>IF(E495="","",VLOOKUP('OPĆI DIO'!$C$3,'OPĆI DIO'!$L$6:$U$138,9,FALSE))</f>
        <v/>
      </c>
      <c r="C495" s="115" t="str">
        <f t="shared" si="38"/>
        <v/>
      </c>
      <c r="D495" s="69" t="str">
        <f t="shared" si="37"/>
        <v/>
      </c>
      <c r="E495" s="81"/>
      <c r="F495" s="118" t="str">
        <f t="shared" si="41"/>
        <v/>
      </c>
      <c r="G495" s="113"/>
      <c r="H495" s="357"/>
      <c r="I495" s="113"/>
      <c r="J495" s="81"/>
      <c r="L495" s="72" t="str">
        <f t="shared" si="39"/>
        <v/>
      </c>
      <c r="M495" s="72" t="str">
        <f t="shared" si="40"/>
        <v/>
      </c>
    </row>
    <row r="496" spans="1:13">
      <c r="A496" s="333" t="str">
        <f>IF(E496="","",VLOOKUP('OPĆI DIO'!$C$3,'OPĆI DIO'!$L$6:$U$138,10,FALSE))</f>
        <v/>
      </c>
      <c r="B496" s="70" t="str">
        <f>IF(E496="","",VLOOKUP('OPĆI DIO'!$C$3,'OPĆI DIO'!$L$6:$U$138,9,FALSE))</f>
        <v/>
      </c>
      <c r="C496" s="115" t="str">
        <f t="shared" si="38"/>
        <v/>
      </c>
      <c r="D496" s="69" t="str">
        <f t="shared" si="37"/>
        <v/>
      </c>
      <c r="E496" s="81"/>
      <c r="F496" s="118" t="str">
        <f t="shared" si="41"/>
        <v/>
      </c>
      <c r="G496" s="113"/>
      <c r="H496" s="357"/>
      <c r="I496" s="113"/>
      <c r="J496" s="81"/>
      <c r="L496" s="72" t="str">
        <f t="shared" si="39"/>
        <v/>
      </c>
      <c r="M496" s="72" t="str">
        <f t="shared" si="40"/>
        <v/>
      </c>
    </row>
    <row r="497" spans="1:13">
      <c r="A497" s="333" t="str">
        <f>IF(E497="","",VLOOKUP('OPĆI DIO'!$C$3,'OPĆI DIO'!$L$6:$U$138,10,FALSE))</f>
        <v/>
      </c>
      <c r="B497" s="70" t="str">
        <f>IF(E497="","",VLOOKUP('OPĆI DIO'!$C$3,'OPĆI DIO'!$L$6:$U$138,9,FALSE))</f>
        <v/>
      </c>
      <c r="C497" s="115" t="str">
        <f t="shared" si="38"/>
        <v/>
      </c>
      <c r="D497" s="69" t="str">
        <f t="shared" si="37"/>
        <v/>
      </c>
      <c r="E497" s="81"/>
      <c r="F497" s="118" t="str">
        <f t="shared" si="41"/>
        <v/>
      </c>
      <c r="G497" s="113"/>
      <c r="H497" s="357"/>
      <c r="I497" s="113"/>
      <c r="J497" s="81"/>
      <c r="L497" s="72" t="str">
        <f t="shared" si="39"/>
        <v/>
      </c>
      <c r="M497" s="72" t="str">
        <f t="shared" si="40"/>
        <v/>
      </c>
    </row>
    <row r="498" spans="1:13">
      <c r="A498" s="333" t="str">
        <f>IF(E498="","",VLOOKUP('OPĆI DIO'!$C$3,'OPĆI DIO'!$L$6:$U$138,10,FALSE))</f>
        <v/>
      </c>
      <c r="B498" s="70" t="str">
        <f>IF(E498="","",VLOOKUP('OPĆI DIO'!$C$3,'OPĆI DIO'!$L$6:$U$138,9,FALSE))</f>
        <v/>
      </c>
      <c r="C498" s="115" t="str">
        <f t="shared" si="38"/>
        <v/>
      </c>
      <c r="D498" s="69" t="str">
        <f t="shared" si="37"/>
        <v/>
      </c>
      <c r="E498" s="81"/>
      <c r="F498" s="118" t="str">
        <f t="shared" si="41"/>
        <v/>
      </c>
      <c r="G498" s="113"/>
      <c r="H498" s="357"/>
      <c r="I498" s="113"/>
      <c r="J498" s="81"/>
      <c r="L498" s="72" t="str">
        <f t="shared" si="39"/>
        <v/>
      </c>
      <c r="M498" s="72" t="str">
        <f t="shared" si="40"/>
        <v/>
      </c>
    </row>
    <row r="499" spans="1:13">
      <c r="A499" s="333" t="str">
        <f>IF(E499="","",VLOOKUP('OPĆI DIO'!$C$3,'OPĆI DIO'!$L$6:$U$138,10,FALSE))</f>
        <v/>
      </c>
      <c r="B499" s="70" t="str">
        <f>IF(E499="","",VLOOKUP('OPĆI DIO'!$C$3,'OPĆI DIO'!$L$6:$U$138,9,FALSE))</f>
        <v/>
      </c>
      <c r="C499" s="115" t="str">
        <f t="shared" si="38"/>
        <v/>
      </c>
      <c r="D499" s="69" t="str">
        <f t="shared" si="37"/>
        <v/>
      </c>
      <c r="E499" s="81"/>
      <c r="F499" s="118" t="str">
        <f t="shared" si="41"/>
        <v/>
      </c>
      <c r="G499" s="113"/>
      <c r="H499" s="357"/>
      <c r="I499" s="113"/>
      <c r="J499" s="81"/>
      <c r="L499" s="72" t="str">
        <f t="shared" si="39"/>
        <v/>
      </c>
      <c r="M499" s="72" t="str">
        <f t="shared" si="40"/>
        <v/>
      </c>
    </row>
    <row r="500" spans="1:13">
      <c r="A500" s="333" t="str">
        <f>IF(E500="","",VLOOKUP('OPĆI DIO'!$C$3,'OPĆI DIO'!$L$6:$U$138,10,FALSE))</f>
        <v/>
      </c>
      <c r="B500" s="70" t="str">
        <f>IF(E500="","",VLOOKUP('OPĆI DIO'!$C$3,'OPĆI DIO'!$L$6:$U$138,9,FALSE))</f>
        <v/>
      </c>
      <c r="C500" s="115" t="str">
        <f t="shared" si="38"/>
        <v/>
      </c>
      <c r="D500" s="69" t="str">
        <f t="shared" si="37"/>
        <v/>
      </c>
      <c r="E500" s="81"/>
      <c r="F500" s="118" t="str">
        <f t="shared" si="41"/>
        <v/>
      </c>
      <c r="G500" s="113"/>
      <c r="H500" s="357"/>
      <c r="I500" s="113"/>
      <c r="J500" s="81"/>
      <c r="L500" s="72" t="str">
        <f t="shared" si="39"/>
        <v/>
      </c>
      <c r="M500" s="72" t="str">
        <f t="shared" si="40"/>
        <v/>
      </c>
    </row>
    <row r="501" spans="1:13">
      <c r="A501" s="333" t="str">
        <f>IF(E501="","",VLOOKUP('OPĆI DIO'!$C$3,'OPĆI DIO'!$L$6:$U$138,10,FALSE))</f>
        <v/>
      </c>
      <c r="B501" s="70" t="str">
        <f>IF(E501="","",VLOOKUP('OPĆI DIO'!$C$3,'OPĆI DIO'!$L$6:$U$138,9,FALSE))</f>
        <v/>
      </c>
      <c r="C501" s="115" t="str">
        <f t="shared" si="38"/>
        <v/>
      </c>
      <c r="D501" s="69" t="str">
        <f t="shared" si="37"/>
        <v/>
      </c>
      <c r="E501" s="81"/>
      <c r="F501" s="118" t="str">
        <f t="shared" si="41"/>
        <v/>
      </c>
      <c r="G501" s="113"/>
      <c r="H501" s="357"/>
      <c r="I501" s="113"/>
      <c r="J501" s="81"/>
      <c r="L501" s="72" t="str">
        <f t="shared" si="39"/>
        <v/>
      </c>
      <c r="M501" s="72" t="str">
        <f t="shared" si="40"/>
        <v/>
      </c>
    </row>
    <row r="502" spans="1:13">
      <c r="A502" s="333" t="str">
        <f>IF(E502="","",VLOOKUP('OPĆI DIO'!$C$3,'OPĆI DIO'!$L$6:$U$138,10,FALSE))</f>
        <v/>
      </c>
      <c r="B502" s="70" t="str">
        <f>IF(E502="","",VLOOKUP('OPĆI DIO'!$C$3,'OPĆI DIO'!$L$6:$U$138,9,FALSE))</f>
        <v/>
      </c>
      <c r="C502" s="115" t="str">
        <f t="shared" si="38"/>
        <v/>
      </c>
      <c r="D502" s="69" t="str">
        <f t="shared" si="37"/>
        <v/>
      </c>
      <c r="E502" s="81"/>
      <c r="F502" s="118" t="str">
        <f t="shared" si="41"/>
        <v/>
      </c>
      <c r="G502" s="113"/>
      <c r="H502" s="357"/>
      <c r="I502" s="113"/>
      <c r="J502" s="81"/>
      <c r="L502" s="72" t="str">
        <f t="shared" si="39"/>
        <v/>
      </c>
      <c r="M502" s="72" t="str">
        <f t="shared" si="40"/>
        <v/>
      </c>
    </row>
    <row r="503" spans="1:13">
      <c r="A503" s="333" t="str">
        <f>IF(E503="","",VLOOKUP('OPĆI DIO'!$C$3,'OPĆI DIO'!$L$6:$U$138,10,FALSE))</f>
        <v/>
      </c>
      <c r="B503" s="70" t="str">
        <f>IF(E503="","",VLOOKUP('OPĆI DIO'!$C$3,'OPĆI DIO'!$L$6:$U$138,9,FALSE))</f>
        <v/>
      </c>
      <c r="C503" s="115" t="str">
        <f t="shared" si="38"/>
        <v/>
      </c>
      <c r="D503" s="69" t="str">
        <f t="shared" si="37"/>
        <v/>
      </c>
      <c r="E503" s="81"/>
      <c r="F503" s="118" t="str">
        <f t="shared" si="41"/>
        <v/>
      </c>
      <c r="G503" s="113"/>
      <c r="H503" s="357"/>
      <c r="I503" s="113"/>
      <c r="J503" s="81"/>
      <c r="L503" s="72" t="str">
        <f t="shared" si="39"/>
        <v/>
      </c>
      <c r="M503" s="72" t="str">
        <f t="shared" si="40"/>
        <v/>
      </c>
    </row>
    <row r="504" spans="1:13">
      <c r="A504" s="333" t="str">
        <f>IF(E504="","",VLOOKUP('OPĆI DIO'!$C$3,'OPĆI DIO'!$L$6:$U$138,10,FALSE))</f>
        <v/>
      </c>
      <c r="B504" s="70" t="str">
        <f>IF(E504="","",VLOOKUP('OPĆI DIO'!$C$3,'OPĆI DIO'!$L$6:$U$138,9,FALSE))</f>
        <v/>
      </c>
      <c r="C504" s="115" t="str">
        <f t="shared" si="38"/>
        <v/>
      </c>
      <c r="D504" s="69" t="str">
        <f t="shared" si="37"/>
        <v/>
      </c>
      <c r="E504" s="81"/>
      <c r="F504" s="118" t="str">
        <f t="shared" si="41"/>
        <v/>
      </c>
      <c r="G504" s="113"/>
      <c r="H504" s="357"/>
      <c r="I504" s="113"/>
      <c r="J504" s="81"/>
      <c r="L504" s="72" t="str">
        <f t="shared" si="39"/>
        <v/>
      </c>
      <c r="M504" s="72" t="str">
        <f t="shared" si="40"/>
        <v/>
      </c>
    </row>
    <row r="505" spans="1:13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/>
    <row r="539"/>
  </sheetData>
  <sheetProtection selectLockedCells="1"/>
  <autoFilter ref="A2:J504" xr:uid="{A2F24224-9B88-46B9-BD04-BABFFDAE6025}"/>
  <sortState ref="R8:V108">
    <sortCondition ref="R8"/>
  </sortState>
  <dataConsolidate/>
  <mergeCells count="1">
    <mergeCell ref="A1:D1"/>
  </mergeCells>
  <phoneticPr fontId="37" type="noConversion"/>
  <conditionalFormatting sqref="J3:J17 J23:J502">
    <cfRule type="expression" dxfId="4" priority="5">
      <formula>IF(OR(E3=6391,E3=6392,E3=6393,E3=6394),1,0)</formula>
    </cfRule>
  </conditionalFormatting>
  <conditionalFormatting sqref="J18:J20">
    <cfRule type="expression" dxfId="3" priority="3">
      <formula>IF(OR(E18=6391,E18=6392,E18=6393,E18=6394),1,0)</formula>
    </cfRule>
  </conditionalFormatting>
  <conditionalFormatting sqref="J21">
    <cfRule type="expression" dxfId="2" priority="2">
      <formula>IF(OR(E21=6391,E21=6392,E21=6393,E21=6394),1,0)</formula>
    </cfRule>
  </conditionalFormatting>
  <conditionalFormatting sqref="J22">
    <cfRule type="expression" dxfId="1" priority="1">
      <formula>IF(OR(E22=6391,E22=6392,E22=6393,E22=6394),1,0)</formula>
    </cfRule>
  </conditionalFormatting>
  <dataValidations count="3">
    <dataValidation type="list" allowBlank="1" showInputMessage="1" showErrorMessage="1" errorTitle="GREŠKA" error="Za unos odaberite vrijednost iz padajućeg izbornika!" prompt="Molimo odaberite vrijednost iz padajućeg izbornika!" sqref="E23:E504" xr:uid="{00000000-0002-0000-0100-000001000000}">
      <formula1>$R$6:$R$116</formula1>
    </dataValidation>
    <dataValidation type="whole" allowBlank="1" showInputMessage="1" showErrorMessage="1" errorTitle="GREŠKA" error="U ovo polje je dozvoljen unos samo brojčanih vrijednosti (bez decimala!)" sqref="G3:G504 I3:I504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22" xr:uid="{915763DB-B5C4-4E32-B425-4C17D8504274}">
      <formula1>$R$6:$R$111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J3:J17 J23:J504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AG625"/>
  <sheetViews>
    <sheetView showGridLines="0" tabSelected="1" topLeftCell="H1" zoomScaleNormal="100" workbookViewId="0">
      <pane ySplit="2" topLeftCell="A64" activePane="bottomLeft" state="frozen"/>
      <selection pane="bottomLeft" activeCell="L75" sqref="L75"/>
    </sheetView>
  </sheetViews>
  <sheetFormatPr defaultColWidth="9.140625" defaultRowHeight="15" zeroHeight="1"/>
  <cols>
    <col min="1" max="1" width="8.28515625" style="72" customWidth="1"/>
    <col min="2" max="2" width="20.28515625" style="72" customWidth="1"/>
    <col min="3" max="3" width="11.5703125" style="72" customWidth="1"/>
    <col min="4" max="4" width="4.85546875" style="72" customWidth="1"/>
    <col min="5" max="5" width="11.28515625" style="72" customWidth="1"/>
    <col min="6" max="6" width="21.85546875" style="72" customWidth="1"/>
    <col min="7" max="7" width="12.5703125" style="72" customWidth="1"/>
    <col min="8" max="8" width="36.7109375" style="72" customWidth="1"/>
    <col min="9" max="9" width="8.5703125" style="72" customWidth="1"/>
    <col min="10" max="10" width="16.42578125" style="73" customWidth="1"/>
    <col min="11" max="11" width="15.7109375" style="322" customWidth="1"/>
    <col min="12" max="12" width="15.140625" style="73" customWidth="1"/>
    <col min="13" max="13" width="46.42578125" style="73" customWidth="1"/>
    <col min="14" max="14" width="13.7109375" style="72" customWidth="1"/>
    <col min="15" max="19" width="9.140625" style="72" customWidth="1"/>
    <col min="20" max="20" width="46.5703125" style="72" customWidth="1"/>
    <col min="21" max="22" width="9.140625" style="72" customWidth="1"/>
    <col min="23" max="23" width="58.85546875" style="72" customWidth="1"/>
    <col min="24" max="24" width="9.140625" style="72"/>
    <col min="25" max="25" width="9.140625" style="286"/>
    <col min="26" max="16384" width="9.140625" style="72"/>
  </cols>
  <sheetData>
    <row r="1" spans="1:33" ht="35.25" customHeight="1">
      <c r="A1" s="399" t="s">
        <v>5253</v>
      </c>
      <c r="B1" s="399"/>
      <c r="C1" s="399"/>
      <c r="D1" s="399"/>
      <c r="E1" s="117" t="str">
        <f>IF(OR('OPĆI DIO'!C3="odaberite -",'OPĆI DIO'!C3=""),"Molimo odaberite proračunskog korisnika na radnom listu Opći podaci!","")</f>
        <v/>
      </c>
      <c r="L1" s="323" t="s">
        <v>5251</v>
      </c>
    </row>
    <row r="2" spans="1:33" ht="36" customHeight="1">
      <c r="A2" s="74" t="s">
        <v>38</v>
      </c>
      <c r="B2" s="74" t="s">
        <v>39</v>
      </c>
      <c r="C2" s="79" t="s">
        <v>658</v>
      </c>
      <c r="D2" s="74" t="s">
        <v>41</v>
      </c>
      <c r="E2" s="79" t="s">
        <v>656</v>
      </c>
      <c r="F2" s="74" t="s">
        <v>657</v>
      </c>
      <c r="G2" s="79" t="s">
        <v>659</v>
      </c>
      <c r="H2" s="74" t="s">
        <v>43</v>
      </c>
      <c r="I2" s="74" t="s">
        <v>5104</v>
      </c>
      <c r="J2" s="326" t="s">
        <v>5265</v>
      </c>
      <c r="K2" s="358" t="s">
        <v>5266</v>
      </c>
      <c r="L2" s="326" t="s">
        <v>5267</v>
      </c>
      <c r="M2" s="280" t="s">
        <v>5072</v>
      </c>
      <c r="O2" s="75" t="s">
        <v>636</v>
      </c>
      <c r="P2" s="75" t="s">
        <v>637</v>
      </c>
      <c r="Q2" s="219" t="s">
        <v>3529</v>
      </c>
      <c r="R2" s="219"/>
    </row>
    <row r="3" spans="1:33">
      <c r="A3" s="333" t="s">
        <v>44</v>
      </c>
      <c r="B3" s="70" t="s">
        <v>5268</v>
      </c>
      <c r="C3" s="82">
        <v>11</v>
      </c>
      <c r="D3" s="77" t="str">
        <f t="shared" ref="D3:D14" si="0">IFERROR(VLOOKUP(C3,$S$6:$T$24,2,FALSE),"")</f>
        <v>Opći prihodi i primici</v>
      </c>
      <c r="E3" s="82">
        <v>3111</v>
      </c>
      <c r="F3" s="77" t="str">
        <f t="shared" ref="F3:F36" si="1">IFERROR(VLOOKUP(E3,$V$5:$X$139,2,FALSE),"")</f>
        <v>Plaće za redovan rad</v>
      </c>
      <c r="G3" s="114" t="s">
        <v>61</v>
      </c>
      <c r="H3" s="77" t="str">
        <f t="shared" ref="H3:H66" si="2">IFERROR(VLOOKUP(G3,$AB$6:$AC$337,2,FALSE),"")</f>
        <v>REDOVNA DJELATNOST SVEUČILIŠTA U OSIJEKU</v>
      </c>
      <c r="I3" s="77" t="str">
        <f t="shared" ref="I3:I66" si="3">IFERROR(VLOOKUP(G3,$AB$6:$AF$337,3,FALSE),"")</f>
        <v>0942</v>
      </c>
      <c r="J3" s="371">
        <v>2254765</v>
      </c>
      <c r="K3" s="371">
        <f>L3-J3</f>
        <v>-726764</v>
      </c>
      <c r="L3" s="371">
        <v>1528001</v>
      </c>
      <c r="M3" s="81"/>
      <c r="O3" s="72" t="str">
        <f>LEFT(E3,3)</f>
        <v>311</v>
      </c>
      <c r="P3" s="72" t="str">
        <f>LEFT(E3,2)</f>
        <v>31</v>
      </c>
      <c r="Q3" s="72" t="e">
        <f>LEFT(#REF!,3)</f>
        <v>#REF!</v>
      </c>
      <c r="R3" s="72" t="str">
        <f>MID(I3,2,2)</f>
        <v>94</v>
      </c>
    </row>
    <row r="4" spans="1:33">
      <c r="A4" s="333" t="s">
        <v>44</v>
      </c>
      <c r="B4" s="70" t="s">
        <v>5268</v>
      </c>
      <c r="C4" s="82">
        <v>11</v>
      </c>
      <c r="D4" s="77" t="str">
        <f t="shared" si="0"/>
        <v>Opći prihodi i primici</v>
      </c>
      <c r="E4" s="82">
        <v>3114</v>
      </c>
      <c r="F4" s="77" t="str">
        <f t="shared" si="1"/>
        <v>Plaće za posebne uvjete rada</v>
      </c>
      <c r="G4" s="114" t="s">
        <v>61</v>
      </c>
      <c r="H4" s="77" t="str">
        <f t="shared" si="2"/>
        <v>REDOVNA DJELATNOST SVEUČILIŠTA U OSIJEKU</v>
      </c>
      <c r="I4" s="77" t="str">
        <f t="shared" si="3"/>
        <v>0942</v>
      </c>
      <c r="J4" s="371">
        <v>1802</v>
      </c>
      <c r="K4" s="371">
        <f t="shared" ref="K4:K69" si="4">L4-J4</f>
        <v>-1802</v>
      </c>
      <c r="L4" s="371">
        <v>0</v>
      </c>
      <c r="M4" s="81"/>
      <c r="O4" s="72" t="str">
        <f t="shared" ref="O4:O70" si="5">LEFT(E4,3)</f>
        <v>311</v>
      </c>
      <c r="P4" s="72" t="str">
        <f t="shared" ref="P4:P70" si="6">LEFT(E4,2)</f>
        <v>31</v>
      </c>
      <c r="Q4" s="72" t="e">
        <f>LEFT(#REF!,3)</f>
        <v>#REF!</v>
      </c>
      <c r="R4" s="72" t="str">
        <f t="shared" ref="R4:R70" si="7">MID(I4,2,2)</f>
        <v>94</v>
      </c>
      <c r="V4" s="78"/>
      <c r="W4" s="78"/>
    </row>
    <row r="5" spans="1:33">
      <c r="A5" s="333" t="s">
        <v>44</v>
      </c>
      <c r="B5" s="70" t="s">
        <v>5268</v>
      </c>
      <c r="C5" s="82">
        <v>11</v>
      </c>
      <c r="D5" s="77" t="str">
        <f t="shared" si="0"/>
        <v>Opći prihodi i primici</v>
      </c>
      <c r="E5" s="82">
        <v>3121</v>
      </c>
      <c r="F5" s="77" t="str">
        <f t="shared" si="1"/>
        <v>Ostali rashodi za zaposlene</v>
      </c>
      <c r="G5" s="114" t="s">
        <v>61</v>
      </c>
      <c r="H5" s="77" t="str">
        <f t="shared" si="2"/>
        <v>REDOVNA DJELATNOST SVEUČILIŠTA U OSIJEKU</v>
      </c>
      <c r="I5" s="77" t="str">
        <f t="shared" si="3"/>
        <v>0942</v>
      </c>
      <c r="J5" s="409">
        <v>70861</v>
      </c>
      <c r="K5" s="371">
        <f t="shared" si="4"/>
        <v>-15961</v>
      </c>
      <c r="L5" s="371">
        <f>60000-5100</f>
        <v>54900</v>
      </c>
      <c r="M5" s="81"/>
      <c r="O5" s="72" t="str">
        <f t="shared" si="5"/>
        <v>312</v>
      </c>
      <c r="P5" s="72" t="str">
        <f t="shared" si="6"/>
        <v>31</v>
      </c>
      <c r="Q5" s="72" t="e">
        <f>LEFT(#REF!,3)</f>
        <v>#REF!</v>
      </c>
      <c r="R5" s="72" t="str">
        <f t="shared" si="7"/>
        <v>94</v>
      </c>
      <c r="S5" s="72" t="s">
        <v>40</v>
      </c>
      <c r="T5" s="72" t="s">
        <v>41</v>
      </c>
      <c r="V5" s="72">
        <v>3111</v>
      </c>
      <c r="W5" s="72" t="s">
        <v>47</v>
      </c>
      <c r="Y5" s="286" t="str">
        <f>LEFT(V5,2)</f>
        <v>31</v>
      </c>
      <c r="Z5" s="72" t="str">
        <f>LEFT(V5,3)</f>
        <v>311</v>
      </c>
      <c r="AB5" s="72" t="s">
        <v>42</v>
      </c>
      <c r="AC5" s="72" t="s">
        <v>43</v>
      </c>
    </row>
    <row r="6" spans="1:33">
      <c r="A6" s="333" t="s">
        <v>44</v>
      </c>
      <c r="B6" s="70" t="s">
        <v>5268</v>
      </c>
      <c r="C6" s="82">
        <v>11</v>
      </c>
      <c r="D6" s="77" t="str">
        <f t="shared" si="0"/>
        <v>Opći prihodi i primici</v>
      </c>
      <c r="E6" s="82">
        <v>3132</v>
      </c>
      <c r="F6" s="77" t="str">
        <f t="shared" si="1"/>
        <v>Doprinosi za obvezno zdravstveno osiguranje</v>
      </c>
      <c r="G6" s="114" t="s">
        <v>61</v>
      </c>
      <c r="H6" s="77" t="str">
        <f t="shared" si="2"/>
        <v>REDOVNA DJELATNOST SVEUČILIŠTA U OSIJEKU</v>
      </c>
      <c r="I6" s="77" t="str">
        <f t="shared" si="3"/>
        <v>0942</v>
      </c>
      <c r="J6" s="371">
        <v>363351</v>
      </c>
      <c r="K6" s="371">
        <f t="shared" si="4"/>
        <v>-103351</v>
      </c>
      <c r="L6" s="371">
        <v>260000</v>
      </c>
      <c r="M6" s="81"/>
      <c r="O6" s="72" t="str">
        <f t="shared" si="5"/>
        <v>313</v>
      </c>
      <c r="P6" s="72" t="str">
        <f t="shared" si="6"/>
        <v>31</v>
      </c>
      <c r="Q6" s="72" t="e">
        <f>LEFT(#REF!,3)</f>
        <v>#REF!</v>
      </c>
      <c r="R6" s="72" t="str">
        <f t="shared" si="7"/>
        <v>94</v>
      </c>
      <c r="S6" s="72">
        <v>11</v>
      </c>
      <c r="T6" s="72" t="s">
        <v>46</v>
      </c>
      <c r="V6" s="72">
        <v>3112</v>
      </c>
      <c r="W6" s="72" t="s">
        <v>146</v>
      </c>
      <c r="Y6" s="286" t="str">
        <f>LEFT(V6,2)</f>
        <v>31</v>
      </c>
      <c r="Z6" s="72" t="str">
        <f>LEFT(V6,3)</f>
        <v>311</v>
      </c>
      <c r="AB6" s="72" t="s">
        <v>1233</v>
      </c>
      <c r="AC6" s="72" t="s">
        <v>1233</v>
      </c>
      <c r="AD6" s="72" t="s">
        <v>1233</v>
      </c>
      <c r="AE6" s="72" t="s">
        <v>1233</v>
      </c>
      <c r="AF6" s="72" t="s">
        <v>1233</v>
      </c>
      <c r="AG6" s="72" t="s">
        <v>1233</v>
      </c>
    </row>
    <row r="7" spans="1:33">
      <c r="A7" s="333" t="s">
        <v>44</v>
      </c>
      <c r="B7" s="70" t="s">
        <v>5268</v>
      </c>
      <c r="C7" s="82">
        <v>11</v>
      </c>
      <c r="D7" s="77" t="str">
        <f t="shared" si="0"/>
        <v>Opći prihodi i primici</v>
      </c>
      <c r="E7" s="82">
        <v>3212</v>
      </c>
      <c r="F7" s="77" t="str">
        <f t="shared" si="1"/>
        <v>Naknade za prijevoz, za rad na terenu i odvojeni život</v>
      </c>
      <c r="G7" s="114" t="s">
        <v>61</v>
      </c>
      <c r="H7" s="77" t="str">
        <f t="shared" si="2"/>
        <v>REDOVNA DJELATNOST SVEUČILIŠTA U OSIJEKU</v>
      </c>
      <c r="I7" s="77" t="str">
        <f t="shared" si="3"/>
        <v>0942</v>
      </c>
      <c r="J7" s="409">
        <v>57069</v>
      </c>
      <c r="K7" s="371">
        <f t="shared" si="4"/>
        <v>-5000</v>
      </c>
      <c r="L7" s="371">
        <v>52069</v>
      </c>
      <c r="M7" s="81"/>
      <c r="O7" s="72" t="str">
        <f t="shared" si="5"/>
        <v>321</v>
      </c>
      <c r="P7" s="72" t="str">
        <f t="shared" si="6"/>
        <v>32</v>
      </c>
      <c r="Q7" s="72" t="e">
        <f>LEFT(#REF!,3)</f>
        <v>#REF!</v>
      </c>
      <c r="R7" s="72" t="str">
        <f t="shared" si="7"/>
        <v>94</v>
      </c>
      <c r="S7" s="72">
        <v>12</v>
      </c>
      <c r="T7" s="72" t="s">
        <v>232</v>
      </c>
      <c r="V7" s="72">
        <v>3113</v>
      </c>
      <c r="W7" s="72" t="s">
        <v>125</v>
      </c>
      <c r="Y7" s="286" t="str">
        <f>LEFT(V7,2)</f>
        <v>31</v>
      </c>
      <c r="Z7" s="72" t="str">
        <f>LEFT(V7,3)</f>
        <v>311</v>
      </c>
      <c r="AB7" t="s">
        <v>1789</v>
      </c>
      <c r="AC7" t="s">
        <v>1790</v>
      </c>
      <c r="AD7" s="72" t="s">
        <v>5139</v>
      </c>
      <c r="AE7" s="72" t="s">
        <v>5140</v>
      </c>
      <c r="AF7" s="72" t="s">
        <v>5165</v>
      </c>
      <c r="AG7" s="72" t="s">
        <v>5172</v>
      </c>
    </row>
    <row r="8" spans="1:33">
      <c r="A8" s="333" t="s">
        <v>44</v>
      </c>
      <c r="B8" s="70" t="s">
        <v>5268</v>
      </c>
      <c r="C8" s="82">
        <v>11</v>
      </c>
      <c r="D8" s="77" t="str">
        <f t="shared" si="0"/>
        <v>Opći prihodi i primici</v>
      </c>
      <c r="E8" s="82">
        <v>3236</v>
      </c>
      <c r="F8" s="77" t="str">
        <f t="shared" si="1"/>
        <v>Zdravstvene i veterinarske usluge</v>
      </c>
      <c r="G8" s="114" t="s">
        <v>61</v>
      </c>
      <c r="H8" s="77" t="str">
        <f t="shared" si="2"/>
        <v>REDOVNA DJELATNOST SVEUČILIŠTA U OSIJEKU</v>
      </c>
      <c r="I8" s="77" t="str">
        <f t="shared" si="3"/>
        <v>0942</v>
      </c>
      <c r="J8" s="371">
        <v>2963</v>
      </c>
      <c r="K8" s="371">
        <f t="shared" si="4"/>
        <v>7037</v>
      </c>
      <c r="L8" s="371">
        <v>10000</v>
      </c>
      <c r="M8" s="81"/>
      <c r="O8" s="72" t="str">
        <f t="shared" si="5"/>
        <v>323</v>
      </c>
      <c r="P8" s="72" t="str">
        <f t="shared" si="6"/>
        <v>32</v>
      </c>
      <c r="Q8" s="72" t="e">
        <f>LEFT(#REF!,3)</f>
        <v>#REF!</v>
      </c>
      <c r="R8" s="72" t="str">
        <f t="shared" si="7"/>
        <v>94</v>
      </c>
      <c r="S8" s="72">
        <v>31</v>
      </c>
      <c r="T8" s="72" t="s">
        <v>91</v>
      </c>
      <c r="V8" s="72">
        <v>3114</v>
      </c>
      <c r="W8" s="72" t="s">
        <v>147</v>
      </c>
      <c r="Y8" s="286" t="str">
        <f>LEFT(V8,2)</f>
        <v>31</v>
      </c>
      <c r="Z8" s="72" t="str">
        <f>LEFT(V8,3)</f>
        <v>311</v>
      </c>
      <c r="AB8" t="s">
        <v>1791</v>
      </c>
      <c r="AC8" t="s">
        <v>1792</v>
      </c>
      <c r="AD8" s="72" t="s">
        <v>5141</v>
      </c>
      <c r="AE8" s="72" t="s">
        <v>5142</v>
      </c>
      <c r="AF8" s="72" t="s">
        <v>5167</v>
      </c>
      <c r="AG8" s="72" t="s">
        <v>5168</v>
      </c>
    </row>
    <row r="9" spans="1:33">
      <c r="A9" s="333" t="s">
        <v>44</v>
      </c>
      <c r="B9" s="70" t="s">
        <v>5268</v>
      </c>
      <c r="C9" s="82">
        <v>11</v>
      </c>
      <c r="D9" s="77" t="str">
        <f t="shared" si="0"/>
        <v>Opći prihodi i primici</v>
      </c>
      <c r="E9" s="82">
        <v>3295</v>
      </c>
      <c r="F9" s="77" t="str">
        <f t="shared" si="1"/>
        <v>Pristojbe i naknade</v>
      </c>
      <c r="G9" s="114" t="s">
        <v>61</v>
      </c>
      <c r="H9" s="77" t="str">
        <f t="shared" si="2"/>
        <v>REDOVNA DJELATNOST SVEUČILIŠTA U OSIJEKU</v>
      </c>
      <c r="I9" s="77" t="str">
        <f t="shared" si="3"/>
        <v>0942</v>
      </c>
      <c r="J9" s="371">
        <v>7674</v>
      </c>
      <c r="K9" s="371">
        <f t="shared" si="4"/>
        <v>-2574</v>
      </c>
      <c r="L9" s="371">
        <v>5100</v>
      </c>
      <c r="M9" s="81"/>
      <c r="O9" s="72" t="str">
        <f t="shared" si="5"/>
        <v>329</v>
      </c>
      <c r="P9" s="72" t="str">
        <f t="shared" si="6"/>
        <v>32</v>
      </c>
      <c r="Q9" s="72" t="e">
        <f>LEFT(#REF!,3)</f>
        <v>#REF!</v>
      </c>
      <c r="R9" s="72" t="str">
        <f t="shared" si="7"/>
        <v>94</v>
      </c>
      <c r="S9">
        <v>41</v>
      </c>
      <c r="T9" t="s">
        <v>1208</v>
      </c>
      <c r="V9" s="72">
        <v>3121</v>
      </c>
      <c r="W9" s="72" t="s">
        <v>50</v>
      </c>
      <c r="Y9" s="286" t="str">
        <f>LEFT(V9,2)</f>
        <v>31</v>
      </c>
      <c r="Z9" s="72" t="str">
        <f>LEFT(V9,3)</f>
        <v>312</v>
      </c>
      <c r="AB9" t="s">
        <v>1793</v>
      </c>
      <c r="AC9" t="s">
        <v>1794</v>
      </c>
      <c r="AD9" s="72" t="s">
        <v>5143</v>
      </c>
      <c r="AE9" s="72" t="s">
        <v>5144</v>
      </c>
      <c r="AF9" s="72" t="s">
        <v>5165</v>
      </c>
      <c r="AG9" s="72" t="s">
        <v>5175</v>
      </c>
    </row>
    <row r="10" spans="1:33">
      <c r="A10" s="333" t="s">
        <v>44</v>
      </c>
      <c r="B10" s="70" t="s">
        <v>5268</v>
      </c>
      <c r="C10" s="82">
        <v>11</v>
      </c>
      <c r="D10" s="77" t="str">
        <f t="shared" si="0"/>
        <v>Opći prihodi i primici</v>
      </c>
      <c r="E10" s="82">
        <v>3811</v>
      </c>
      <c r="F10" s="77" t="str">
        <f t="shared" si="1"/>
        <v>Tekuće donacije u novcu</v>
      </c>
      <c r="G10" s="114" t="s">
        <v>61</v>
      </c>
      <c r="H10" s="77" t="str">
        <f t="shared" si="2"/>
        <v>REDOVNA DJELATNOST SVEUČILIŠTA U OSIJEKU</v>
      </c>
      <c r="I10" s="77" t="str">
        <f t="shared" si="3"/>
        <v>0942</v>
      </c>
      <c r="J10" s="351">
        <v>94001</v>
      </c>
      <c r="K10" s="371">
        <f t="shared" si="4"/>
        <v>-18989</v>
      </c>
      <c r="L10" s="371">
        <v>75012</v>
      </c>
      <c r="M10" s="81"/>
      <c r="O10" s="72" t="str">
        <f t="shared" si="5"/>
        <v>381</v>
      </c>
      <c r="P10" s="72" t="str">
        <f t="shared" si="6"/>
        <v>38</v>
      </c>
      <c r="Q10" s="72" t="e">
        <f>LEFT(#REF!,3)</f>
        <v>#REF!</v>
      </c>
      <c r="R10" s="72" t="str">
        <f t="shared" si="7"/>
        <v>94</v>
      </c>
      <c r="S10" s="72">
        <v>43</v>
      </c>
      <c r="T10" s="72" t="s">
        <v>96</v>
      </c>
      <c r="V10" s="121">
        <v>3132</v>
      </c>
      <c r="W10" s="121" t="s">
        <v>51</v>
      </c>
      <c r="X10" s="121"/>
      <c r="Y10" s="286" t="str">
        <f t="shared" ref="Y10:Y42" si="8">LEFT(V10,2)</f>
        <v>31</v>
      </c>
      <c r="Z10" s="121" t="str">
        <f t="shared" ref="Z10:Z42" si="9">LEFT(V10,3)</f>
        <v>313</v>
      </c>
      <c r="AB10" t="s">
        <v>1617</v>
      </c>
      <c r="AC10" t="s">
        <v>1618</v>
      </c>
      <c r="AD10" s="72" t="s">
        <v>5143</v>
      </c>
      <c r="AE10" s="72" t="s">
        <v>5144</v>
      </c>
      <c r="AF10" s="72" t="s">
        <v>5165</v>
      </c>
      <c r="AG10" s="72" t="s">
        <v>5175</v>
      </c>
    </row>
    <row r="11" spans="1:33">
      <c r="A11" s="333" t="s">
        <v>44</v>
      </c>
      <c r="B11" s="70" t="s">
        <v>5268</v>
      </c>
      <c r="C11" s="82">
        <v>11</v>
      </c>
      <c r="D11" s="77" t="str">
        <f t="shared" si="0"/>
        <v>Opći prihodi i primici</v>
      </c>
      <c r="E11" s="82">
        <v>3111</v>
      </c>
      <c r="F11" s="77" t="str">
        <f t="shared" si="1"/>
        <v>Plaće za redovan rad</v>
      </c>
      <c r="G11" s="114" t="s">
        <v>1873</v>
      </c>
      <c r="H11" s="77" t="str">
        <f t="shared" si="2"/>
        <v>PRAVOMOĆNE SUDSKE PRESUDE</v>
      </c>
      <c r="I11" s="77" t="str">
        <f t="shared" si="3"/>
        <v>0942</v>
      </c>
      <c r="J11" s="371">
        <v>16256</v>
      </c>
      <c r="K11" s="371">
        <f t="shared" si="4"/>
        <v>33744</v>
      </c>
      <c r="L11" s="371">
        <v>50000</v>
      </c>
      <c r="M11" s="81"/>
      <c r="O11" s="72" t="str">
        <f t="shared" si="5"/>
        <v>311</v>
      </c>
      <c r="P11" s="72" t="str">
        <f t="shared" si="6"/>
        <v>31</v>
      </c>
      <c r="Q11" s="72" t="e">
        <f>LEFT(#REF!,3)</f>
        <v>#REF!</v>
      </c>
      <c r="R11" s="72" t="str">
        <f t="shared" si="7"/>
        <v>94</v>
      </c>
      <c r="S11" s="72">
        <v>51</v>
      </c>
      <c r="T11" s="72" t="s">
        <v>86</v>
      </c>
      <c r="V11" s="72">
        <v>3211</v>
      </c>
      <c r="W11" s="72" t="s">
        <v>78</v>
      </c>
      <c r="Y11" s="286" t="str">
        <f t="shared" si="8"/>
        <v>32</v>
      </c>
      <c r="Z11" s="72" t="str">
        <f t="shared" si="9"/>
        <v>321</v>
      </c>
      <c r="AB11" t="s">
        <v>1617</v>
      </c>
      <c r="AC11" t="s">
        <v>1618</v>
      </c>
      <c r="AD11" s="72" t="s">
        <v>5145</v>
      </c>
      <c r="AE11" s="72" t="s">
        <v>5146</v>
      </c>
      <c r="AF11" s="72" t="s">
        <v>5165</v>
      </c>
      <c r="AG11" s="72" t="s">
        <v>5174</v>
      </c>
    </row>
    <row r="12" spans="1:33">
      <c r="A12" s="333" t="s">
        <v>44</v>
      </c>
      <c r="B12" s="70" t="s">
        <v>5268</v>
      </c>
      <c r="C12" s="82">
        <v>11</v>
      </c>
      <c r="D12" s="77" t="str">
        <f t="shared" si="0"/>
        <v>Opći prihodi i primici</v>
      </c>
      <c r="E12" s="82">
        <v>3111</v>
      </c>
      <c r="F12" s="77" t="str">
        <f t="shared" si="1"/>
        <v>Plaće za redovan rad</v>
      </c>
      <c r="G12" s="114" t="s">
        <v>672</v>
      </c>
      <c r="H12" s="77" t="str">
        <f t="shared" si="2"/>
        <v>PROGRAMSKO FINANCIRANJE JAVNIH VISOKIH UČILIŠTA</v>
      </c>
      <c r="I12" s="77" t="str">
        <f t="shared" si="3"/>
        <v>0942</v>
      </c>
      <c r="J12" s="371">
        <v>91864</v>
      </c>
      <c r="K12" s="371">
        <f t="shared" si="4"/>
        <v>-88864</v>
      </c>
      <c r="L12" s="371">
        <v>3000</v>
      </c>
      <c r="M12" s="81"/>
      <c r="O12" s="72" t="str">
        <f t="shared" si="5"/>
        <v>311</v>
      </c>
      <c r="P12" s="72" t="str">
        <f t="shared" si="6"/>
        <v>31</v>
      </c>
      <c r="Q12" s="72" t="e">
        <f>LEFT(#REF!,3)</f>
        <v>#REF!</v>
      </c>
      <c r="R12" s="72" t="str">
        <f t="shared" si="7"/>
        <v>94</v>
      </c>
      <c r="S12" s="72">
        <v>52</v>
      </c>
      <c r="T12" s="72" t="s">
        <v>109</v>
      </c>
      <c r="V12" s="72">
        <v>3212</v>
      </c>
      <c r="W12" s="72" t="s">
        <v>52</v>
      </c>
      <c r="Y12" s="286" t="str">
        <f t="shared" si="8"/>
        <v>32</v>
      </c>
      <c r="Z12" s="72" t="str">
        <f t="shared" si="9"/>
        <v>321</v>
      </c>
      <c r="AB12" t="s">
        <v>1619</v>
      </c>
      <c r="AC12" t="s">
        <v>1620</v>
      </c>
      <c r="AD12" s="72" t="s">
        <v>5143</v>
      </c>
      <c r="AE12" s="72" t="s">
        <v>5144</v>
      </c>
      <c r="AF12" s="72" t="s">
        <v>5165</v>
      </c>
      <c r="AG12" s="72" t="s">
        <v>5175</v>
      </c>
    </row>
    <row r="13" spans="1:33">
      <c r="A13" s="333" t="s">
        <v>44</v>
      </c>
      <c r="B13" s="70" t="s">
        <v>5268</v>
      </c>
      <c r="C13" s="82">
        <v>11</v>
      </c>
      <c r="D13" s="77" t="str">
        <f t="shared" si="0"/>
        <v>Opći prihodi i primici</v>
      </c>
      <c r="E13" s="82">
        <v>3113</v>
      </c>
      <c r="F13" s="77" t="str">
        <f t="shared" si="1"/>
        <v>Plaće za prekovremeni rad</v>
      </c>
      <c r="G13" s="114" t="s">
        <v>672</v>
      </c>
      <c r="H13" s="77" t="str">
        <f t="shared" si="2"/>
        <v>PROGRAMSKO FINANCIRANJE JAVNIH VISOKIH UČILIŠTA</v>
      </c>
      <c r="I13" s="77" t="str">
        <f t="shared" si="3"/>
        <v>0942</v>
      </c>
      <c r="J13" s="409">
        <v>1238</v>
      </c>
      <c r="K13" s="371">
        <f t="shared" si="4"/>
        <v>3762</v>
      </c>
      <c r="L13" s="371">
        <v>5000</v>
      </c>
      <c r="M13" s="81"/>
      <c r="O13" s="72" t="str">
        <f t="shared" si="5"/>
        <v>311</v>
      </c>
      <c r="P13" s="72" t="str">
        <f t="shared" si="6"/>
        <v>31</v>
      </c>
      <c r="Q13" s="72" t="e">
        <f>LEFT(#REF!,3)</f>
        <v>#REF!</v>
      </c>
      <c r="R13" s="72" t="str">
        <f t="shared" si="7"/>
        <v>94</v>
      </c>
      <c r="S13">
        <v>552</v>
      </c>
      <c r="T13" t="s">
        <v>1209</v>
      </c>
      <c r="V13" s="72">
        <v>3213</v>
      </c>
      <c r="W13" s="72" t="s">
        <v>97</v>
      </c>
      <c r="Y13" s="286" t="str">
        <f t="shared" si="8"/>
        <v>32</v>
      </c>
      <c r="Z13" s="72" t="str">
        <f t="shared" si="9"/>
        <v>321</v>
      </c>
      <c r="AB13" t="s">
        <v>1795</v>
      </c>
      <c r="AC13" t="s">
        <v>1796</v>
      </c>
      <c r="AD13" s="72" t="s">
        <v>5143</v>
      </c>
      <c r="AE13" s="72" t="s">
        <v>5144</v>
      </c>
      <c r="AF13" s="72" t="s">
        <v>5165</v>
      </c>
      <c r="AG13" s="72" t="s">
        <v>5175</v>
      </c>
    </row>
    <row r="14" spans="1:33">
      <c r="A14" s="333" t="s">
        <v>44</v>
      </c>
      <c r="B14" s="70" t="s">
        <v>5268</v>
      </c>
      <c r="C14" s="82">
        <v>11</v>
      </c>
      <c r="D14" s="77" t="str">
        <f t="shared" si="0"/>
        <v>Opći prihodi i primici</v>
      </c>
      <c r="E14" s="82">
        <v>3121</v>
      </c>
      <c r="F14" s="77" t="str">
        <f t="shared" si="1"/>
        <v>Ostali rashodi za zaposlene</v>
      </c>
      <c r="G14" s="114" t="s">
        <v>672</v>
      </c>
      <c r="H14" s="77" t="str">
        <f t="shared" si="2"/>
        <v>PROGRAMSKO FINANCIRANJE JAVNIH VISOKIH UČILIŠTA</v>
      </c>
      <c r="I14" s="77" t="str">
        <f t="shared" si="3"/>
        <v>0942</v>
      </c>
      <c r="J14" s="409">
        <v>150853</v>
      </c>
      <c r="K14" s="371">
        <f t="shared" si="4"/>
        <v>-50853</v>
      </c>
      <c r="L14" s="371">
        <v>100000</v>
      </c>
      <c r="M14" s="81"/>
      <c r="O14" s="72" t="str">
        <f t="shared" si="5"/>
        <v>312</v>
      </c>
      <c r="P14" s="72" t="str">
        <f t="shared" si="6"/>
        <v>31</v>
      </c>
      <c r="Q14" s="72" t="e">
        <f>LEFT(#REF!,3)</f>
        <v>#REF!</v>
      </c>
      <c r="R14" s="72" t="str">
        <f t="shared" si="7"/>
        <v>94</v>
      </c>
      <c r="S14">
        <v>559</v>
      </c>
      <c r="T14" t="s">
        <v>1210</v>
      </c>
      <c r="V14" s="72">
        <v>3214</v>
      </c>
      <c r="W14" s="72" t="s">
        <v>126</v>
      </c>
      <c r="Y14" s="286" t="str">
        <f t="shared" si="8"/>
        <v>32</v>
      </c>
      <c r="Z14" s="72" t="str">
        <f t="shared" si="9"/>
        <v>321</v>
      </c>
      <c r="AB14" t="s">
        <v>1797</v>
      </c>
      <c r="AC14" t="s">
        <v>1798</v>
      </c>
      <c r="AD14" s="72" t="s">
        <v>5147</v>
      </c>
      <c r="AE14" s="72" t="s">
        <v>5148</v>
      </c>
      <c r="AF14" s="72" t="s">
        <v>5165</v>
      </c>
      <c r="AG14" s="72" t="s">
        <v>5173</v>
      </c>
    </row>
    <row r="15" spans="1:33">
      <c r="A15" s="333" t="s">
        <v>44</v>
      </c>
      <c r="B15" s="70" t="s">
        <v>5268</v>
      </c>
      <c r="C15" s="82">
        <v>11</v>
      </c>
      <c r="D15" s="77" t="str">
        <f t="shared" ref="D15:D81" si="10">IFERROR(VLOOKUP(C15,$S$6:$T$24,2,FALSE),"")</f>
        <v>Opći prihodi i primici</v>
      </c>
      <c r="E15" s="82">
        <v>3132</v>
      </c>
      <c r="F15" s="77" t="str">
        <f t="shared" si="1"/>
        <v>Doprinosi za obvezno zdravstveno osiguranje</v>
      </c>
      <c r="G15" s="114" t="s">
        <v>672</v>
      </c>
      <c r="H15" s="77" t="str">
        <f t="shared" si="2"/>
        <v>PROGRAMSKO FINANCIRANJE JAVNIH VISOKIH UČILIŠTA</v>
      </c>
      <c r="I15" s="77" t="str">
        <f t="shared" si="3"/>
        <v>0942</v>
      </c>
      <c r="J15" s="409">
        <v>9551</v>
      </c>
      <c r="K15" s="371">
        <f t="shared" si="4"/>
        <v>0</v>
      </c>
      <c r="L15" s="371">
        <v>9551</v>
      </c>
      <c r="M15" s="81"/>
      <c r="O15" s="72" t="str">
        <f t="shared" si="5"/>
        <v>313</v>
      </c>
      <c r="P15" s="72" t="str">
        <f t="shared" si="6"/>
        <v>31</v>
      </c>
      <c r="Q15" s="72" t="e">
        <f>LEFT(#REF!,3)</f>
        <v>#REF!</v>
      </c>
      <c r="R15" s="72" t="str">
        <f t="shared" si="7"/>
        <v>94</v>
      </c>
      <c r="S15" s="72">
        <v>561</v>
      </c>
      <c r="T15" s="72" t="s">
        <v>111</v>
      </c>
      <c r="V15" s="72">
        <v>3221</v>
      </c>
      <c r="W15" s="72" t="s">
        <v>79</v>
      </c>
      <c r="Y15" s="286" t="str">
        <f t="shared" si="8"/>
        <v>32</v>
      </c>
      <c r="Z15" s="72" t="str">
        <f t="shared" si="9"/>
        <v>322</v>
      </c>
      <c r="AB15" t="s">
        <v>1799</v>
      </c>
      <c r="AC15" t="s">
        <v>1800</v>
      </c>
      <c r="AD15" s="72" t="s">
        <v>5139</v>
      </c>
      <c r="AE15" s="72" t="s">
        <v>5140</v>
      </c>
      <c r="AF15" s="72" t="s">
        <v>5165</v>
      </c>
      <c r="AG15" s="72" t="s">
        <v>5172</v>
      </c>
    </row>
    <row r="16" spans="1:33">
      <c r="A16" s="333" t="s">
        <v>44</v>
      </c>
      <c r="B16" s="70" t="s">
        <v>5268</v>
      </c>
      <c r="C16" s="82">
        <v>11</v>
      </c>
      <c r="D16" s="77" t="str">
        <f t="shared" si="10"/>
        <v>Opći prihodi i primici</v>
      </c>
      <c r="E16" s="82">
        <v>3211</v>
      </c>
      <c r="F16" s="77" t="str">
        <f t="shared" si="1"/>
        <v>Službena putovanja</v>
      </c>
      <c r="G16" s="114" t="s">
        <v>672</v>
      </c>
      <c r="H16" s="77" t="str">
        <f t="shared" si="2"/>
        <v>PROGRAMSKO FINANCIRANJE JAVNIH VISOKIH UČILIŠTA</v>
      </c>
      <c r="I16" s="77" t="str">
        <f t="shared" si="3"/>
        <v>0942</v>
      </c>
      <c r="J16" s="371">
        <v>30899</v>
      </c>
      <c r="K16" s="371">
        <f t="shared" si="4"/>
        <v>16179</v>
      </c>
      <c r="L16" s="371">
        <f>47018+60</f>
        <v>47078</v>
      </c>
      <c r="M16" s="81"/>
      <c r="O16" s="72" t="str">
        <f t="shared" si="5"/>
        <v>321</v>
      </c>
      <c r="P16" s="72" t="str">
        <f t="shared" si="6"/>
        <v>32</v>
      </c>
      <c r="Q16" s="72" t="e">
        <f>LEFT(#REF!,3)</f>
        <v>#REF!</v>
      </c>
      <c r="R16" s="72" t="str">
        <f t="shared" si="7"/>
        <v>94</v>
      </c>
      <c r="S16" s="72">
        <v>563</v>
      </c>
      <c r="T16" s="72" t="s">
        <v>113</v>
      </c>
      <c r="V16" s="72">
        <v>3222</v>
      </c>
      <c r="W16" s="72" t="s">
        <v>100</v>
      </c>
      <c r="Y16" s="286" t="str">
        <f t="shared" si="8"/>
        <v>32</v>
      </c>
      <c r="Z16" s="72" t="str">
        <f t="shared" si="9"/>
        <v>322</v>
      </c>
      <c r="AB16" t="s">
        <v>944</v>
      </c>
      <c r="AC16" t="s">
        <v>945</v>
      </c>
      <c r="AD16" s="72" t="s">
        <v>5149</v>
      </c>
      <c r="AE16" s="72" t="s">
        <v>5150</v>
      </c>
      <c r="AF16" s="72" t="s">
        <v>5166</v>
      </c>
      <c r="AG16" s="72" t="s">
        <v>5171</v>
      </c>
    </row>
    <row r="17" spans="1:33">
      <c r="A17" s="333" t="s">
        <v>44</v>
      </c>
      <c r="B17" s="70" t="s">
        <v>5268</v>
      </c>
      <c r="C17" s="82">
        <v>11</v>
      </c>
      <c r="D17" s="77" t="str">
        <f t="shared" si="10"/>
        <v>Opći prihodi i primici</v>
      </c>
      <c r="E17" s="82">
        <v>3213</v>
      </c>
      <c r="F17" s="77" t="str">
        <f t="shared" si="1"/>
        <v>Stručno usavršavanje zaposlenika</v>
      </c>
      <c r="G17" s="114" t="s">
        <v>672</v>
      </c>
      <c r="H17" s="77" t="str">
        <f t="shared" si="2"/>
        <v>PROGRAMSKO FINANCIRANJE JAVNIH VISOKIH UČILIŠTA</v>
      </c>
      <c r="I17" s="77" t="str">
        <f t="shared" si="3"/>
        <v>0942</v>
      </c>
      <c r="J17" s="371">
        <v>2922</v>
      </c>
      <c r="K17" s="371">
        <f t="shared" si="4"/>
        <v>0</v>
      </c>
      <c r="L17" s="371">
        <v>2922</v>
      </c>
      <c r="M17" s="81"/>
      <c r="O17" s="72" t="str">
        <f t="shared" si="5"/>
        <v>321</v>
      </c>
      <c r="P17" s="72" t="str">
        <f t="shared" si="6"/>
        <v>32</v>
      </c>
      <c r="Q17" s="72" t="e">
        <f>LEFT(#REF!,3)</f>
        <v>#REF!</v>
      </c>
      <c r="R17" s="72" t="str">
        <f t="shared" si="7"/>
        <v>94</v>
      </c>
      <c r="S17" s="72">
        <v>573</v>
      </c>
      <c r="T17" t="s">
        <v>1220</v>
      </c>
      <c r="V17" s="72">
        <v>3223</v>
      </c>
      <c r="W17" s="72" t="s">
        <v>88</v>
      </c>
      <c r="Y17" s="286" t="str">
        <f t="shared" si="8"/>
        <v>32</v>
      </c>
      <c r="Z17" s="72" t="str">
        <f t="shared" si="9"/>
        <v>322</v>
      </c>
      <c r="AB17" t="s">
        <v>1621</v>
      </c>
      <c r="AC17" t="s">
        <v>1622</v>
      </c>
      <c r="AD17" s="72" t="s">
        <v>5143</v>
      </c>
      <c r="AE17" s="72" t="s">
        <v>5144</v>
      </c>
      <c r="AF17" s="72" t="s">
        <v>5165</v>
      </c>
      <c r="AG17" s="72" t="s">
        <v>5175</v>
      </c>
    </row>
    <row r="18" spans="1:33">
      <c r="A18" s="333" t="s">
        <v>44</v>
      </c>
      <c r="B18" s="70" t="s">
        <v>5268</v>
      </c>
      <c r="C18" s="82">
        <v>11</v>
      </c>
      <c r="D18" s="77" t="str">
        <f t="shared" si="10"/>
        <v>Opći prihodi i primici</v>
      </c>
      <c r="E18" s="82">
        <v>3221</v>
      </c>
      <c r="F18" s="77" t="str">
        <f t="shared" si="1"/>
        <v>Uredski materijal i ostali materijalni rashodi</v>
      </c>
      <c r="G18" s="114" t="s">
        <v>672</v>
      </c>
      <c r="H18" s="77" t="str">
        <f t="shared" si="2"/>
        <v>PROGRAMSKO FINANCIRANJE JAVNIH VISOKIH UČILIŠTA</v>
      </c>
      <c r="I18" s="77" t="str">
        <f t="shared" si="3"/>
        <v>0942</v>
      </c>
      <c r="J18" s="371">
        <v>32036</v>
      </c>
      <c r="K18" s="371">
        <f t="shared" si="4"/>
        <v>0</v>
      </c>
      <c r="L18" s="371">
        <v>32036</v>
      </c>
      <c r="M18" s="81"/>
      <c r="O18" s="72" t="str">
        <f t="shared" si="5"/>
        <v>322</v>
      </c>
      <c r="P18" s="72" t="str">
        <f t="shared" si="6"/>
        <v>32</v>
      </c>
      <c r="Q18" s="72" t="e">
        <f>LEFT(#REF!,3)</f>
        <v>#REF!</v>
      </c>
      <c r="R18" s="72" t="str">
        <f t="shared" si="7"/>
        <v>94</v>
      </c>
      <c r="S18">
        <v>575</v>
      </c>
      <c r="T18" t="s">
        <v>1222</v>
      </c>
      <c r="V18" s="72">
        <v>3224</v>
      </c>
      <c r="W18" s="72" t="s">
        <v>93</v>
      </c>
      <c r="Y18" s="286" t="str">
        <f t="shared" si="8"/>
        <v>32</v>
      </c>
      <c r="Z18" s="72" t="str">
        <f t="shared" si="9"/>
        <v>322</v>
      </c>
      <c r="AB18" t="s">
        <v>946</v>
      </c>
      <c r="AC18" t="s">
        <v>947</v>
      </c>
      <c r="AD18" s="72" t="s">
        <v>5143</v>
      </c>
      <c r="AE18" s="72" t="s">
        <v>5144</v>
      </c>
      <c r="AF18" s="72" t="s">
        <v>5165</v>
      </c>
      <c r="AG18" s="72" t="s">
        <v>5175</v>
      </c>
    </row>
    <row r="19" spans="1:33">
      <c r="A19" s="333" t="s">
        <v>44</v>
      </c>
      <c r="B19" s="70" t="s">
        <v>5268</v>
      </c>
      <c r="C19" s="82">
        <v>11</v>
      </c>
      <c r="D19" s="77" t="str">
        <f t="shared" si="10"/>
        <v>Opći prihodi i primici</v>
      </c>
      <c r="E19" s="82">
        <v>3223</v>
      </c>
      <c r="F19" s="77" t="str">
        <f t="shared" si="1"/>
        <v>Energija</v>
      </c>
      <c r="G19" s="114" t="s">
        <v>672</v>
      </c>
      <c r="H19" s="77" t="str">
        <f t="shared" si="2"/>
        <v>PROGRAMSKO FINANCIRANJE JAVNIH VISOKIH UČILIŠTA</v>
      </c>
      <c r="I19" s="77" t="str">
        <f t="shared" si="3"/>
        <v>0942</v>
      </c>
      <c r="J19" s="371">
        <v>276355</v>
      </c>
      <c r="K19" s="371">
        <f t="shared" si="4"/>
        <v>-186355</v>
      </c>
      <c r="L19" s="371">
        <v>90000</v>
      </c>
      <c r="M19" s="81"/>
      <c r="O19" s="72" t="str">
        <f t="shared" si="5"/>
        <v>322</v>
      </c>
      <c r="P19" s="72" t="str">
        <f t="shared" si="6"/>
        <v>32</v>
      </c>
      <c r="Q19" s="72" t="e">
        <f>LEFT(#REF!,3)</f>
        <v>#REF!</v>
      </c>
      <c r="R19" s="72" t="str">
        <f t="shared" si="7"/>
        <v>94</v>
      </c>
      <c r="S19" s="218">
        <v>5761</v>
      </c>
      <c r="T19" s="138" t="s">
        <v>3528</v>
      </c>
      <c r="V19" s="72">
        <v>3225</v>
      </c>
      <c r="W19" s="72" t="s">
        <v>101</v>
      </c>
      <c r="Y19" s="286" t="str">
        <f t="shared" si="8"/>
        <v>32</v>
      </c>
      <c r="Z19" s="72" t="str">
        <f t="shared" si="9"/>
        <v>322</v>
      </c>
      <c r="AB19" t="s">
        <v>1801</v>
      </c>
      <c r="AC19" t="s">
        <v>1802</v>
      </c>
      <c r="AD19" s="72" t="s">
        <v>5143</v>
      </c>
      <c r="AE19" s="72" t="s">
        <v>5144</v>
      </c>
      <c r="AF19" s="72" t="s">
        <v>5165</v>
      </c>
      <c r="AG19" s="72" t="s">
        <v>5175</v>
      </c>
    </row>
    <row r="20" spans="1:33">
      <c r="A20" s="333" t="s">
        <v>44</v>
      </c>
      <c r="B20" s="70" t="s">
        <v>5268</v>
      </c>
      <c r="C20" s="82">
        <v>11</v>
      </c>
      <c r="D20" s="77" t="str">
        <f t="shared" si="10"/>
        <v>Opći prihodi i primici</v>
      </c>
      <c r="E20" s="82">
        <v>3224</v>
      </c>
      <c r="F20" s="77" t="str">
        <f t="shared" si="1"/>
        <v>Materijal i dijelovi za tekuće i investicijsko održavanje</v>
      </c>
      <c r="G20" s="114" t="s">
        <v>672</v>
      </c>
      <c r="H20" s="77" t="str">
        <f t="shared" si="2"/>
        <v>PROGRAMSKO FINANCIRANJE JAVNIH VISOKIH UČILIŠTA</v>
      </c>
      <c r="I20" s="77" t="str">
        <f t="shared" si="3"/>
        <v>0942</v>
      </c>
      <c r="J20" s="371">
        <v>1455</v>
      </c>
      <c r="K20" s="371">
        <f t="shared" si="4"/>
        <v>-455</v>
      </c>
      <c r="L20" s="371">
        <v>1000</v>
      </c>
      <c r="M20" s="81"/>
      <c r="O20" s="72" t="str">
        <f t="shared" si="5"/>
        <v>322</v>
      </c>
      <c r="P20" s="72" t="str">
        <f t="shared" si="6"/>
        <v>32</v>
      </c>
      <c r="Q20" s="72" t="e">
        <f>LEFT(#REF!,3)</f>
        <v>#REF!</v>
      </c>
      <c r="R20" s="72" t="str">
        <f t="shared" si="7"/>
        <v>94</v>
      </c>
      <c r="S20" s="218">
        <v>5762</v>
      </c>
      <c r="T20" s="138" t="s">
        <v>3528</v>
      </c>
      <c r="V20" s="72">
        <v>3226</v>
      </c>
      <c r="W20" s="72" t="s">
        <v>175</v>
      </c>
      <c r="Y20" s="286" t="str">
        <f t="shared" si="8"/>
        <v>32</v>
      </c>
      <c r="Z20" s="72" t="str">
        <f t="shared" si="9"/>
        <v>322</v>
      </c>
      <c r="AB20" t="s">
        <v>1623</v>
      </c>
      <c r="AC20" t="s">
        <v>1624</v>
      </c>
      <c r="AD20" s="72" t="s">
        <v>5143</v>
      </c>
      <c r="AE20" s="72" t="s">
        <v>5144</v>
      </c>
      <c r="AF20" s="72" t="s">
        <v>5165</v>
      </c>
      <c r="AG20" s="72" t="s">
        <v>5175</v>
      </c>
    </row>
    <row r="21" spans="1:33">
      <c r="A21" s="333" t="s">
        <v>44</v>
      </c>
      <c r="B21" s="70" t="s">
        <v>5268</v>
      </c>
      <c r="C21" s="82">
        <v>11</v>
      </c>
      <c r="D21" s="77" t="str">
        <f t="shared" si="10"/>
        <v>Opći prihodi i primici</v>
      </c>
      <c r="E21" s="82">
        <v>3225</v>
      </c>
      <c r="F21" s="77" t="str">
        <f t="shared" si="1"/>
        <v>Sitni inventar i auto gume</v>
      </c>
      <c r="G21" s="114" t="s">
        <v>672</v>
      </c>
      <c r="H21" s="77" t="str">
        <f t="shared" si="2"/>
        <v>PROGRAMSKO FINANCIRANJE JAVNIH VISOKIH UČILIŠTA</v>
      </c>
      <c r="I21" s="77" t="str">
        <f t="shared" si="3"/>
        <v>0942</v>
      </c>
      <c r="J21" s="371">
        <v>7226</v>
      </c>
      <c r="K21" s="371">
        <f t="shared" si="4"/>
        <v>-4226</v>
      </c>
      <c r="L21" s="371">
        <v>3000</v>
      </c>
      <c r="M21" s="81"/>
      <c r="O21" s="72" t="str">
        <f t="shared" si="5"/>
        <v>322</v>
      </c>
      <c r="P21" s="72" t="str">
        <f t="shared" si="6"/>
        <v>32</v>
      </c>
      <c r="Q21" s="72" t="e">
        <f>LEFT(#REF!,3)</f>
        <v>#REF!</v>
      </c>
      <c r="R21" s="72" t="str">
        <f t="shared" si="7"/>
        <v>94</v>
      </c>
      <c r="S21" s="138">
        <v>581</v>
      </c>
      <c r="T21" s="139" t="s">
        <v>1777</v>
      </c>
      <c r="V21" s="72">
        <v>3227</v>
      </c>
      <c r="W21" s="72" t="s">
        <v>118</v>
      </c>
      <c r="Y21" s="286" t="str">
        <f t="shared" si="8"/>
        <v>32</v>
      </c>
      <c r="Z21" s="72" t="str">
        <f t="shared" si="9"/>
        <v>322</v>
      </c>
      <c r="AB21" t="s">
        <v>1803</v>
      </c>
      <c r="AC21" t="s">
        <v>1804</v>
      </c>
      <c r="AD21" s="72" t="s">
        <v>5139</v>
      </c>
      <c r="AE21" s="72" t="s">
        <v>5140</v>
      </c>
      <c r="AF21" s="72" t="s">
        <v>5165</v>
      </c>
      <c r="AG21" s="72" t="s">
        <v>5172</v>
      </c>
    </row>
    <row r="22" spans="1:33">
      <c r="A22" s="333" t="s">
        <v>44</v>
      </c>
      <c r="B22" s="70" t="s">
        <v>5268</v>
      </c>
      <c r="C22" s="82">
        <v>11</v>
      </c>
      <c r="D22" s="77" t="str">
        <f t="shared" si="10"/>
        <v>Opći prihodi i primici</v>
      </c>
      <c r="E22" s="82">
        <v>3227</v>
      </c>
      <c r="F22" s="77" t="str">
        <f t="shared" si="1"/>
        <v>Službena, radna i zaštitna odjeća i obuća</v>
      </c>
      <c r="G22" s="114" t="s">
        <v>672</v>
      </c>
      <c r="H22" s="77" t="str">
        <f t="shared" si="2"/>
        <v>PROGRAMSKO FINANCIRANJE JAVNIH VISOKIH UČILIŠTA</v>
      </c>
      <c r="I22" s="77" t="str">
        <f t="shared" si="3"/>
        <v>0942</v>
      </c>
      <c r="J22" s="371">
        <v>8006</v>
      </c>
      <c r="K22" s="371">
        <f t="shared" si="4"/>
        <v>-6506</v>
      </c>
      <c r="L22" s="371">
        <v>1500</v>
      </c>
      <c r="M22" s="81"/>
      <c r="O22" s="72" t="str">
        <f t="shared" si="5"/>
        <v>322</v>
      </c>
      <c r="P22" s="72" t="str">
        <f t="shared" si="6"/>
        <v>32</v>
      </c>
      <c r="Q22" s="72" t="e">
        <f>LEFT(#REF!,3)</f>
        <v>#REF!</v>
      </c>
      <c r="R22" s="72" t="str">
        <f t="shared" si="7"/>
        <v>94</v>
      </c>
      <c r="S22" s="72">
        <v>61</v>
      </c>
      <c r="T22" s="72" t="s">
        <v>115</v>
      </c>
      <c r="V22" s="72">
        <v>3231</v>
      </c>
      <c r="W22" s="72" t="s">
        <v>102</v>
      </c>
      <c r="Y22" s="286" t="str">
        <f t="shared" si="8"/>
        <v>32</v>
      </c>
      <c r="Z22" s="72" t="str">
        <f t="shared" si="9"/>
        <v>323</v>
      </c>
      <c r="AB22" t="s">
        <v>1805</v>
      </c>
      <c r="AC22" t="s">
        <v>1806</v>
      </c>
      <c r="AD22" s="72" t="s">
        <v>5143</v>
      </c>
      <c r="AE22" s="72" t="s">
        <v>5144</v>
      </c>
      <c r="AF22" s="72" t="s">
        <v>5165</v>
      </c>
      <c r="AG22" s="72" t="s">
        <v>5175</v>
      </c>
    </row>
    <row r="23" spans="1:33">
      <c r="A23" s="333" t="s">
        <v>44</v>
      </c>
      <c r="B23" s="70" t="s">
        <v>5268</v>
      </c>
      <c r="C23" s="82">
        <v>11</v>
      </c>
      <c r="D23" s="77" t="str">
        <f t="shared" si="10"/>
        <v>Opći prihodi i primici</v>
      </c>
      <c r="E23" s="82">
        <v>3231</v>
      </c>
      <c r="F23" s="77" t="str">
        <f t="shared" si="1"/>
        <v>Usluge telefona, pošte i prijevoza</v>
      </c>
      <c r="G23" s="114" t="s">
        <v>672</v>
      </c>
      <c r="H23" s="77" t="str">
        <f t="shared" si="2"/>
        <v>PROGRAMSKO FINANCIRANJE JAVNIH VISOKIH UČILIŠTA</v>
      </c>
      <c r="I23" s="77" t="str">
        <f t="shared" si="3"/>
        <v>0942</v>
      </c>
      <c r="J23" s="371">
        <v>23115</v>
      </c>
      <c r="K23" s="371">
        <f t="shared" si="4"/>
        <v>1885</v>
      </c>
      <c r="L23" s="371">
        <v>25000</v>
      </c>
      <c r="M23" s="81"/>
      <c r="O23" s="72" t="str">
        <f t="shared" si="5"/>
        <v>323</v>
      </c>
      <c r="P23" s="72" t="str">
        <f t="shared" si="6"/>
        <v>32</v>
      </c>
      <c r="Q23" s="72" t="e">
        <f>LEFT(#REF!,3)</f>
        <v>#REF!</v>
      </c>
      <c r="R23" s="72" t="str">
        <f t="shared" si="7"/>
        <v>94</v>
      </c>
      <c r="S23" s="72">
        <v>71</v>
      </c>
      <c r="T23" s="72" t="s">
        <v>173</v>
      </c>
      <c r="V23" s="72">
        <v>3232</v>
      </c>
      <c r="W23" s="72" t="s">
        <v>89</v>
      </c>
      <c r="Y23" s="286" t="str">
        <f t="shared" si="8"/>
        <v>32</v>
      </c>
      <c r="Z23" s="72" t="str">
        <f t="shared" si="9"/>
        <v>323</v>
      </c>
      <c r="AB23" t="s">
        <v>1807</v>
      </c>
      <c r="AC23" t="s">
        <v>1808</v>
      </c>
      <c r="AD23" s="72" t="s">
        <v>5145</v>
      </c>
      <c r="AE23" s="72" t="s">
        <v>5146</v>
      </c>
      <c r="AF23" s="72" t="s">
        <v>5165</v>
      </c>
      <c r="AG23" s="72" t="s">
        <v>5174</v>
      </c>
    </row>
    <row r="24" spans="1:33">
      <c r="A24" s="333" t="s">
        <v>44</v>
      </c>
      <c r="B24" s="70" t="s">
        <v>5268</v>
      </c>
      <c r="C24" s="82">
        <v>11</v>
      </c>
      <c r="D24" s="77" t="str">
        <f t="shared" si="10"/>
        <v>Opći prihodi i primici</v>
      </c>
      <c r="E24" s="82">
        <v>3232</v>
      </c>
      <c r="F24" s="77" t="str">
        <f t="shared" si="1"/>
        <v>Usluge tekućeg i investicijskog održavanja</v>
      </c>
      <c r="G24" s="114" t="s">
        <v>672</v>
      </c>
      <c r="H24" s="77" t="str">
        <f t="shared" si="2"/>
        <v>PROGRAMSKO FINANCIRANJE JAVNIH VISOKIH UČILIŠTA</v>
      </c>
      <c r="I24" s="77" t="str">
        <f t="shared" si="3"/>
        <v>0942</v>
      </c>
      <c r="J24" s="371">
        <v>52078</v>
      </c>
      <c r="K24" s="371">
        <f t="shared" si="4"/>
        <v>0</v>
      </c>
      <c r="L24" s="371">
        <v>52078</v>
      </c>
      <c r="M24" s="81"/>
      <c r="O24" s="72" t="str">
        <f t="shared" si="5"/>
        <v>323</v>
      </c>
      <c r="P24" s="72" t="str">
        <f t="shared" si="6"/>
        <v>32</v>
      </c>
      <c r="Q24" s="72" t="e">
        <f>LEFT(#REF!,3)</f>
        <v>#REF!</v>
      </c>
      <c r="R24" s="72" t="str">
        <f t="shared" si="7"/>
        <v>94</v>
      </c>
      <c r="S24" s="72">
        <v>81</v>
      </c>
      <c r="T24" s="72" t="s">
        <v>56</v>
      </c>
      <c r="V24" s="72">
        <v>3233</v>
      </c>
      <c r="W24" s="72" t="s">
        <v>77</v>
      </c>
      <c r="Y24" s="286" t="str">
        <f t="shared" si="8"/>
        <v>32</v>
      </c>
      <c r="Z24" s="72" t="str">
        <f t="shared" si="9"/>
        <v>323</v>
      </c>
      <c r="AB24" t="s">
        <v>1809</v>
      </c>
      <c r="AC24" t="s">
        <v>1810</v>
      </c>
      <c r="AD24" s="72" t="s">
        <v>5151</v>
      </c>
      <c r="AE24" s="72" t="s">
        <v>5152</v>
      </c>
      <c r="AF24" s="72" t="s">
        <v>5165</v>
      </c>
      <c r="AG24" s="72" t="s">
        <v>5172</v>
      </c>
    </row>
    <row r="25" spans="1:33">
      <c r="A25" s="333" t="s">
        <v>44</v>
      </c>
      <c r="B25" s="70" t="s">
        <v>5268</v>
      </c>
      <c r="C25" s="82">
        <v>11</v>
      </c>
      <c r="D25" s="77" t="str">
        <f t="shared" si="10"/>
        <v>Opći prihodi i primici</v>
      </c>
      <c r="E25" s="82">
        <v>3233</v>
      </c>
      <c r="F25" s="77" t="str">
        <f t="shared" si="1"/>
        <v>Usluge promidžbe i informiranja</v>
      </c>
      <c r="G25" s="114" t="s">
        <v>672</v>
      </c>
      <c r="H25" s="77" t="str">
        <f t="shared" si="2"/>
        <v>PROGRAMSKO FINANCIRANJE JAVNIH VISOKIH UČILIŠTA</v>
      </c>
      <c r="I25" s="77" t="str">
        <f t="shared" si="3"/>
        <v>0942</v>
      </c>
      <c r="J25" s="371">
        <v>22071</v>
      </c>
      <c r="K25" s="371">
        <f t="shared" si="4"/>
        <v>-1071</v>
      </c>
      <c r="L25" s="371">
        <v>21000</v>
      </c>
      <c r="M25" s="81"/>
      <c r="O25" s="72" t="str">
        <f t="shared" si="5"/>
        <v>323</v>
      </c>
      <c r="P25" s="72" t="str">
        <f t="shared" si="6"/>
        <v>32</v>
      </c>
      <c r="Q25" s="72" t="e">
        <f>LEFT(#REF!,3)</f>
        <v>#REF!</v>
      </c>
      <c r="R25" s="72" t="str">
        <f t="shared" si="7"/>
        <v>94</v>
      </c>
      <c r="V25" s="72">
        <v>3234</v>
      </c>
      <c r="W25" s="72" t="s">
        <v>90</v>
      </c>
      <c r="Y25" s="286" t="str">
        <f t="shared" si="8"/>
        <v>32</v>
      </c>
      <c r="Z25" s="72" t="str">
        <f t="shared" si="9"/>
        <v>323</v>
      </c>
      <c r="AB25" t="s">
        <v>1811</v>
      </c>
      <c r="AC25" t="s">
        <v>1812</v>
      </c>
      <c r="AD25" s="72" t="s">
        <v>5151</v>
      </c>
      <c r="AE25" s="72" t="s">
        <v>5152</v>
      </c>
      <c r="AF25" s="72" t="s">
        <v>5165</v>
      </c>
      <c r="AG25" s="72" t="s">
        <v>5172</v>
      </c>
    </row>
    <row r="26" spans="1:33">
      <c r="A26" s="333" t="s">
        <v>44</v>
      </c>
      <c r="B26" s="70" t="s">
        <v>5268</v>
      </c>
      <c r="C26" s="82">
        <v>11</v>
      </c>
      <c r="D26" s="77" t="str">
        <f t="shared" si="10"/>
        <v>Opći prihodi i primici</v>
      </c>
      <c r="E26" s="82">
        <v>3234</v>
      </c>
      <c r="F26" s="77" t="str">
        <f t="shared" si="1"/>
        <v>Komunalne usluge</v>
      </c>
      <c r="G26" s="114" t="s">
        <v>672</v>
      </c>
      <c r="H26" s="77" t="str">
        <f t="shared" si="2"/>
        <v>PROGRAMSKO FINANCIRANJE JAVNIH VISOKIH UČILIŠTA</v>
      </c>
      <c r="I26" s="77" t="str">
        <f t="shared" si="3"/>
        <v>0942</v>
      </c>
      <c r="J26" s="371">
        <v>8698</v>
      </c>
      <c r="K26" s="371">
        <f t="shared" si="4"/>
        <v>302</v>
      </c>
      <c r="L26" s="371">
        <v>9000</v>
      </c>
      <c r="M26" s="81"/>
      <c r="O26" s="72" t="str">
        <f t="shared" si="5"/>
        <v>323</v>
      </c>
      <c r="P26" s="72" t="str">
        <f t="shared" si="6"/>
        <v>32</v>
      </c>
      <c r="Q26" s="72" t="e">
        <f>LEFT(#REF!,3)</f>
        <v>#REF!</v>
      </c>
      <c r="R26" s="72" t="str">
        <f t="shared" si="7"/>
        <v>94</v>
      </c>
      <c r="V26" s="72">
        <v>3235</v>
      </c>
      <c r="W26" s="72" t="s">
        <v>110</v>
      </c>
      <c r="Y26" s="286" t="str">
        <f t="shared" si="8"/>
        <v>32</v>
      </c>
      <c r="Z26" s="72" t="str">
        <f t="shared" si="9"/>
        <v>323</v>
      </c>
      <c r="AB26" t="s">
        <v>1813</v>
      </c>
      <c r="AC26" t="s">
        <v>1814</v>
      </c>
      <c r="AD26" s="72" t="s">
        <v>5151</v>
      </c>
      <c r="AE26" s="72" t="s">
        <v>5152</v>
      </c>
      <c r="AF26" s="72" t="s">
        <v>5165</v>
      </c>
      <c r="AG26" s="72" t="s">
        <v>5172</v>
      </c>
    </row>
    <row r="27" spans="1:33">
      <c r="A27" s="333" t="s">
        <v>44</v>
      </c>
      <c r="B27" s="70" t="s">
        <v>5268</v>
      </c>
      <c r="C27" s="82">
        <v>11</v>
      </c>
      <c r="D27" s="77" t="str">
        <f t="shared" si="10"/>
        <v>Opći prihodi i primici</v>
      </c>
      <c r="E27" s="82">
        <v>3235</v>
      </c>
      <c r="F27" s="77" t="str">
        <f t="shared" si="1"/>
        <v>Zakupnine i najamnine</v>
      </c>
      <c r="G27" s="114" t="s">
        <v>672</v>
      </c>
      <c r="H27" s="77" t="str">
        <f t="shared" si="2"/>
        <v>PROGRAMSKO FINANCIRANJE JAVNIH VISOKIH UČILIŠTA</v>
      </c>
      <c r="I27" s="77" t="str">
        <f t="shared" si="3"/>
        <v>0942</v>
      </c>
      <c r="J27" s="371">
        <v>20788</v>
      </c>
      <c r="K27" s="371">
        <f t="shared" si="4"/>
        <v>26212</v>
      </c>
      <c r="L27" s="371">
        <v>47000</v>
      </c>
      <c r="M27" s="81"/>
      <c r="O27" s="72" t="str">
        <f t="shared" si="5"/>
        <v>323</v>
      </c>
      <c r="P27" s="72" t="str">
        <f t="shared" si="6"/>
        <v>32</v>
      </c>
      <c r="Q27" s="72" t="e">
        <f>LEFT(#REF!,3)</f>
        <v>#REF!</v>
      </c>
      <c r="R27" s="72" t="str">
        <f t="shared" si="7"/>
        <v>94</v>
      </c>
      <c r="V27" s="72">
        <v>3236</v>
      </c>
      <c r="W27" s="72" t="s">
        <v>53</v>
      </c>
      <c r="Y27" s="286" t="str">
        <f t="shared" si="8"/>
        <v>32</v>
      </c>
      <c r="Z27" s="72" t="str">
        <f t="shared" si="9"/>
        <v>323</v>
      </c>
      <c r="AB27" t="s">
        <v>1815</v>
      </c>
      <c r="AC27" t="s">
        <v>1816</v>
      </c>
      <c r="AD27" s="72" t="s">
        <v>5151</v>
      </c>
      <c r="AE27" s="72" t="s">
        <v>5152</v>
      </c>
      <c r="AF27" s="72" t="s">
        <v>5165</v>
      </c>
      <c r="AG27" s="72" t="s">
        <v>5172</v>
      </c>
    </row>
    <row r="28" spans="1:33">
      <c r="A28" s="333" t="s">
        <v>44</v>
      </c>
      <c r="B28" s="70" t="s">
        <v>5268</v>
      </c>
      <c r="C28" s="82">
        <v>11</v>
      </c>
      <c r="D28" s="77" t="str">
        <f t="shared" si="10"/>
        <v>Opći prihodi i primici</v>
      </c>
      <c r="E28" s="82">
        <v>3236</v>
      </c>
      <c r="F28" s="77" t="str">
        <f t="shared" si="1"/>
        <v>Zdravstvene i veterinarske usluge</v>
      </c>
      <c r="G28" s="114" t="s">
        <v>672</v>
      </c>
      <c r="H28" s="77" t="str">
        <f t="shared" si="2"/>
        <v>PROGRAMSKO FINANCIRANJE JAVNIH VISOKIH UČILIŠTA</v>
      </c>
      <c r="I28" s="77" t="str">
        <f t="shared" si="3"/>
        <v>0942</v>
      </c>
      <c r="J28" s="371">
        <v>20485</v>
      </c>
      <c r="K28" s="371">
        <f t="shared" si="4"/>
        <v>-19985</v>
      </c>
      <c r="L28" s="371">
        <v>500</v>
      </c>
      <c r="M28" s="81"/>
      <c r="O28" s="72" t="str">
        <f t="shared" si="5"/>
        <v>323</v>
      </c>
      <c r="P28" s="72" t="str">
        <f t="shared" si="6"/>
        <v>32</v>
      </c>
      <c r="Q28" s="72" t="e">
        <f>LEFT(#REF!,3)</f>
        <v>#REF!</v>
      </c>
      <c r="R28" s="72" t="str">
        <f t="shared" si="7"/>
        <v>94</v>
      </c>
      <c r="V28" s="72">
        <v>3237</v>
      </c>
      <c r="W28" s="72" t="s">
        <v>66</v>
      </c>
      <c r="Y28" s="286" t="str">
        <f t="shared" si="8"/>
        <v>32</v>
      </c>
      <c r="Z28" s="72" t="str">
        <f t="shared" si="9"/>
        <v>323</v>
      </c>
      <c r="AB28" t="s">
        <v>948</v>
      </c>
      <c r="AC28" t="s">
        <v>949</v>
      </c>
      <c r="AD28" s="72" t="s">
        <v>5143</v>
      </c>
      <c r="AE28" s="72" t="s">
        <v>5144</v>
      </c>
      <c r="AF28" s="72" t="s">
        <v>5165</v>
      </c>
      <c r="AG28" s="72" t="s">
        <v>5175</v>
      </c>
    </row>
    <row r="29" spans="1:33">
      <c r="A29" s="333" t="s">
        <v>44</v>
      </c>
      <c r="B29" s="70" t="s">
        <v>5268</v>
      </c>
      <c r="C29" s="82">
        <v>11</v>
      </c>
      <c r="D29" s="77" t="str">
        <f t="shared" si="10"/>
        <v>Opći prihodi i primici</v>
      </c>
      <c r="E29" s="82">
        <v>3237</v>
      </c>
      <c r="F29" s="77" t="str">
        <f t="shared" si="1"/>
        <v>Intelektualne i osobne usluge</v>
      </c>
      <c r="G29" s="114" t="s">
        <v>672</v>
      </c>
      <c r="H29" s="77" t="str">
        <f t="shared" si="2"/>
        <v>PROGRAMSKO FINANCIRANJE JAVNIH VISOKIH UČILIŠTA</v>
      </c>
      <c r="I29" s="77" t="str">
        <f t="shared" si="3"/>
        <v>0942</v>
      </c>
      <c r="J29" s="371">
        <v>75976</v>
      </c>
      <c r="K29" s="371">
        <f t="shared" si="4"/>
        <v>34024</v>
      </c>
      <c r="L29" s="371">
        <v>110000</v>
      </c>
      <c r="M29" s="81"/>
      <c r="O29" s="72" t="str">
        <f t="shared" si="5"/>
        <v>323</v>
      </c>
      <c r="P29" s="72" t="str">
        <f t="shared" si="6"/>
        <v>32</v>
      </c>
      <c r="Q29" s="72" t="e">
        <f>LEFT(#REF!,3)</f>
        <v>#REF!</v>
      </c>
      <c r="R29" s="72" t="str">
        <f t="shared" si="7"/>
        <v>94</v>
      </c>
      <c r="V29" s="72">
        <v>3238</v>
      </c>
      <c r="W29" s="72" t="s">
        <v>103</v>
      </c>
      <c r="Y29" s="286" t="str">
        <f t="shared" si="8"/>
        <v>32</v>
      </c>
      <c r="Z29" s="72" t="str">
        <f t="shared" si="9"/>
        <v>323</v>
      </c>
      <c r="AB29" t="s">
        <v>1817</v>
      </c>
      <c r="AC29" t="s">
        <v>1818</v>
      </c>
      <c r="AD29" s="72" t="s">
        <v>5145</v>
      </c>
      <c r="AE29" s="72" t="s">
        <v>5146</v>
      </c>
      <c r="AF29" s="72" t="s">
        <v>5165</v>
      </c>
      <c r="AG29" s="72" t="s">
        <v>5174</v>
      </c>
    </row>
    <row r="30" spans="1:33">
      <c r="A30" s="333" t="s">
        <v>44</v>
      </c>
      <c r="B30" s="70" t="s">
        <v>5268</v>
      </c>
      <c r="C30" s="82">
        <v>11</v>
      </c>
      <c r="D30" s="77" t="str">
        <f t="shared" si="10"/>
        <v>Opći prihodi i primici</v>
      </c>
      <c r="E30" s="82">
        <v>3238</v>
      </c>
      <c r="F30" s="77" t="str">
        <f t="shared" si="1"/>
        <v>Računalne usluge</v>
      </c>
      <c r="G30" s="114" t="s">
        <v>672</v>
      </c>
      <c r="H30" s="77" t="str">
        <f t="shared" si="2"/>
        <v>PROGRAMSKO FINANCIRANJE JAVNIH VISOKIH UČILIŠTA</v>
      </c>
      <c r="I30" s="77" t="str">
        <f t="shared" si="3"/>
        <v>0942</v>
      </c>
      <c r="J30" s="371">
        <v>15914</v>
      </c>
      <c r="K30" s="371">
        <f t="shared" si="4"/>
        <v>-8414</v>
      </c>
      <c r="L30" s="371">
        <v>7500</v>
      </c>
      <c r="M30" s="81"/>
      <c r="O30" s="72" t="str">
        <f t="shared" si="5"/>
        <v>323</v>
      </c>
      <c r="P30" s="72" t="str">
        <f t="shared" si="6"/>
        <v>32</v>
      </c>
      <c r="Q30" s="72" t="e">
        <f>LEFT(#REF!,3)</f>
        <v>#REF!</v>
      </c>
      <c r="R30" s="72" t="str">
        <f t="shared" si="7"/>
        <v>94</v>
      </c>
      <c r="V30" s="72">
        <v>3239</v>
      </c>
      <c r="W30" s="72" t="s">
        <v>83</v>
      </c>
      <c r="Y30" s="286" t="str">
        <f t="shared" si="8"/>
        <v>32</v>
      </c>
      <c r="Z30" s="72" t="str">
        <f t="shared" si="9"/>
        <v>323</v>
      </c>
      <c r="AB30" t="s">
        <v>1819</v>
      </c>
      <c r="AC30" t="s">
        <v>1820</v>
      </c>
      <c r="AD30" s="72" t="s">
        <v>5143</v>
      </c>
      <c r="AE30" s="72" t="s">
        <v>5144</v>
      </c>
      <c r="AF30" s="72" t="s">
        <v>5165</v>
      </c>
      <c r="AG30" s="72" t="s">
        <v>5175</v>
      </c>
    </row>
    <row r="31" spans="1:33">
      <c r="A31" s="333" t="s">
        <v>44</v>
      </c>
      <c r="B31" s="70" t="s">
        <v>5268</v>
      </c>
      <c r="C31" s="82">
        <v>11</v>
      </c>
      <c r="D31" s="77" t="str">
        <f t="shared" si="10"/>
        <v>Opći prihodi i primici</v>
      </c>
      <c r="E31" s="82">
        <v>3239</v>
      </c>
      <c r="F31" s="77" t="str">
        <f t="shared" si="1"/>
        <v>Ostale usluge</v>
      </c>
      <c r="G31" s="114" t="s">
        <v>672</v>
      </c>
      <c r="H31" s="77" t="str">
        <f t="shared" si="2"/>
        <v>PROGRAMSKO FINANCIRANJE JAVNIH VISOKIH UČILIŠTA</v>
      </c>
      <c r="I31" s="77" t="str">
        <f t="shared" si="3"/>
        <v>0942</v>
      </c>
      <c r="J31" s="371">
        <v>111958</v>
      </c>
      <c r="K31" s="371">
        <f t="shared" si="4"/>
        <v>25964</v>
      </c>
      <c r="L31" s="371">
        <f>140000-2078</f>
        <v>137922</v>
      </c>
      <c r="M31" s="81"/>
      <c r="O31" s="72" t="str">
        <f t="shared" si="5"/>
        <v>323</v>
      </c>
      <c r="P31" s="72" t="str">
        <f t="shared" si="6"/>
        <v>32</v>
      </c>
      <c r="Q31" s="72" t="e">
        <f>LEFT(#REF!,3)</f>
        <v>#REF!</v>
      </c>
      <c r="R31" s="72" t="str">
        <f t="shared" si="7"/>
        <v>94</v>
      </c>
      <c r="V31" s="72">
        <v>3241</v>
      </c>
      <c r="W31" s="72" t="s">
        <v>80</v>
      </c>
      <c r="Y31" s="286" t="str">
        <f t="shared" si="8"/>
        <v>32</v>
      </c>
      <c r="Z31" s="72" t="str">
        <f t="shared" si="9"/>
        <v>324</v>
      </c>
      <c r="AB31" t="s">
        <v>1821</v>
      </c>
      <c r="AC31" t="s">
        <v>1822</v>
      </c>
      <c r="AD31" s="72" t="s">
        <v>5141</v>
      </c>
      <c r="AE31" s="72" t="s">
        <v>5142</v>
      </c>
      <c r="AF31" s="72" t="s">
        <v>5167</v>
      </c>
      <c r="AG31" s="72" t="s">
        <v>5168</v>
      </c>
    </row>
    <row r="32" spans="1:33">
      <c r="A32" s="333" t="s">
        <v>44</v>
      </c>
      <c r="B32" s="70" t="s">
        <v>5268</v>
      </c>
      <c r="C32" s="82">
        <v>11</v>
      </c>
      <c r="D32" s="77" t="str">
        <f t="shared" si="10"/>
        <v>Opći prihodi i primici</v>
      </c>
      <c r="E32" s="82">
        <v>3241</v>
      </c>
      <c r="F32" s="77" t="str">
        <f t="shared" si="1"/>
        <v>Naknade troškova osobama izvan radnog odnosa</v>
      </c>
      <c r="G32" s="114" t="s">
        <v>672</v>
      </c>
      <c r="H32" s="77" t="str">
        <f t="shared" si="2"/>
        <v>PROGRAMSKO FINANCIRANJE JAVNIH VISOKIH UČILIŠTA</v>
      </c>
      <c r="I32" s="77" t="str">
        <f t="shared" si="3"/>
        <v>0942</v>
      </c>
      <c r="J32" s="371">
        <v>2507</v>
      </c>
      <c r="K32" s="371">
        <f t="shared" si="4"/>
        <v>3393</v>
      </c>
      <c r="L32" s="371">
        <v>5900</v>
      </c>
      <c r="M32" s="81"/>
      <c r="O32" s="72" t="str">
        <f t="shared" si="5"/>
        <v>324</v>
      </c>
      <c r="P32" s="72" t="str">
        <f t="shared" si="6"/>
        <v>32</v>
      </c>
      <c r="Q32" s="72" t="e">
        <f>LEFT(#REF!,3)</f>
        <v>#REF!</v>
      </c>
      <c r="R32" s="72" t="str">
        <f t="shared" si="7"/>
        <v>94</v>
      </c>
      <c r="V32" s="72">
        <v>3291</v>
      </c>
      <c r="W32" s="72" t="s">
        <v>81</v>
      </c>
      <c r="Y32" s="286" t="str">
        <f t="shared" si="8"/>
        <v>32</v>
      </c>
      <c r="Z32" s="72" t="str">
        <f t="shared" si="9"/>
        <v>329</v>
      </c>
      <c r="AB32" t="s">
        <v>1823</v>
      </c>
      <c r="AC32" t="s">
        <v>1824</v>
      </c>
      <c r="AD32" s="72" t="s">
        <v>5141</v>
      </c>
      <c r="AE32" s="72" t="s">
        <v>5142</v>
      </c>
      <c r="AF32" s="72" t="s">
        <v>5167</v>
      </c>
      <c r="AG32" s="72" t="s">
        <v>5168</v>
      </c>
    </row>
    <row r="33" spans="1:33">
      <c r="A33" s="333" t="s">
        <v>44</v>
      </c>
      <c r="B33" s="70" t="s">
        <v>5268</v>
      </c>
      <c r="C33" s="82">
        <v>11</v>
      </c>
      <c r="D33" s="77" t="str">
        <f t="shared" si="10"/>
        <v>Opći prihodi i primici</v>
      </c>
      <c r="E33" s="82">
        <v>3292</v>
      </c>
      <c r="F33" s="77" t="str">
        <f t="shared" si="1"/>
        <v>Premije osiguranja</v>
      </c>
      <c r="G33" s="114" t="s">
        <v>672</v>
      </c>
      <c r="H33" s="77" t="str">
        <f t="shared" si="2"/>
        <v>PROGRAMSKO FINANCIRANJE JAVNIH VISOKIH UČILIŠTA</v>
      </c>
      <c r="I33" s="77" t="str">
        <f t="shared" si="3"/>
        <v>0942</v>
      </c>
      <c r="J33" s="371">
        <v>2191</v>
      </c>
      <c r="K33" s="371">
        <f t="shared" si="4"/>
        <v>2809</v>
      </c>
      <c r="L33" s="371">
        <v>5000</v>
      </c>
      <c r="M33" s="81"/>
      <c r="O33" s="72" t="str">
        <f t="shared" si="5"/>
        <v>329</v>
      </c>
      <c r="P33" s="72" t="str">
        <f t="shared" si="6"/>
        <v>32</v>
      </c>
      <c r="Q33" s="72" t="e">
        <f>LEFT(#REF!,3)</f>
        <v>#REF!</v>
      </c>
      <c r="R33" s="72" t="str">
        <f t="shared" si="7"/>
        <v>94</v>
      </c>
      <c r="V33" s="72">
        <v>3292</v>
      </c>
      <c r="W33" s="72" t="s">
        <v>74</v>
      </c>
      <c r="Y33" s="286" t="str">
        <f t="shared" si="8"/>
        <v>32</v>
      </c>
      <c r="Z33" s="72" t="str">
        <f t="shared" si="9"/>
        <v>329</v>
      </c>
      <c r="AB33" t="s">
        <v>1825</v>
      </c>
      <c r="AC33" t="s">
        <v>1826</v>
      </c>
      <c r="AD33" s="72" t="s">
        <v>5143</v>
      </c>
      <c r="AE33" s="72" t="s">
        <v>5144</v>
      </c>
      <c r="AF33" s="72" t="s">
        <v>5165</v>
      </c>
      <c r="AG33" s="72" t="s">
        <v>5175</v>
      </c>
    </row>
    <row r="34" spans="1:33">
      <c r="A34" s="333" t="s">
        <v>44</v>
      </c>
      <c r="B34" s="70" t="s">
        <v>5268</v>
      </c>
      <c r="C34" s="82">
        <v>11</v>
      </c>
      <c r="D34" s="77" t="str">
        <f t="shared" si="10"/>
        <v>Opći prihodi i primici</v>
      </c>
      <c r="E34" s="82">
        <v>3293</v>
      </c>
      <c r="F34" s="77" t="str">
        <f t="shared" si="1"/>
        <v>Reprezentacija</v>
      </c>
      <c r="G34" s="114" t="s">
        <v>672</v>
      </c>
      <c r="H34" s="77" t="str">
        <f t="shared" si="2"/>
        <v>PROGRAMSKO FINANCIRANJE JAVNIH VISOKIH UČILIŠTA</v>
      </c>
      <c r="I34" s="77" t="str">
        <f t="shared" si="3"/>
        <v>0942</v>
      </c>
      <c r="J34" s="371">
        <v>56887</v>
      </c>
      <c r="K34" s="371">
        <f t="shared" si="4"/>
        <v>21439</v>
      </c>
      <c r="L34" s="371">
        <f>85000-6674</f>
        <v>78326</v>
      </c>
      <c r="M34" s="81"/>
      <c r="O34" s="72" t="str">
        <f t="shared" si="5"/>
        <v>329</v>
      </c>
      <c r="P34" s="72" t="str">
        <f t="shared" si="6"/>
        <v>32</v>
      </c>
      <c r="Q34" s="72" t="e">
        <f>LEFT(#REF!,3)</f>
        <v>#REF!</v>
      </c>
      <c r="R34" s="72" t="str">
        <f t="shared" si="7"/>
        <v>94</v>
      </c>
      <c r="V34" s="72">
        <v>3293</v>
      </c>
      <c r="W34" s="72" t="s">
        <v>84</v>
      </c>
      <c r="Y34" s="286" t="str">
        <f t="shared" si="8"/>
        <v>32</v>
      </c>
      <c r="Z34" s="72" t="str">
        <f t="shared" si="9"/>
        <v>329</v>
      </c>
      <c r="AB34" t="s">
        <v>1827</v>
      </c>
      <c r="AC34" t="s">
        <v>1828</v>
      </c>
      <c r="AD34" s="72" t="s">
        <v>5141</v>
      </c>
      <c r="AE34" s="72" t="s">
        <v>5142</v>
      </c>
      <c r="AF34" s="72" t="s">
        <v>5167</v>
      </c>
      <c r="AG34" s="72" t="s">
        <v>5168</v>
      </c>
    </row>
    <row r="35" spans="1:33">
      <c r="A35" s="333" t="s">
        <v>44</v>
      </c>
      <c r="B35" s="70" t="s">
        <v>5268</v>
      </c>
      <c r="C35" s="82">
        <v>11</v>
      </c>
      <c r="D35" s="77" t="str">
        <f t="shared" si="10"/>
        <v>Opći prihodi i primici</v>
      </c>
      <c r="E35" s="82">
        <v>3294</v>
      </c>
      <c r="F35" s="77" t="str">
        <f t="shared" si="1"/>
        <v>Članarine i norme</v>
      </c>
      <c r="G35" s="114" t="s">
        <v>672</v>
      </c>
      <c r="H35" s="77" t="str">
        <f t="shared" si="2"/>
        <v>PROGRAMSKO FINANCIRANJE JAVNIH VISOKIH UČILIŠTA</v>
      </c>
      <c r="I35" s="77" t="str">
        <f t="shared" si="3"/>
        <v>0942</v>
      </c>
      <c r="J35" s="371">
        <v>8053</v>
      </c>
      <c r="K35" s="371">
        <f t="shared" si="4"/>
        <v>0</v>
      </c>
      <c r="L35" s="371">
        <v>8053</v>
      </c>
      <c r="M35" s="81"/>
      <c r="O35" s="72" t="str">
        <f t="shared" si="5"/>
        <v>329</v>
      </c>
      <c r="P35" s="72" t="str">
        <f t="shared" si="6"/>
        <v>32</v>
      </c>
      <c r="Q35" s="72" t="e">
        <f>LEFT(#REF!,3)</f>
        <v>#REF!</v>
      </c>
      <c r="R35" s="72" t="str">
        <f t="shared" si="7"/>
        <v>94</v>
      </c>
      <c r="V35" s="72">
        <v>3293</v>
      </c>
      <c r="W35" s="72" t="s">
        <v>131</v>
      </c>
      <c r="Y35" s="286" t="str">
        <f t="shared" si="8"/>
        <v>32</v>
      </c>
      <c r="Z35" s="72" t="str">
        <f t="shared" si="9"/>
        <v>329</v>
      </c>
      <c r="AB35" t="s">
        <v>1625</v>
      </c>
      <c r="AC35" t="s">
        <v>1626</v>
      </c>
      <c r="AD35" s="72" t="s">
        <v>5143</v>
      </c>
      <c r="AE35" s="72" t="s">
        <v>5144</v>
      </c>
      <c r="AF35" s="72" t="s">
        <v>5165</v>
      </c>
      <c r="AG35" s="72" t="s">
        <v>5175</v>
      </c>
    </row>
    <row r="36" spans="1:33">
      <c r="A36" s="333" t="s">
        <v>44</v>
      </c>
      <c r="B36" s="70" t="s">
        <v>5268</v>
      </c>
      <c r="C36" s="82">
        <v>11</v>
      </c>
      <c r="D36" s="77" t="str">
        <f t="shared" si="10"/>
        <v>Opći prihodi i primici</v>
      </c>
      <c r="E36" s="82">
        <v>3295</v>
      </c>
      <c r="F36" s="77" t="str">
        <f t="shared" si="1"/>
        <v>Pristojbe i naknade</v>
      </c>
      <c r="G36" s="114" t="s">
        <v>672</v>
      </c>
      <c r="H36" s="77" t="str">
        <f t="shared" si="2"/>
        <v>PROGRAMSKO FINANCIRANJE JAVNIH VISOKIH UČILIŠTA</v>
      </c>
      <c r="I36" s="77" t="str">
        <f t="shared" si="3"/>
        <v>0942</v>
      </c>
      <c r="J36" s="371">
        <v>865</v>
      </c>
      <c r="K36" s="371">
        <f t="shared" si="4"/>
        <v>6635</v>
      </c>
      <c r="L36" s="371">
        <v>7500</v>
      </c>
      <c r="M36" s="81"/>
      <c r="O36" s="72" t="str">
        <f t="shared" si="5"/>
        <v>329</v>
      </c>
      <c r="P36" s="72" t="str">
        <f t="shared" si="6"/>
        <v>32</v>
      </c>
      <c r="Q36" s="72" t="e">
        <f>LEFT(#REF!,3)</f>
        <v>#REF!</v>
      </c>
      <c r="R36" s="72" t="str">
        <f t="shared" si="7"/>
        <v>94</v>
      </c>
      <c r="V36" s="72">
        <v>3294</v>
      </c>
      <c r="W36" s="72" t="s">
        <v>85</v>
      </c>
      <c r="Y36" s="286" t="str">
        <f t="shared" si="8"/>
        <v>32</v>
      </c>
      <c r="Z36" s="72" t="str">
        <f t="shared" si="9"/>
        <v>329</v>
      </c>
      <c r="AB36" t="s">
        <v>1627</v>
      </c>
      <c r="AC36" t="s">
        <v>1628</v>
      </c>
      <c r="AD36" s="72" t="s">
        <v>5143</v>
      </c>
      <c r="AE36" s="72" t="s">
        <v>5144</v>
      </c>
      <c r="AF36" s="72" t="s">
        <v>5165</v>
      </c>
      <c r="AG36" s="72" t="s">
        <v>5175</v>
      </c>
    </row>
    <row r="37" spans="1:33">
      <c r="A37" s="333" t="s">
        <v>44</v>
      </c>
      <c r="B37" s="70" t="s">
        <v>5268</v>
      </c>
      <c r="C37" s="82">
        <v>11</v>
      </c>
      <c r="D37" s="77" t="str">
        <f t="shared" ref="D37" si="11">IFERROR(VLOOKUP(C37,$S$6:$T$24,2,FALSE),"")</f>
        <v>Opći prihodi i primici</v>
      </c>
      <c r="E37" s="82">
        <v>3296</v>
      </c>
      <c r="F37" s="77"/>
      <c r="G37" s="114" t="s">
        <v>672</v>
      </c>
      <c r="H37" s="77" t="str">
        <f t="shared" si="2"/>
        <v>PROGRAMSKO FINANCIRANJE JAVNIH VISOKIH UČILIŠTA</v>
      </c>
      <c r="I37" s="77" t="str">
        <f t="shared" si="3"/>
        <v>0942</v>
      </c>
      <c r="J37" s="371">
        <v>0</v>
      </c>
      <c r="K37" s="371">
        <f t="shared" si="4"/>
        <v>16000</v>
      </c>
      <c r="L37" s="371">
        <v>16000</v>
      </c>
      <c r="M37" s="81"/>
      <c r="AB37"/>
      <c r="AC37"/>
    </row>
    <row r="38" spans="1:33">
      <c r="A38" s="333" t="s">
        <v>44</v>
      </c>
      <c r="B38" s="70" t="s">
        <v>5268</v>
      </c>
      <c r="C38" s="82">
        <v>11</v>
      </c>
      <c r="D38" s="77" t="str">
        <f t="shared" si="10"/>
        <v>Opći prihodi i primici</v>
      </c>
      <c r="E38" s="82">
        <v>3299</v>
      </c>
      <c r="F38" s="77" t="str">
        <f t="shared" ref="F38:F101" si="12">IFERROR(VLOOKUP(E38,$V$5:$X$139,2,FALSE),"")</f>
        <v>Ostali nespomenuti rashodi poslovanja</v>
      </c>
      <c r="G38" s="114" t="s">
        <v>672</v>
      </c>
      <c r="H38" s="77" t="str">
        <f t="shared" si="2"/>
        <v>PROGRAMSKO FINANCIRANJE JAVNIH VISOKIH UČILIŠTA</v>
      </c>
      <c r="I38" s="77" t="str">
        <f t="shared" si="3"/>
        <v>0942</v>
      </c>
      <c r="J38" s="371">
        <v>10542</v>
      </c>
      <c r="K38" s="371">
        <f t="shared" si="4"/>
        <v>44458</v>
      </c>
      <c r="L38" s="371">
        <v>55000</v>
      </c>
      <c r="M38" s="81"/>
      <c r="O38" s="72" t="str">
        <f t="shared" si="5"/>
        <v>329</v>
      </c>
      <c r="P38" s="72" t="str">
        <f t="shared" si="6"/>
        <v>32</v>
      </c>
      <c r="Q38" s="72" t="e">
        <f>LEFT(#REF!,3)</f>
        <v>#REF!</v>
      </c>
      <c r="R38" s="72" t="str">
        <f t="shared" si="7"/>
        <v>94</v>
      </c>
      <c r="V38" s="72">
        <v>3295</v>
      </c>
      <c r="W38" s="72" t="s">
        <v>54</v>
      </c>
      <c r="Y38" s="286" t="str">
        <f t="shared" si="8"/>
        <v>32</v>
      </c>
      <c r="Z38" s="72" t="str">
        <f t="shared" si="9"/>
        <v>329</v>
      </c>
      <c r="AB38" t="s">
        <v>1829</v>
      </c>
      <c r="AC38" t="s">
        <v>1830</v>
      </c>
      <c r="AD38" s="72" t="s">
        <v>5143</v>
      </c>
      <c r="AE38" s="72" t="s">
        <v>5144</v>
      </c>
      <c r="AF38" s="72" t="s">
        <v>5165</v>
      </c>
      <c r="AG38" s="72" t="s">
        <v>5175</v>
      </c>
    </row>
    <row r="39" spans="1:33">
      <c r="A39" s="333" t="s">
        <v>44</v>
      </c>
      <c r="B39" s="70" t="s">
        <v>5268</v>
      </c>
      <c r="C39" s="82">
        <v>11</v>
      </c>
      <c r="D39" s="77" t="str">
        <f t="shared" si="10"/>
        <v>Opći prihodi i primici</v>
      </c>
      <c r="E39" s="82">
        <v>3431</v>
      </c>
      <c r="F39" s="77" t="str">
        <f t="shared" si="12"/>
        <v>Bankarske usluge i usluge platnog prometa</v>
      </c>
      <c r="G39" s="114" t="s">
        <v>672</v>
      </c>
      <c r="H39" s="77" t="str">
        <f t="shared" si="2"/>
        <v>PROGRAMSKO FINANCIRANJE JAVNIH VISOKIH UČILIŠTA</v>
      </c>
      <c r="I39" s="77" t="str">
        <f t="shared" si="3"/>
        <v>0942</v>
      </c>
      <c r="J39" s="371">
        <v>8737</v>
      </c>
      <c r="K39" s="371">
        <f t="shared" si="4"/>
        <v>6263</v>
      </c>
      <c r="L39" s="371">
        <v>15000</v>
      </c>
      <c r="M39" s="81"/>
      <c r="O39" s="72" t="str">
        <f t="shared" si="5"/>
        <v>343</v>
      </c>
      <c r="P39" s="72" t="str">
        <f t="shared" si="6"/>
        <v>34</v>
      </c>
      <c r="Q39" s="72" t="e">
        <f>LEFT(#REF!,3)</f>
        <v>#REF!</v>
      </c>
      <c r="R39" s="72" t="str">
        <f t="shared" si="7"/>
        <v>94</v>
      </c>
      <c r="V39" s="72">
        <v>3296</v>
      </c>
      <c r="W39" s="72" t="s">
        <v>148</v>
      </c>
      <c r="Y39" s="286" t="str">
        <f t="shared" si="8"/>
        <v>32</v>
      </c>
      <c r="Z39" s="72" t="str">
        <f t="shared" si="9"/>
        <v>329</v>
      </c>
      <c r="AB39" t="s">
        <v>1831</v>
      </c>
      <c r="AC39" t="s">
        <v>1832</v>
      </c>
      <c r="AD39" s="72" t="s">
        <v>5153</v>
      </c>
      <c r="AE39" s="72" t="s">
        <v>5154</v>
      </c>
      <c r="AF39" s="72" t="s">
        <v>5167</v>
      </c>
      <c r="AG39" s="72" t="s">
        <v>5180</v>
      </c>
    </row>
    <row r="40" spans="1:33">
      <c r="A40" s="333" t="s">
        <v>44</v>
      </c>
      <c r="B40" s="70" t="s">
        <v>5268</v>
      </c>
      <c r="C40" s="82">
        <v>11</v>
      </c>
      <c r="D40" s="77" t="str">
        <f t="shared" si="10"/>
        <v>Opći prihodi i primici</v>
      </c>
      <c r="E40" s="82">
        <v>3432</v>
      </c>
      <c r="F40" s="77" t="str">
        <f t="shared" si="12"/>
        <v>Negativne tečajne razlike i razlike zbog primjene valutne kl</v>
      </c>
      <c r="G40" s="114" t="s">
        <v>672</v>
      </c>
      <c r="H40" s="77" t="str">
        <f t="shared" si="2"/>
        <v>PROGRAMSKO FINANCIRANJE JAVNIH VISOKIH UČILIŠTA</v>
      </c>
      <c r="I40" s="77" t="str">
        <f t="shared" si="3"/>
        <v>0942</v>
      </c>
      <c r="J40" s="371">
        <v>109</v>
      </c>
      <c r="K40" s="371">
        <f t="shared" si="4"/>
        <v>0</v>
      </c>
      <c r="L40" s="371">
        <v>109</v>
      </c>
      <c r="M40" s="81"/>
      <c r="O40" s="72" t="str">
        <f t="shared" si="5"/>
        <v>343</v>
      </c>
      <c r="P40" s="72" t="str">
        <f t="shared" si="6"/>
        <v>34</v>
      </c>
      <c r="Q40" s="72" t="e">
        <f>LEFT(#REF!,3)</f>
        <v>#REF!</v>
      </c>
      <c r="R40" s="72" t="str">
        <f t="shared" si="7"/>
        <v>94</v>
      </c>
      <c r="V40" s="72">
        <v>3299</v>
      </c>
      <c r="W40" s="72" t="s">
        <v>57</v>
      </c>
      <c r="Y40" s="286" t="str">
        <f t="shared" si="8"/>
        <v>32</v>
      </c>
      <c r="Z40" s="72" t="str">
        <f t="shared" si="9"/>
        <v>329</v>
      </c>
      <c r="AB40" t="s">
        <v>1831</v>
      </c>
      <c r="AC40" t="s">
        <v>1832</v>
      </c>
      <c r="AD40" s="72" t="s">
        <v>5139</v>
      </c>
      <c r="AE40" s="72" t="s">
        <v>5140</v>
      </c>
      <c r="AF40" s="72" t="s">
        <v>5165</v>
      </c>
      <c r="AG40" s="72" t="s">
        <v>5172</v>
      </c>
    </row>
    <row r="41" spans="1:33">
      <c r="A41" s="333" t="s">
        <v>44</v>
      </c>
      <c r="B41" s="70" t="s">
        <v>5268</v>
      </c>
      <c r="C41" s="82">
        <v>11</v>
      </c>
      <c r="D41" s="77" t="str">
        <f t="shared" si="10"/>
        <v>Opći prihodi i primici</v>
      </c>
      <c r="E41" s="82">
        <v>3433</v>
      </c>
      <c r="F41" s="77" t="str">
        <f t="shared" si="12"/>
        <v>Zatezne kamate</v>
      </c>
      <c r="G41" s="114" t="s">
        <v>672</v>
      </c>
      <c r="H41" s="77" t="str">
        <f t="shared" si="2"/>
        <v>PROGRAMSKO FINANCIRANJE JAVNIH VISOKIH UČILIŠTA</v>
      </c>
      <c r="I41" s="77" t="str">
        <f t="shared" si="3"/>
        <v>0942</v>
      </c>
      <c r="J41" s="371">
        <v>1314</v>
      </c>
      <c r="K41" s="371">
        <f t="shared" si="4"/>
        <v>18686</v>
      </c>
      <c r="L41" s="371">
        <v>20000</v>
      </c>
      <c r="M41" s="81"/>
      <c r="O41" s="72" t="str">
        <f t="shared" si="5"/>
        <v>343</v>
      </c>
      <c r="P41" s="72" t="str">
        <f t="shared" si="6"/>
        <v>34</v>
      </c>
      <c r="Q41" s="72" t="e">
        <f>LEFT(#REF!,3)</f>
        <v>#REF!</v>
      </c>
      <c r="R41" s="72" t="str">
        <f t="shared" si="7"/>
        <v>94</v>
      </c>
      <c r="V41" s="72">
        <v>3411</v>
      </c>
      <c r="W41" s="72" t="s">
        <v>186</v>
      </c>
      <c r="Y41" s="286" t="str">
        <f t="shared" si="8"/>
        <v>34</v>
      </c>
      <c r="Z41" s="72" t="str">
        <f t="shared" si="9"/>
        <v>341</v>
      </c>
      <c r="AB41" t="s">
        <v>1833</v>
      </c>
      <c r="AC41" t="s">
        <v>1834</v>
      </c>
      <c r="AD41" s="72" t="s">
        <v>5139</v>
      </c>
      <c r="AE41" s="72" t="s">
        <v>5140</v>
      </c>
      <c r="AF41" s="72" t="s">
        <v>5165</v>
      </c>
      <c r="AG41" s="72" t="s">
        <v>5172</v>
      </c>
    </row>
    <row r="42" spans="1:33">
      <c r="A42" s="333" t="s">
        <v>44</v>
      </c>
      <c r="B42" s="70" t="s">
        <v>5268</v>
      </c>
      <c r="C42" s="82">
        <v>11</v>
      </c>
      <c r="D42" s="77" t="str">
        <f t="shared" si="10"/>
        <v>Opći prihodi i primici</v>
      </c>
      <c r="E42" s="82">
        <v>3434</v>
      </c>
      <c r="F42" s="77" t="str">
        <f t="shared" si="12"/>
        <v>Ostali nespomenuti financijski rashodi</v>
      </c>
      <c r="G42" s="114" t="s">
        <v>672</v>
      </c>
      <c r="H42" s="77" t="str">
        <f t="shared" si="2"/>
        <v>PROGRAMSKO FINANCIRANJE JAVNIH VISOKIH UČILIŠTA</v>
      </c>
      <c r="I42" s="77" t="str">
        <f t="shared" si="3"/>
        <v>0942</v>
      </c>
      <c r="J42" s="371">
        <v>21</v>
      </c>
      <c r="K42" s="371">
        <f t="shared" si="4"/>
        <v>0</v>
      </c>
      <c r="L42" s="371">
        <v>21</v>
      </c>
      <c r="M42" s="81"/>
      <c r="O42" s="72" t="str">
        <f t="shared" si="5"/>
        <v>343</v>
      </c>
      <c r="P42" s="72" t="str">
        <f t="shared" si="6"/>
        <v>34</v>
      </c>
      <c r="Q42" s="72" t="e">
        <f>LEFT(#REF!,3)</f>
        <v>#REF!</v>
      </c>
      <c r="R42" s="72" t="str">
        <f t="shared" si="7"/>
        <v>94</v>
      </c>
      <c r="V42" s="72">
        <v>3422</v>
      </c>
      <c r="W42" s="72" t="s">
        <v>149</v>
      </c>
      <c r="Y42" s="286" t="str">
        <f t="shared" si="8"/>
        <v>34</v>
      </c>
      <c r="Z42" s="72" t="str">
        <f t="shared" si="9"/>
        <v>342</v>
      </c>
      <c r="AB42" t="s">
        <v>1835</v>
      </c>
      <c r="AC42" t="s">
        <v>1836</v>
      </c>
      <c r="AD42" s="72" t="s">
        <v>5143</v>
      </c>
      <c r="AE42" s="72" t="s">
        <v>5144</v>
      </c>
      <c r="AF42" s="72" t="s">
        <v>5165</v>
      </c>
      <c r="AG42" s="72" t="s">
        <v>5175</v>
      </c>
    </row>
    <row r="43" spans="1:33">
      <c r="A43" s="333" t="s">
        <v>44</v>
      </c>
      <c r="B43" s="70" t="s">
        <v>5268</v>
      </c>
      <c r="C43" s="82">
        <v>11</v>
      </c>
      <c r="D43" s="77" t="str">
        <f t="shared" si="10"/>
        <v>Opći prihodi i primici</v>
      </c>
      <c r="E43" s="82">
        <v>3721</v>
      </c>
      <c r="F43" s="77" t="str">
        <f t="shared" si="12"/>
        <v>Naknade građanima i kućanstvima u novcu</v>
      </c>
      <c r="G43" s="114" t="s">
        <v>672</v>
      </c>
      <c r="H43" s="77" t="str">
        <f t="shared" si="2"/>
        <v>PROGRAMSKO FINANCIRANJE JAVNIH VISOKIH UČILIŠTA</v>
      </c>
      <c r="I43" s="77" t="str">
        <f t="shared" si="3"/>
        <v>0942</v>
      </c>
      <c r="J43" s="371">
        <v>108937</v>
      </c>
      <c r="K43" s="371">
        <f t="shared" si="4"/>
        <v>3654</v>
      </c>
      <c r="L43" s="371">
        <v>112591</v>
      </c>
      <c r="M43" s="81"/>
      <c r="O43" s="72" t="str">
        <f t="shared" si="5"/>
        <v>372</v>
      </c>
      <c r="P43" s="72" t="str">
        <f t="shared" si="6"/>
        <v>37</v>
      </c>
      <c r="Q43" s="72" t="e">
        <f>LEFT(#REF!,3)</f>
        <v>#REF!</v>
      </c>
      <c r="R43" s="72" t="str">
        <f t="shared" si="7"/>
        <v>94</v>
      </c>
      <c r="V43" s="72">
        <v>3423</v>
      </c>
      <c r="W43" s="72" t="s">
        <v>149</v>
      </c>
      <c r="Y43" s="286" t="str">
        <f t="shared" ref="Y43:Y76" si="13">LEFT(V43,2)</f>
        <v>34</v>
      </c>
      <c r="Z43" s="72" t="str">
        <f t="shared" ref="Z43:Z76" si="14">LEFT(V43,3)</f>
        <v>342</v>
      </c>
      <c r="AB43" t="s">
        <v>1837</v>
      </c>
      <c r="AC43" t="s">
        <v>933</v>
      </c>
      <c r="AD43" s="72" t="s">
        <v>5153</v>
      </c>
      <c r="AE43" s="72" t="s">
        <v>5154</v>
      </c>
      <c r="AF43" s="72" t="s">
        <v>5167</v>
      </c>
      <c r="AG43" s="72" t="s">
        <v>5180</v>
      </c>
    </row>
    <row r="44" spans="1:33">
      <c r="A44" s="333" t="s">
        <v>44</v>
      </c>
      <c r="B44" s="70" t="s">
        <v>5268</v>
      </c>
      <c r="C44" s="82">
        <v>11</v>
      </c>
      <c r="D44" s="77" t="str">
        <f t="shared" si="10"/>
        <v>Opći prihodi i primici</v>
      </c>
      <c r="E44" s="82">
        <v>4123</v>
      </c>
      <c r="F44" s="77" t="str">
        <f t="shared" si="12"/>
        <v>Licence</v>
      </c>
      <c r="G44" s="114" t="s">
        <v>672</v>
      </c>
      <c r="H44" s="77" t="str">
        <f t="shared" si="2"/>
        <v>PROGRAMSKO FINANCIRANJE JAVNIH VISOKIH UČILIŠTA</v>
      </c>
      <c r="I44" s="77" t="str">
        <f t="shared" si="3"/>
        <v>0942</v>
      </c>
      <c r="J44" s="371">
        <v>5479</v>
      </c>
      <c r="K44" s="371">
        <f t="shared" si="4"/>
        <v>-4979</v>
      </c>
      <c r="L44" s="371">
        <v>500</v>
      </c>
      <c r="M44" s="81"/>
      <c r="O44" s="72" t="str">
        <f t="shared" si="5"/>
        <v>412</v>
      </c>
      <c r="P44" s="72" t="str">
        <f t="shared" si="6"/>
        <v>41</v>
      </c>
      <c r="Q44" s="72" t="e">
        <f>LEFT(#REF!,3)</f>
        <v>#REF!</v>
      </c>
      <c r="R44" s="72" t="str">
        <f t="shared" si="7"/>
        <v>94</v>
      </c>
      <c r="V44" s="72">
        <v>3427</v>
      </c>
      <c r="W44" s="72" t="s">
        <v>188</v>
      </c>
      <c r="Y44" s="286" t="str">
        <f t="shared" si="13"/>
        <v>34</v>
      </c>
      <c r="Z44" s="72" t="str">
        <f t="shared" si="14"/>
        <v>342</v>
      </c>
      <c r="AB44" t="s">
        <v>1837</v>
      </c>
      <c r="AC44" t="s">
        <v>933</v>
      </c>
      <c r="AD44" s="72" t="s">
        <v>5139</v>
      </c>
      <c r="AE44" s="72" t="s">
        <v>5140</v>
      </c>
      <c r="AF44" s="72" t="s">
        <v>5165</v>
      </c>
      <c r="AG44" s="72" t="s">
        <v>5172</v>
      </c>
    </row>
    <row r="45" spans="1:33">
      <c r="A45" s="333" t="s">
        <v>44</v>
      </c>
      <c r="B45" s="70" t="s">
        <v>5268</v>
      </c>
      <c r="C45" s="82">
        <v>11</v>
      </c>
      <c r="D45" s="77" t="str">
        <f t="shared" si="10"/>
        <v>Opći prihodi i primici</v>
      </c>
      <c r="E45" s="82">
        <v>4212</v>
      </c>
      <c r="F45" s="77" t="str">
        <f t="shared" si="12"/>
        <v>Poslovni objekti</v>
      </c>
      <c r="G45" s="114" t="s">
        <v>672</v>
      </c>
      <c r="H45" s="77" t="str">
        <f t="shared" si="2"/>
        <v>PROGRAMSKO FINANCIRANJE JAVNIH VISOKIH UČILIŠTA</v>
      </c>
      <c r="I45" s="77" t="str">
        <f t="shared" si="3"/>
        <v>0942</v>
      </c>
      <c r="J45" s="371">
        <v>82558</v>
      </c>
      <c r="K45" s="371">
        <f t="shared" si="4"/>
        <v>-72558</v>
      </c>
      <c r="L45" s="371">
        <v>10000</v>
      </c>
      <c r="M45" s="81"/>
      <c r="O45" s="72" t="str">
        <f t="shared" si="5"/>
        <v>421</v>
      </c>
      <c r="P45" s="72" t="str">
        <f t="shared" si="6"/>
        <v>42</v>
      </c>
      <c r="Q45" s="72" t="e">
        <f>LEFT(#REF!,3)</f>
        <v>#REF!</v>
      </c>
      <c r="R45" s="72" t="str">
        <f t="shared" si="7"/>
        <v>94</v>
      </c>
      <c r="V45" s="72">
        <v>3431</v>
      </c>
      <c r="W45" s="72" t="s">
        <v>82</v>
      </c>
      <c r="Y45" s="286" t="str">
        <f t="shared" si="13"/>
        <v>34</v>
      </c>
      <c r="Z45" s="72" t="str">
        <f t="shared" si="14"/>
        <v>343</v>
      </c>
      <c r="AB45" t="s">
        <v>1629</v>
      </c>
      <c r="AC45" t="s">
        <v>1630</v>
      </c>
      <c r="AD45" s="72" t="s">
        <v>5139</v>
      </c>
      <c r="AE45" s="72" t="s">
        <v>5140</v>
      </c>
      <c r="AF45" s="72" t="s">
        <v>5165</v>
      </c>
      <c r="AG45" s="72" t="s">
        <v>5172</v>
      </c>
    </row>
    <row r="46" spans="1:33">
      <c r="A46" s="333" t="s">
        <v>44</v>
      </c>
      <c r="B46" s="70" t="s">
        <v>5268</v>
      </c>
      <c r="C46" s="82">
        <v>11</v>
      </c>
      <c r="D46" s="77" t="str">
        <f t="shared" si="10"/>
        <v>Opći prihodi i primici</v>
      </c>
      <c r="E46" s="82">
        <v>4221</v>
      </c>
      <c r="F46" s="77" t="str">
        <f t="shared" si="12"/>
        <v>Uredska oprema i namještaj</v>
      </c>
      <c r="G46" s="114" t="s">
        <v>672</v>
      </c>
      <c r="H46" s="77" t="str">
        <f t="shared" si="2"/>
        <v>PROGRAMSKO FINANCIRANJE JAVNIH VISOKIH UČILIŠTA</v>
      </c>
      <c r="I46" s="77" t="str">
        <f t="shared" si="3"/>
        <v>0942</v>
      </c>
      <c r="J46" s="371">
        <v>96089</v>
      </c>
      <c r="K46" s="371">
        <f t="shared" si="4"/>
        <v>-74089</v>
      </c>
      <c r="L46" s="371">
        <v>22000</v>
      </c>
      <c r="M46" s="81"/>
      <c r="O46" s="72" t="str">
        <f t="shared" si="5"/>
        <v>422</v>
      </c>
      <c r="P46" s="72" t="str">
        <f t="shared" si="6"/>
        <v>42</v>
      </c>
      <c r="Q46" s="72" t="e">
        <f>LEFT(#REF!,3)</f>
        <v>#REF!</v>
      </c>
      <c r="R46" s="72" t="str">
        <f t="shared" si="7"/>
        <v>94</v>
      </c>
      <c r="V46" s="72">
        <v>3432</v>
      </c>
      <c r="W46" s="72" t="s">
        <v>98</v>
      </c>
      <c r="Y46" s="286" t="str">
        <f t="shared" si="13"/>
        <v>34</v>
      </c>
      <c r="Z46" s="72" t="str">
        <f t="shared" si="14"/>
        <v>343</v>
      </c>
      <c r="AB46" t="s">
        <v>1838</v>
      </c>
      <c r="AC46" t="s">
        <v>1839</v>
      </c>
      <c r="AD46" s="72" t="s">
        <v>5153</v>
      </c>
      <c r="AE46" s="72" t="s">
        <v>5154</v>
      </c>
      <c r="AF46" s="72" t="s">
        <v>5167</v>
      </c>
      <c r="AG46" s="72" t="s">
        <v>5180</v>
      </c>
    </row>
    <row r="47" spans="1:33">
      <c r="A47" s="333" t="s">
        <v>44</v>
      </c>
      <c r="B47" s="70" t="s">
        <v>5268</v>
      </c>
      <c r="C47" s="82">
        <v>11</v>
      </c>
      <c r="D47" s="77" t="str">
        <f t="shared" si="10"/>
        <v>Opći prihodi i primici</v>
      </c>
      <c r="E47" s="82">
        <v>4222</v>
      </c>
      <c r="F47" s="77" t="str">
        <f t="shared" si="12"/>
        <v>Komunikacijska oprema</v>
      </c>
      <c r="G47" s="114" t="s">
        <v>672</v>
      </c>
      <c r="H47" s="77" t="str">
        <f t="shared" si="2"/>
        <v>PROGRAMSKO FINANCIRANJE JAVNIH VISOKIH UČILIŠTA</v>
      </c>
      <c r="I47" s="77" t="str">
        <f t="shared" si="3"/>
        <v>0942</v>
      </c>
      <c r="J47" s="371">
        <v>4541</v>
      </c>
      <c r="K47" s="371">
        <f t="shared" si="4"/>
        <v>459</v>
      </c>
      <c r="L47" s="371">
        <v>5000</v>
      </c>
      <c r="M47" s="81"/>
      <c r="O47" s="72" t="str">
        <f t="shared" si="5"/>
        <v>422</v>
      </c>
      <c r="P47" s="72" t="str">
        <f t="shared" si="6"/>
        <v>42</v>
      </c>
      <c r="Q47" s="72" t="e">
        <f>LEFT(#REF!,3)</f>
        <v>#REF!</v>
      </c>
      <c r="R47" s="72" t="str">
        <f t="shared" si="7"/>
        <v>94</v>
      </c>
      <c r="V47" s="72">
        <v>3433</v>
      </c>
      <c r="W47" s="72" t="s">
        <v>136</v>
      </c>
      <c r="Y47" s="286" t="str">
        <f t="shared" si="13"/>
        <v>34</v>
      </c>
      <c r="Z47" s="72" t="str">
        <f t="shared" si="14"/>
        <v>343</v>
      </c>
      <c r="AB47" t="s">
        <v>1838</v>
      </c>
      <c r="AC47" t="s">
        <v>1839</v>
      </c>
      <c r="AD47" s="72" t="s">
        <v>5155</v>
      </c>
      <c r="AE47" s="72" t="s">
        <v>5156</v>
      </c>
      <c r="AF47" s="72" t="s">
        <v>5165</v>
      </c>
      <c r="AG47" s="72" t="s">
        <v>5176</v>
      </c>
    </row>
    <row r="48" spans="1:33">
      <c r="A48" s="333" t="s">
        <v>44</v>
      </c>
      <c r="B48" s="70" t="s">
        <v>5268</v>
      </c>
      <c r="C48" s="82">
        <v>11</v>
      </c>
      <c r="D48" s="77" t="str">
        <f t="shared" si="10"/>
        <v>Opći prihodi i primici</v>
      </c>
      <c r="E48" s="82">
        <v>4223</v>
      </c>
      <c r="F48" s="77" t="str">
        <f t="shared" si="12"/>
        <v>Oprema za održavanje i zaštitu</v>
      </c>
      <c r="G48" s="114" t="s">
        <v>672</v>
      </c>
      <c r="H48" s="77" t="str">
        <f t="shared" si="2"/>
        <v>PROGRAMSKO FINANCIRANJE JAVNIH VISOKIH UČILIŠTA</v>
      </c>
      <c r="I48" s="77" t="str">
        <f t="shared" si="3"/>
        <v>0942</v>
      </c>
      <c r="J48" s="371">
        <v>1644</v>
      </c>
      <c r="K48" s="371">
        <f t="shared" si="4"/>
        <v>-1544</v>
      </c>
      <c r="L48" s="371">
        <v>100</v>
      </c>
      <c r="M48" s="81"/>
      <c r="O48" s="72" t="str">
        <f t="shared" si="5"/>
        <v>422</v>
      </c>
      <c r="P48" s="72" t="str">
        <f t="shared" si="6"/>
        <v>42</v>
      </c>
      <c r="Q48" s="72" t="e">
        <f>LEFT(#REF!,3)</f>
        <v>#REF!</v>
      </c>
      <c r="R48" s="72" t="str">
        <f t="shared" si="7"/>
        <v>94</v>
      </c>
      <c r="V48" s="72">
        <v>3434</v>
      </c>
      <c r="W48" s="72" t="s">
        <v>67</v>
      </c>
      <c r="Y48" s="286" t="str">
        <f t="shared" si="13"/>
        <v>34</v>
      </c>
      <c r="Z48" s="72" t="str">
        <f t="shared" si="14"/>
        <v>343</v>
      </c>
      <c r="AB48" t="s">
        <v>1840</v>
      </c>
      <c r="AC48" t="s">
        <v>1841</v>
      </c>
      <c r="AD48" s="72" t="s">
        <v>5155</v>
      </c>
      <c r="AE48" s="72" t="s">
        <v>5156</v>
      </c>
      <c r="AF48" s="72" t="s">
        <v>5165</v>
      </c>
      <c r="AG48" s="72" t="s">
        <v>5176</v>
      </c>
    </row>
    <row r="49" spans="1:33">
      <c r="A49" s="333" t="s">
        <v>44</v>
      </c>
      <c r="B49" s="70" t="s">
        <v>5268</v>
      </c>
      <c r="C49" s="82">
        <v>11</v>
      </c>
      <c r="D49" s="77" t="str">
        <f t="shared" si="10"/>
        <v>Opći prihodi i primici</v>
      </c>
      <c r="E49" s="82">
        <v>4224</v>
      </c>
      <c r="F49" s="77" t="str">
        <f t="shared" si="12"/>
        <v>Medicinska i laboratorijska oprema</v>
      </c>
      <c r="G49" s="114" t="s">
        <v>672</v>
      </c>
      <c r="H49" s="77" t="str">
        <f t="shared" si="2"/>
        <v>PROGRAMSKO FINANCIRANJE JAVNIH VISOKIH UČILIŠTA</v>
      </c>
      <c r="I49" s="77" t="str">
        <f t="shared" si="3"/>
        <v>0942</v>
      </c>
      <c r="J49" s="371">
        <v>2608</v>
      </c>
      <c r="K49" s="371">
        <f t="shared" si="4"/>
        <v>492</v>
      </c>
      <c r="L49" s="371">
        <v>3100</v>
      </c>
      <c r="M49" s="81"/>
      <c r="O49" s="72" t="str">
        <f t="shared" si="5"/>
        <v>422</v>
      </c>
      <c r="P49" s="72" t="str">
        <f t="shared" si="6"/>
        <v>42</v>
      </c>
      <c r="Q49" s="72" t="e">
        <f>LEFT(#REF!,3)</f>
        <v>#REF!</v>
      </c>
      <c r="R49" s="72" t="str">
        <f t="shared" si="7"/>
        <v>94</v>
      </c>
      <c r="V49" s="72">
        <v>3511</v>
      </c>
      <c r="W49" s="72" t="s">
        <v>179</v>
      </c>
      <c r="Y49" s="286" t="str">
        <f t="shared" si="13"/>
        <v>35</v>
      </c>
      <c r="Z49" s="72" t="str">
        <f t="shared" si="14"/>
        <v>351</v>
      </c>
      <c r="AB49" t="s">
        <v>1842</v>
      </c>
      <c r="AC49" t="s">
        <v>1843</v>
      </c>
      <c r="AD49" s="72" t="s">
        <v>5155</v>
      </c>
      <c r="AE49" s="72" t="s">
        <v>5156</v>
      </c>
      <c r="AF49" s="72" t="s">
        <v>5165</v>
      </c>
      <c r="AG49" s="72" t="s">
        <v>5176</v>
      </c>
    </row>
    <row r="50" spans="1:33">
      <c r="A50" s="333" t="s">
        <v>44</v>
      </c>
      <c r="B50" s="70" t="s">
        <v>5268</v>
      </c>
      <c r="C50" s="82">
        <v>11</v>
      </c>
      <c r="D50" s="77" t="str">
        <f t="shared" si="10"/>
        <v>Opći prihodi i primici</v>
      </c>
      <c r="E50" s="82">
        <v>4225</v>
      </c>
      <c r="F50" s="77" t="str">
        <f t="shared" si="12"/>
        <v>Instrumenti, uređaji i strojevi</v>
      </c>
      <c r="G50" s="114" t="s">
        <v>672</v>
      </c>
      <c r="H50" s="77" t="str">
        <f t="shared" si="2"/>
        <v>PROGRAMSKO FINANCIRANJE JAVNIH VISOKIH UČILIŠTA</v>
      </c>
      <c r="I50" s="77" t="str">
        <f t="shared" si="3"/>
        <v>0942</v>
      </c>
      <c r="J50" s="371">
        <v>209</v>
      </c>
      <c r="K50" s="371">
        <f t="shared" si="4"/>
        <v>-109</v>
      </c>
      <c r="L50" s="371">
        <v>100</v>
      </c>
      <c r="M50" s="81"/>
      <c r="O50" s="72" t="str">
        <f t="shared" si="5"/>
        <v>422</v>
      </c>
      <c r="P50" s="72" t="str">
        <f t="shared" si="6"/>
        <v>42</v>
      </c>
      <c r="Q50" s="72" t="e">
        <f>LEFT(#REF!,3)</f>
        <v>#REF!</v>
      </c>
      <c r="R50" s="72" t="str">
        <f t="shared" si="7"/>
        <v>94</v>
      </c>
      <c r="V50" s="72">
        <v>3512</v>
      </c>
      <c r="W50" s="72" t="s">
        <v>181</v>
      </c>
      <c r="Y50" s="286" t="str">
        <f t="shared" si="13"/>
        <v>35</v>
      </c>
      <c r="Z50" s="72" t="str">
        <f t="shared" si="14"/>
        <v>351</v>
      </c>
      <c r="AB50" t="s">
        <v>1844</v>
      </c>
      <c r="AC50" t="s">
        <v>933</v>
      </c>
      <c r="AD50" s="72" t="s">
        <v>5153</v>
      </c>
      <c r="AE50" s="72" t="s">
        <v>5154</v>
      </c>
      <c r="AF50" s="72" t="s">
        <v>5167</v>
      </c>
      <c r="AG50" s="72" t="s">
        <v>5180</v>
      </c>
    </row>
    <row r="51" spans="1:33">
      <c r="A51" s="333" t="s">
        <v>44</v>
      </c>
      <c r="B51" s="70" t="s">
        <v>5268</v>
      </c>
      <c r="C51" s="82">
        <v>11</v>
      </c>
      <c r="D51" s="77" t="str">
        <f t="shared" ref="D51" si="15">IFERROR(VLOOKUP(C51,$S$6:$T$24,2,FALSE),"")</f>
        <v>Opći prihodi i primici</v>
      </c>
      <c r="E51" s="82">
        <v>4226</v>
      </c>
      <c r="F51" s="77" t="str">
        <f t="shared" si="12"/>
        <v>Sportska i glazbena oprema</v>
      </c>
      <c r="G51" s="114" t="s">
        <v>672</v>
      </c>
      <c r="H51" s="77" t="str">
        <f t="shared" si="2"/>
        <v>PROGRAMSKO FINANCIRANJE JAVNIH VISOKIH UČILIŠTA</v>
      </c>
      <c r="I51" s="77" t="str">
        <f t="shared" si="3"/>
        <v>0942</v>
      </c>
      <c r="J51" s="371">
        <v>0</v>
      </c>
      <c r="K51" s="371">
        <f t="shared" si="4"/>
        <v>10000</v>
      </c>
      <c r="L51" s="371">
        <v>10000</v>
      </c>
      <c r="M51" s="81"/>
      <c r="AB51"/>
      <c r="AC51"/>
    </row>
    <row r="52" spans="1:33">
      <c r="A52" s="333" t="s">
        <v>44</v>
      </c>
      <c r="B52" s="70" t="s">
        <v>5268</v>
      </c>
      <c r="C52" s="82">
        <v>11</v>
      </c>
      <c r="D52" s="77" t="str">
        <f t="shared" si="10"/>
        <v>Opći prihodi i primici</v>
      </c>
      <c r="E52" s="82">
        <v>4227</v>
      </c>
      <c r="F52" s="77" t="str">
        <f t="shared" si="12"/>
        <v>Uređaji, strojevi i oprema za ostale namjene</v>
      </c>
      <c r="G52" s="114" t="s">
        <v>672</v>
      </c>
      <c r="H52" s="77" t="str">
        <f t="shared" si="2"/>
        <v>PROGRAMSKO FINANCIRANJE JAVNIH VISOKIH UČILIŠTA</v>
      </c>
      <c r="I52" s="77" t="str">
        <f t="shared" si="3"/>
        <v>0942</v>
      </c>
      <c r="J52" s="371">
        <v>652</v>
      </c>
      <c r="K52" s="371">
        <f t="shared" si="4"/>
        <v>6348</v>
      </c>
      <c r="L52" s="371">
        <v>7000</v>
      </c>
      <c r="M52" s="81"/>
      <c r="O52" s="72" t="str">
        <f t="shared" si="5"/>
        <v>422</v>
      </c>
      <c r="P52" s="72" t="str">
        <f t="shared" si="6"/>
        <v>42</v>
      </c>
      <c r="Q52" s="72" t="e">
        <f>LEFT(#REF!,3)</f>
        <v>#REF!</v>
      </c>
      <c r="R52" s="72" t="str">
        <f t="shared" si="7"/>
        <v>94</v>
      </c>
      <c r="V52" s="72">
        <v>3522</v>
      </c>
      <c r="W52" s="72" t="s">
        <v>234</v>
      </c>
      <c r="Y52" s="286" t="str">
        <f t="shared" si="13"/>
        <v>35</v>
      </c>
      <c r="Z52" s="72" t="str">
        <f t="shared" si="14"/>
        <v>352</v>
      </c>
      <c r="AB52" t="s">
        <v>1631</v>
      </c>
      <c r="AC52" t="s">
        <v>1116</v>
      </c>
      <c r="AD52" s="72" t="s">
        <v>5155</v>
      </c>
      <c r="AE52" s="72" t="s">
        <v>5156</v>
      </c>
      <c r="AF52" s="72" t="s">
        <v>5165</v>
      </c>
      <c r="AG52" s="72" t="s">
        <v>5176</v>
      </c>
    </row>
    <row r="53" spans="1:33">
      <c r="A53" s="333" t="s">
        <v>44</v>
      </c>
      <c r="B53" s="70" t="s">
        <v>5268</v>
      </c>
      <c r="C53" s="82">
        <v>11</v>
      </c>
      <c r="D53" s="77" t="str">
        <f t="shared" si="10"/>
        <v>Opći prihodi i primici</v>
      </c>
      <c r="E53" s="82">
        <v>4241</v>
      </c>
      <c r="F53" s="77" t="str">
        <f t="shared" si="12"/>
        <v>Knjige</v>
      </c>
      <c r="G53" s="114" t="s">
        <v>672</v>
      </c>
      <c r="H53" s="77" t="str">
        <f t="shared" si="2"/>
        <v>PROGRAMSKO FINANCIRANJE JAVNIH VISOKIH UČILIŠTA</v>
      </c>
      <c r="I53" s="77" t="str">
        <f t="shared" si="3"/>
        <v>0942</v>
      </c>
      <c r="J53" s="371">
        <v>1317</v>
      </c>
      <c r="K53" s="371">
        <f t="shared" si="4"/>
        <v>-1217</v>
      </c>
      <c r="L53" s="371">
        <v>100</v>
      </c>
      <c r="M53" s="81"/>
      <c r="O53" s="72" t="str">
        <f t="shared" si="5"/>
        <v>424</v>
      </c>
      <c r="P53" s="72" t="str">
        <f t="shared" si="6"/>
        <v>42</v>
      </c>
      <c r="Q53" s="72" t="e">
        <f>LEFT(#REF!,3)</f>
        <v>#REF!</v>
      </c>
      <c r="R53" s="72" t="str">
        <f t="shared" si="7"/>
        <v>94</v>
      </c>
      <c r="V53" s="72">
        <v>3531</v>
      </c>
      <c r="W53" s="72" t="s">
        <v>133</v>
      </c>
      <c r="Y53" s="286" t="str">
        <f t="shared" si="13"/>
        <v>35</v>
      </c>
      <c r="Z53" s="72" t="str">
        <f t="shared" si="14"/>
        <v>353</v>
      </c>
      <c r="AB53" t="s">
        <v>1845</v>
      </c>
      <c r="AC53" t="s">
        <v>1846</v>
      </c>
      <c r="AD53" s="72" t="s">
        <v>5155</v>
      </c>
      <c r="AE53" s="72" t="s">
        <v>5156</v>
      </c>
      <c r="AF53" s="72" t="s">
        <v>5165</v>
      </c>
      <c r="AG53" s="72" t="s">
        <v>5176</v>
      </c>
    </row>
    <row r="54" spans="1:33">
      <c r="A54" s="333" t="s">
        <v>44</v>
      </c>
      <c r="B54" s="70" t="s">
        <v>5268</v>
      </c>
      <c r="C54" s="82">
        <v>11</v>
      </c>
      <c r="D54" s="77" t="str">
        <f t="shared" si="10"/>
        <v>Opći prihodi i primici</v>
      </c>
      <c r="E54" s="82">
        <v>4262</v>
      </c>
      <c r="F54" s="77" t="str">
        <f t="shared" si="12"/>
        <v>Ulaganja u računalne programe</v>
      </c>
      <c r="G54" s="114" t="s">
        <v>672</v>
      </c>
      <c r="H54" s="77" t="str">
        <f t="shared" si="2"/>
        <v>PROGRAMSKO FINANCIRANJE JAVNIH VISOKIH UČILIŠTA</v>
      </c>
      <c r="I54" s="77" t="str">
        <f t="shared" si="3"/>
        <v>0942</v>
      </c>
      <c r="J54" s="371">
        <v>1651</v>
      </c>
      <c r="K54" s="371">
        <f t="shared" si="4"/>
        <v>-1151</v>
      </c>
      <c r="L54" s="371">
        <v>500</v>
      </c>
      <c r="M54" s="81"/>
      <c r="O54" s="72" t="str">
        <f t="shared" si="5"/>
        <v>426</v>
      </c>
      <c r="P54" s="72" t="str">
        <f t="shared" si="6"/>
        <v>42</v>
      </c>
      <c r="Q54" s="72" t="e">
        <f>LEFT(#REF!,3)</f>
        <v>#REF!</v>
      </c>
      <c r="R54" s="72" t="str">
        <f t="shared" si="7"/>
        <v>94</v>
      </c>
      <c r="V54" s="72">
        <v>3611</v>
      </c>
      <c r="W54" s="72" t="s">
        <v>87</v>
      </c>
      <c r="Y54" s="286" t="str">
        <f t="shared" si="13"/>
        <v>36</v>
      </c>
      <c r="Z54" s="72" t="str">
        <f t="shared" si="14"/>
        <v>361</v>
      </c>
      <c r="AB54" t="s">
        <v>1632</v>
      </c>
      <c r="AC54" t="s">
        <v>1633</v>
      </c>
      <c r="AD54" s="72" t="s">
        <v>5155</v>
      </c>
      <c r="AE54" s="72" t="s">
        <v>5156</v>
      </c>
      <c r="AF54" s="72" t="s">
        <v>5165</v>
      </c>
      <c r="AG54" s="72" t="s">
        <v>5176</v>
      </c>
    </row>
    <row r="55" spans="1:33">
      <c r="A55" s="333" t="s">
        <v>44</v>
      </c>
      <c r="B55" s="70" t="s">
        <v>5268</v>
      </c>
      <c r="C55" s="82">
        <v>11</v>
      </c>
      <c r="D55" s="77" t="str">
        <f t="shared" si="10"/>
        <v>Opći prihodi i primici</v>
      </c>
      <c r="E55" s="82">
        <v>4312</v>
      </c>
      <c r="F55" s="77" t="str">
        <f t="shared" si="12"/>
        <v>Pohranjene knjige, umjetnička djela i slične vrijednosti</v>
      </c>
      <c r="G55" s="114" t="s">
        <v>672</v>
      </c>
      <c r="H55" s="77" t="str">
        <f t="shared" si="2"/>
        <v>PROGRAMSKO FINANCIRANJE JAVNIH VISOKIH UČILIŠTA</v>
      </c>
      <c r="I55" s="77" t="str">
        <f t="shared" si="3"/>
        <v>0942</v>
      </c>
      <c r="J55" s="371">
        <v>110</v>
      </c>
      <c r="K55" s="371">
        <f t="shared" si="4"/>
        <v>-10</v>
      </c>
      <c r="L55" s="371">
        <v>100</v>
      </c>
      <c r="M55" s="81"/>
      <c r="O55" s="72" t="str">
        <f t="shared" si="5"/>
        <v>431</v>
      </c>
      <c r="P55" s="72" t="str">
        <f t="shared" si="6"/>
        <v>43</v>
      </c>
      <c r="Q55" s="72" t="e">
        <f>LEFT(#REF!,3)</f>
        <v>#REF!</v>
      </c>
      <c r="R55" s="72" t="str">
        <f t="shared" si="7"/>
        <v>94</v>
      </c>
      <c r="V55" s="72">
        <v>3621</v>
      </c>
      <c r="W55" s="72" t="s">
        <v>137</v>
      </c>
      <c r="Y55" s="286" t="str">
        <f t="shared" si="13"/>
        <v>36</v>
      </c>
      <c r="Z55" s="72" t="str">
        <f t="shared" si="14"/>
        <v>362</v>
      </c>
      <c r="AB55" t="s">
        <v>1847</v>
      </c>
      <c r="AC55" t="s">
        <v>1848</v>
      </c>
      <c r="AD55" s="72" t="s">
        <v>5157</v>
      </c>
      <c r="AE55" s="72" t="s">
        <v>5158</v>
      </c>
      <c r="AF55" s="72" t="s">
        <v>5165</v>
      </c>
      <c r="AG55" s="72" t="s">
        <v>5178</v>
      </c>
    </row>
    <row r="56" spans="1:33">
      <c r="A56" s="333" t="s">
        <v>44</v>
      </c>
      <c r="B56" s="70" t="s">
        <v>5268</v>
      </c>
      <c r="C56" s="82">
        <v>11</v>
      </c>
      <c r="D56" s="77" t="str">
        <f t="shared" si="10"/>
        <v>Opći prihodi i primici</v>
      </c>
      <c r="E56" s="82">
        <v>4511</v>
      </c>
      <c r="F56" s="77" t="str">
        <f t="shared" si="12"/>
        <v>Dodatna ulaganja na građevinskim objektima</v>
      </c>
      <c r="G56" s="114" t="s">
        <v>672</v>
      </c>
      <c r="H56" s="77" t="str">
        <f t="shared" si="2"/>
        <v>PROGRAMSKO FINANCIRANJE JAVNIH VISOKIH UČILIŠTA</v>
      </c>
      <c r="I56" s="77" t="str">
        <f t="shared" si="3"/>
        <v>0942</v>
      </c>
      <c r="J56" s="371">
        <v>5479</v>
      </c>
      <c r="K56" s="371">
        <f t="shared" si="4"/>
        <v>-479</v>
      </c>
      <c r="L56" s="371">
        <v>5000</v>
      </c>
      <c r="M56" s="81"/>
      <c r="O56" s="72" t="str">
        <f t="shared" si="5"/>
        <v>451</v>
      </c>
      <c r="P56" s="72" t="str">
        <f t="shared" si="6"/>
        <v>45</v>
      </c>
      <c r="Q56" s="72" t="e">
        <f>LEFT(#REF!,3)</f>
        <v>#REF!</v>
      </c>
      <c r="R56" s="72" t="str">
        <f t="shared" si="7"/>
        <v>94</v>
      </c>
      <c r="V56" s="72">
        <v>3631</v>
      </c>
      <c r="W56" s="72" t="s">
        <v>178</v>
      </c>
      <c r="Y56" s="286" t="str">
        <f t="shared" si="13"/>
        <v>36</v>
      </c>
      <c r="Z56" s="72" t="str">
        <f t="shared" si="14"/>
        <v>363</v>
      </c>
      <c r="AB56" t="s">
        <v>1849</v>
      </c>
      <c r="AC56" t="s">
        <v>1850</v>
      </c>
      <c r="AD56" s="72" t="s">
        <v>5157</v>
      </c>
      <c r="AE56" s="72" t="s">
        <v>5158</v>
      </c>
      <c r="AF56" s="72" t="s">
        <v>5165</v>
      </c>
      <c r="AG56" s="72" t="s">
        <v>5178</v>
      </c>
    </row>
    <row r="57" spans="1:33">
      <c r="A57" s="333" t="s">
        <v>44</v>
      </c>
      <c r="B57" s="70" t="s">
        <v>5268</v>
      </c>
      <c r="C57" s="82">
        <v>31</v>
      </c>
      <c r="D57" s="77" t="str">
        <f t="shared" si="10"/>
        <v>Vlastiti prihodi</v>
      </c>
      <c r="E57" s="82">
        <v>3111</v>
      </c>
      <c r="F57" s="77" t="str">
        <f t="shared" si="12"/>
        <v>Plaće za redovan rad</v>
      </c>
      <c r="G57" s="114" t="s">
        <v>177</v>
      </c>
      <c r="H57" s="77" t="str">
        <f t="shared" si="2"/>
        <v>REDOVNA DJELATNOST SVEUČILIŠTA U OSIJEKU (IZ EVIDENCIJSKIH PRIHODA)</v>
      </c>
      <c r="I57" s="77" t="str">
        <f t="shared" si="3"/>
        <v>0942</v>
      </c>
      <c r="J57" s="351">
        <v>38924</v>
      </c>
      <c r="K57" s="371">
        <f t="shared" si="4"/>
        <v>-33924</v>
      </c>
      <c r="L57" s="371">
        <v>5000</v>
      </c>
      <c r="M57" s="81"/>
      <c r="O57" s="72" t="str">
        <f t="shared" si="5"/>
        <v>311</v>
      </c>
      <c r="P57" s="72" t="str">
        <f t="shared" si="6"/>
        <v>31</v>
      </c>
      <c r="Q57" s="72" t="e">
        <f>LEFT(#REF!,3)</f>
        <v>#REF!</v>
      </c>
      <c r="R57" s="72" t="str">
        <f t="shared" si="7"/>
        <v>94</v>
      </c>
      <c r="V57" s="72">
        <v>3632</v>
      </c>
      <c r="W57" s="72" t="s">
        <v>235</v>
      </c>
      <c r="Y57" s="286" t="str">
        <f t="shared" si="13"/>
        <v>36</v>
      </c>
      <c r="Z57" s="72" t="str">
        <f t="shared" si="14"/>
        <v>363</v>
      </c>
      <c r="AB57" t="s">
        <v>1851</v>
      </c>
      <c r="AC57" t="s">
        <v>1852</v>
      </c>
      <c r="AD57" s="72" t="s">
        <v>5157</v>
      </c>
      <c r="AE57" s="72" t="s">
        <v>5158</v>
      </c>
      <c r="AF57" s="72" t="s">
        <v>5165</v>
      </c>
      <c r="AG57" s="72" t="s">
        <v>5178</v>
      </c>
    </row>
    <row r="58" spans="1:33">
      <c r="A58" s="333" t="s">
        <v>44</v>
      </c>
      <c r="B58" s="70" t="s">
        <v>5268</v>
      </c>
      <c r="C58" s="82">
        <v>31</v>
      </c>
      <c r="D58" s="77" t="str">
        <f t="shared" si="10"/>
        <v>Vlastiti prihodi</v>
      </c>
      <c r="E58" s="82">
        <v>3121</v>
      </c>
      <c r="F58" s="77" t="str">
        <f t="shared" si="12"/>
        <v>Ostali rashodi za zaposlene</v>
      </c>
      <c r="G58" s="114" t="s">
        <v>177</v>
      </c>
      <c r="H58" s="77" t="str">
        <f t="shared" si="2"/>
        <v>REDOVNA DJELATNOST SVEUČILIŠTA U OSIJEKU (IZ EVIDENCIJSKIH PRIHODA)</v>
      </c>
      <c r="I58" s="77" t="str">
        <f t="shared" si="3"/>
        <v>0942</v>
      </c>
      <c r="J58" s="351">
        <v>33181</v>
      </c>
      <c r="K58" s="371">
        <f t="shared" si="4"/>
        <v>36819</v>
      </c>
      <c r="L58" s="371">
        <v>70000</v>
      </c>
      <c r="M58" s="81"/>
      <c r="O58" s="72" t="str">
        <f t="shared" si="5"/>
        <v>312</v>
      </c>
      <c r="P58" s="72" t="str">
        <f t="shared" si="6"/>
        <v>31</v>
      </c>
      <c r="Q58" s="72" t="e">
        <f>LEFT(#REF!,3)</f>
        <v>#REF!</v>
      </c>
      <c r="R58" s="72" t="str">
        <f t="shared" si="7"/>
        <v>94</v>
      </c>
      <c r="V58" s="72">
        <v>3661</v>
      </c>
      <c r="W58" s="72" t="s">
        <v>99</v>
      </c>
      <c r="Y58" s="286" t="str">
        <f t="shared" si="13"/>
        <v>36</v>
      </c>
      <c r="Z58" s="72" t="str">
        <f t="shared" si="14"/>
        <v>366</v>
      </c>
      <c r="AB58" t="s">
        <v>1853</v>
      </c>
      <c r="AC58" t="s">
        <v>1854</v>
      </c>
      <c r="AD58" s="72" t="s">
        <v>5157</v>
      </c>
      <c r="AE58" s="72" t="s">
        <v>5158</v>
      </c>
      <c r="AF58" s="72" t="s">
        <v>5165</v>
      </c>
      <c r="AG58" s="72" t="s">
        <v>5178</v>
      </c>
    </row>
    <row r="59" spans="1:33">
      <c r="A59" s="333" t="s">
        <v>44</v>
      </c>
      <c r="B59" s="70" t="s">
        <v>5268</v>
      </c>
      <c r="C59" s="82">
        <v>31</v>
      </c>
      <c r="D59" s="77" t="str">
        <f t="shared" si="10"/>
        <v>Vlastiti prihodi</v>
      </c>
      <c r="E59" s="82">
        <v>3132</v>
      </c>
      <c r="F59" s="77" t="str">
        <f t="shared" si="12"/>
        <v>Doprinosi za obvezno zdravstveno osiguranje</v>
      </c>
      <c r="G59" s="114" t="s">
        <v>177</v>
      </c>
      <c r="H59" s="77" t="str">
        <f t="shared" si="2"/>
        <v>REDOVNA DJELATNOST SVEUČILIŠTA U OSIJEKU (IZ EVIDENCIJSKIH PRIHODA)</v>
      </c>
      <c r="I59" s="77" t="str">
        <f t="shared" si="3"/>
        <v>0942</v>
      </c>
      <c r="J59" s="351">
        <v>5042</v>
      </c>
      <c r="K59" s="371">
        <f t="shared" si="4"/>
        <v>-4542</v>
      </c>
      <c r="L59" s="371">
        <v>500</v>
      </c>
      <c r="M59" s="81"/>
      <c r="O59" s="72" t="str">
        <f t="shared" si="5"/>
        <v>313</v>
      </c>
      <c r="P59" s="72" t="str">
        <f t="shared" si="6"/>
        <v>31</v>
      </c>
      <c r="Q59" s="72" t="e">
        <f>LEFT(#REF!,3)</f>
        <v>#REF!</v>
      </c>
      <c r="R59" s="72" t="str">
        <f t="shared" si="7"/>
        <v>94</v>
      </c>
      <c r="V59" s="72">
        <v>3662</v>
      </c>
      <c r="W59" s="72" t="s">
        <v>182</v>
      </c>
      <c r="Y59" s="286" t="str">
        <f t="shared" si="13"/>
        <v>36</v>
      </c>
      <c r="Z59" s="72" t="str">
        <f t="shared" si="14"/>
        <v>366</v>
      </c>
      <c r="AB59" t="s">
        <v>1855</v>
      </c>
      <c r="AC59" t="s">
        <v>1856</v>
      </c>
      <c r="AD59" s="72" t="s">
        <v>5157</v>
      </c>
      <c r="AE59" s="72" t="s">
        <v>5158</v>
      </c>
      <c r="AF59" s="72" t="s">
        <v>5165</v>
      </c>
      <c r="AG59" s="72" t="s">
        <v>5178</v>
      </c>
    </row>
    <row r="60" spans="1:33">
      <c r="A60" s="333" t="s">
        <v>44</v>
      </c>
      <c r="B60" s="70" t="s">
        <v>5268</v>
      </c>
      <c r="C60" s="82">
        <v>31</v>
      </c>
      <c r="D60" s="77" t="str">
        <f t="shared" si="10"/>
        <v>Vlastiti prihodi</v>
      </c>
      <c r="E60" s="82">
        <v>3211</v>
      </c>
      <c r="F60" s="77" t="str">
        <f t="shared" si="12"/>
        <v>Službena putovanja</v>
      </c>
      <c r="G60" s="114" t="s">
        <v>177</v>
      </c>
      <c r="H60" s="77" t="str">
        <f t="shared" si="2"/>
        <v>REDOVNA DJELATNOST SVEUČILIŠTA U OSIJEKU (IZ EVIDENCIJSKIH PRIHODA)</v>
      </c>
      <c r="I60" s="359" t="str">
        <f t="shared" si="3"/>
        <v>0942</v>
      </c>
      <c r="J60" s="362">
        <v>8581</v>
      </c>
      <c r="K60" s="410">
        <f t="shared" si="4"/>
        <v>-8081</v>
      </c>
      <c r="L60" s="371">
        <v>500</v>
      </c>
      <c r="M60" s="81"/>
      <c r="O60" s="72" t="str">
        <f t="shared" si="5"/>
        <v>321</v>
      </c>
      <c r="P60" s="72" t="str">
        <f t="shared" si="6"/>
        <v>32</v>
      </c>
      <c r="Q60" s="72" t="e">
        <f>LEFT(#REF!,3)</f>
        <v>#REF!</v>
      </c>
      <c r="R60" s="72" t="str">
        <f t="shared" si="7"/>
        <v>94</v>
      </c>
      <c r="V60" s="72">
        <v>3681</v>
      </c>
      <c r="W60" s="72" t="s">
        <v>26</v>
      </c>
      <c r="Y60" s="286" t="str">
        <f t="shared" si="13"/>
        <v>36</v>
      </c>
      <c r="Z60" s="72" t="str">
        <f t="shared" si="14"/>
        <v>368</v>
      </c>
      <c r="AB60" t="s">
        <v>1857</v>
      </c>
      <c r="AC60" t="s">
        <v>1858</v>
      </c>
      <c r="AD60" s="72" t="s">
        <v>5157</v>
      </c>
      <c r="AE60" s="72" t="s">
        <v>5158</v>
      </c>
      <c r="AF60" s="72" t="s">
        <v>5165</v>
      </c>
      <c r="AG60" s="72" t="s">
        <v>5178</v>
      </c>
    </row>
    <row r="61" spans="1:33">
      <c r="A61" s="333" t="s">
        <v>44</v>
      </c>
      <c r="B61" s="70" t="s">
        <v>5268</v>
      </c>
      <c r="C61" s="82">
        <v>31</v>
      </c>
      <c r="D61" s="77" t="str">
        <f t="shared" ref="D61" si="16">IFERROR(VLOOKUP(C61,$S$6:$T$24,2,FALSE),"")</f>
        <v>Vlastiti prihodi</v>
      </c>
      <c r="E61" s="82">
        <v>3293</v>
      </c>
      <c r="F61" s="77" t="str">
        <f t="shared" si="12"/>
        <v>Reprezentacija</v>
      </c>
      <c r="G61" s="114" t="s">
        <v>177</v>
      </c>
      <c r="H61" s="77" t="str">
        <f t="shared" si="2"/>
        <v>REDOVNA DJELATNOST SVEUČILIŠTA U OSIJEKU (IZ EVIDENCIJSKIH PRIHODA)</v>
      </c>
      <c r="I61" s="359" t="str">
        <f t="shared" si="3"/>
        <v>0942</v>
      </c>
      <c r="J61" s="362">
        <v>0</v>
      </c>
      <c r="K61" s="410">
        <f t="shared" si="4"/>
        <v>500</v>
      </c>
      <c r="L61" s="371">
        <v>500</v>
      </c>
      <c r="M61" s="81"/>
      <c r="O61" s="72" t="str">
        <f t="shared" si="5"/>
        <v>329</v>
      </c>
      <c r="P61" s="72" t="str">
        <f t="shared" si="6"/>
        <v>32</v>
      </c>
      <c r="AB61"/>
      <c r="AC61"/>
    </row>
    <row r="62" spans="1:33">
      <c r="A62" s="333" t="s">
        <v>44</v>
      </c>
      <c r="B62" s="70" t="s">
        <v>5268</v>
      </c>
      <c r="C62" s="82">
        <v>31</v>
      </c>
      <c r="D62" s="77" t="str">
        <f t="shared" si="10"/>
        <v>Vlastiti prihodi</v>
      </c>
      <c r="E62" s="82">
        <v>3811</v>
      </c>
      <c r="F62" s="77" t="str">
        <f t="shared" si="12"/>
        <v>Tekuće donacije u novcu</v>
      </c>
      <c r="G62" s="114" t="s">
        <v>177</v>
      </c>
      <c r="H62" s="77" t="str">
        <f t="shared" si="2"/>
        <v>REDOVNA DJELATNOST SVEUČILIŠTA U OSIJEKU (IZ EVIDENCIJSKIH PRIHODA)</v>
      </c>
      <c r="I62" s="77" t="str">
        <f t="shared" si="3"/>
        <v>0942</v>
      </c>
      <c r="J62" s="411">
        <v>7963</v>
      </c>
      <c r="K62" s="371">
        <f t="shared" si="4"/>
        <v>-6963</v>
      </c>
      <c r="L62" s="371">
        <v>1000</v>
      </c>
      <c r="M62" s="81"/>
      <c r="O62" s="72" t="str">
        <f t="shared" si="5"/>
        <v>381</v>
      </c>
      <c r="P62" s="72" t="str">
        <f t="shared" si="6"/>
        <v>38</v>
      </c>
      <c r="Q62" s="72" t="e">
        <f>LEFT(#REF!,3)</f>
        <v>#REF!</v>
      </c>
      <c r="R62" s="72" t="str">
        <f t="shared" si="7"/>
        <v>94</v>
      </c>
      <c r="V62" s="72">
        <v>3682</v>
      </c>
      <c r="W62" s="72" t="s">
        <v>27</v>
      </c>
      <c r="Y62" s="286" t="str">
        <f t="shared" si="13"/>
        <v>36</v>
      </c>
      <c r="Z62" s="72" t="str">
        <f t="shared" si="14"/>
        <v>368</v>
      </c>
      <c r="AB62" t="s">
        <v>1859</v>
      </c>
      <c r="AC62" t="s">
        <v>1860</v>
      </c>
      <c r="AD62" s="72" t="s">
        <v>5157</v>
      </c>
      <c r="AE62" s="72" t="s">
        <v>5158</v>
      </c>
      <c r="AF62" s="72" t="s">
        <v>5165</v>
      </c>
      <c r="AG62" s="72" t="s">
        <v>5178</v>
      </c>
    </row>
    <row r="63" spans="1:33">
      <c r="A63" s="333" t="s">
        <v>44</v>
      </c>
      <c r="B63" s="70" t="s">
        <v>5268</v>
      </c>
      <c r="C63" s="82">
        <v>31</v>
      </c>
      <c r="D63" s="77" t="str">
        <f t="shared" si="10"/>
        <v>Vlastiti prihodi</v>
      </c>
      <c r="E63" s="82">
        <v>4221</v>
      </c>
      <c r="F63" s="77" t="str">
        <f t="shared" si="12"/>
        <v>Uredska oprema i namještaj</v>
      </c>
      <c r="G63" s="114" t="s">
        <v>177</v>
      </c>
      <c r="H63" s="77" t="str">
        <f t="shared" si="2"/>
        <v>REDOVNA DJELATNOST SVEUČILIŠTA U OSIJEKU (IZ EVIDENCIJSKIH PRIHODA)</v>
      </c>
      <c r="I63" s="77" t="str">
        <f t="shared" si="3"/>
        <v>0942</v>
      </c>
      <c r="J63" s="351">
        <v>0</v>
      </c>
      <c r="K63" s="371">
        <f t="shared" si="4"/>
        <v>0</v>
      </c>
      <c r="L63" s="371">
        <v>0</v>
      </c>
      <c r="M63" s="81"/>
      <c r="O63" s="72" t="str">
        <f t="shared" si="5"/>
        <v>422</v>
      </c>
      <c r="P63" s="72" t="str">
        <f t="shared" si="6"/>
        <v>42</v>
      </c>
      <c r="Q63" s="72" t="e">
        <f>LEFT(#REF!,3)</f>
        <v>#REF!</v>
      </c>
      <c r="R63" s="72" t="str">
        <f t="shared" si="7"/>
        <v>94</v>
      </c>
      <c r="V63" s="72">
        <v>3691</v>
      </c>
      <c r="W63" s="72" t="s">
        <v>104</v>
      </c>
      <c r="Y63" s="286" t="str">
        <f t="shared" si="13"/>
        <v>36</v>
      </c>
      <c r="Z63" s="72" t="str">
        <f t="shared" si="14"/>
        <v>369</v>
      </c>
      <c r="AB63" t="s">
        <v>1861</v>
      </c>
      <c r="AC63" t="s">
        <v>1862</v>
      </c>
      <c r="AD63" s="72" t="s">
        <v>5157</v>
      </c>
      <c r="AE63" s="72" t="s">
        <v>5158</v>
      </c>
      <c r="AF63" s="72" t="s">
        <v>5165</v>
      </c>
      <c r="AG63" s="72" t="s">
        <v>5178</v>
      </c>
    </row>
    <row r="64" spans="1:33">
      <c r="A64" s="333" t="s">
        <v>44</v>
      </c>
      <c r="B64" s="70" t="s">
        <v>5268</v>
      </c>
      <c r="C64" s="82">
        <v>31</v>
      </c>
      <c r="D64" s="77" t="str">
        <f t="shared" si="10"/>
        <v>Vlastiti prihodi</v>
      </c>
      <c r="E64" s="82">
        <v>4224</v>
      </c>
      <c r="F64" s="77" t="str">
        <f t="shared" si="12"/>
        <v>Medicinska i laboratorijska oprema</v>
      </c>
      <c r="G64" s="114" t="s">
        <v>177</v>
      </c>
      <c r="H64" s="77" t="str">
        <f t="shared" si="2"/>
        <v>REDOVNA DJELATNOST SVEUČILIŠTA U OSIJEKU (IZ EVIDENCIJSKIH PRIHODA)</v>
      </c>
      <c r="I64" s="77" t="str">
        <f t="shared" si="3"/>
        <v>0942</v>
      </c>
      <c r="J64" s="351">
        <v>0</v>
      </c>
      <c r="K64" s="371">
        <f t="shared" si="4"/>
        <v>0</v>
      </c>
      <c r="L64" s="371">
        <v>0</v>
      </c>
      <c r="M64" s="81"/>
      <c r="O64" s="72" t="str">
        <f t="shared" si="5"/>
        <v>422</v>
      </c>
      <c r="P64" s="72" t="str">
        <f t="shared" si="6"/>
        <v>42</v>
      </c>
      <c r="Q64" s="72" t="e">
        <f>LEFT(#REF!,3)</f>
        <v>#REF!</v>
      </c>
      <c r="R64" s="72" t="str">
        <f t="shared" si="7"/>
        <v>94</v>
      </c>
      <c r="V64" s="72">
        <v>3692</v>
      </c>
      <c r="W64" s="72" t="s">
        <v>176</v>
      </c>
      <c r="Y64" s="286" t="str">
        <f t="shared" si="13"/>
        <v>36</v>
      </c>
      <c r="Z64" s="72" t="str">
        <f t="shared" si="14"/>
        <v>369</v>
      </c>
      <c r="AB64" t="s">
        <v>1863</v>
      </c>
      <c r="AC64" t="s">
        <v>1864</v>
      </c>
      <c r="AD64" s="72" t="s">
        <v>5157</v>
      </c>
      <c r="AE64" s="72" t="s">
        <v>5158</v>
      </c>
      <c r="AF64" s="72" t="s">
        <v>5165</v>
      </c>
      <c r="AG64" s="72" t="s">
        <v>5178</v>
      </c>
    </row>
    <row r="65" spans="1:33">
      <c r="A65" s="333" t="s">
        <v>44</v>
      </c>
      <c r="B65" s="70" t="s">
        <v>5268</v>
      </c>
      <c r="C65" s="82">
        <v>31</v>
      </c>
      <c r="D65" s="77" t="str">
        <f t="shared" si="10"/>
        <v>Vlastiti prihodi</v>
      </c>
      <c r="E65" s="82">
        <v>4225</v>
      </c>
      <c r="F65" s="77" t="str">
        <f t="shared" si="12"/>
        <v>Instrumenti, uređaji i strojevi</v>
      </c>
      <c r="G65" s="114" t="s">
        <v>177</v>
      </c>
      <c r="H65" s="77" t="str">
        <f t="shared" si="2"/>
        <v>REDOVNA DJELATNOST SVEUČILIŠTA U OSIJEKU (IZ EVIDENCIJSKIH PRIHODA)</v>
      </c>
      <c r="I65" s="77" t="str">
        <f t="shared" si="3"/>
        <v>0942</v>
      </c>
      <c r="J65" s="371">
        <v>0</v>
      </c>
      <c r="K65" s="371">
        <f t="shared" si="4"/>
        <v>0</v>
      </c>
      <c r="L65" s="371">
        <v>0</v>
      </c>
      <c r="M65" s="81"/>
      <c r="O65" s="72" t="str">
        <f t="shared" si="5"/>
        <v>422</v>
      </c>
      <c r="P65" s="72" t="str">
        <f t="shared" si="6"/>
        <v>42</v>
      </c>
      <c r="Q65" s="72" t="e">
        <f>LEFT(#REF!,3)</f>
        <v>#REF!</v>
      </c>
      <c r="R65" s="72" t="str">
        <f t="shared" si="7"/>
        <v>94</v>
      </c>
      <c r="V65" s="72">
        <v>3693</v>
      </c>
      <c r="W65" s="72" t="s">
        <v>104</v>
      </c>
      <c r="Y65" s="286" t="str">
        <f t="shared" si="13"/>
        <v>36</v>
      </c>
      <c r="Z65" s="72" t="str">
        <f t="shared" si="14"/>
        <v>369</v>
      </c>
      <c r="AB65" t="s">
        <v>1865</v>
      </c>
      <c r="AC65" t="s">
        <v>1866</v>
      </c>
      <c r="AD65" s="72" t="s">
        <v>5147</v>
      </c>
      <c r="AE65" s="72" t="s">
        <v>5148</v>
      </c>
      <c r="AF65" s="72" t="s">
        <v>5165</v>
      </c>
      <c r="AG65" s="72" t="s">
        <v>5173</v>
      </c>
    </row>
    <row r="66" spans="1:33">
      <c r="A66" s="333" t="s">
        <v>44</v>
      </c>
      <c r="B66" s="70" t="s">
        <v>5268</v>
      </c>
      <c r="C66" s="82">
        <v>31</v>
      </c>
      <c r="D66" s="77" t="str">
        <f t="shared" si="10"/>
        <v>Vlastiti prihodi</v>
      </c>
      <c r="E66" s="82">
        <v>4241</v>
      </c>
      <c r="F66" s="77" t="str">
        <f t="shared" si="12"/>
        <v>Knjige</v>
      </c>
      <c r="G66" s="114" t="s">
        <v>177</v>
      </c>
      <c r="H66" s="77" t="str">
        <f t="shared" si="2"/>
        <v>REDOVNA DJELATNOST SVEUČILIŠTA U OSIJEKU (IZ EVIDENCIJSKIH PRIHODA)</v>
      </c>
      <c r="I66" s="77" t="str">
        <f t="shared" si="3"/>
        <v>0942</v>
      </c>
      <c r="J66" s="371">
        <v>0</v>
      </c>
      <c r="K66" s="371">
        <f t="shared" si="4"/>
        <v>0</v>
      </c>
      <c r="L66" s="371">
        <v>0</v>
      </c>
      <c r="M66" s="81"/>
      <c r="O66" s="72" t="str">
        <f t="shared" si="5"/>
        <v>424</v>
      </c>
      <c r="P66" s="72" t="str">
        <f t="shared" si="6"/>
        <v>42</v>
      </c>
      <c r="Q66" s="72" t="e">
        <f>LEFT(#REF!,3)</f>
        <v>#REF!</v>
      </c>
      <c r="R66" s="72" t="str">
        <f t="shared" si="7"/>
        <v>94</v>
      </c>
      <c r="V66" s="72">
        <v>3694</v>
      </c>
      <c r="W66" s="72" t="s">
        <v>176</v>
      </c>
      <c r="Y66" s="286" t="str">
        <f t="shared" si="13"/>
        <v>36</v>
      </c>
      <c r="Z66" s="72" t="str">
        <f t="shared" si="14"/>
        <v>369</v>
      </c>
      <c r="AB66" t="s">
        <v>1867</v>
      </c>
      <c r="AC66" t="s">
        <v>1868</v>
      </c>
      <c r="AD66" s="72" t="s">
        <v>5147</v>
      </c>
      <c r="AE66" s="72" t="s">
        <v>5148</v>
      </c>
      <c r="AF66" s="72" t="s">
        <v>5165</v>
      </c>
      <c r="AG66" s="72" t="s">
        <v>5173</v>
      </c>
    </row>
    <row r="67" spans="1:33">
      <c r="A67" s="333" t="s">
        <v>44</v>
      </c>
      <c r="B67" s="70" t="s">
        <v>5268</v>
      </c>
      <c r="C67" s="82">
        <v>43</v>
      </c>
      <c r="D67" s="77" t="str">
        <f t="shared" si="10"/>
        <v>Ostali prihodi za posebne namjene</v>
      </c>
      <c r="E67" s="82">
        <v>3121</v>
      </c>
      <c r="F67" s="77" t="str">
        <f t="shared" si="12"/>
        <v>Ostali rashodi za zaposlene</v>
      </c>
      <c r="G67" s="114" t="s">
        <v>177</v>
      </c>
      <c r="H67" s="77" t="str">
        <f t="shared" ref="H67:H130" si="17">IFERROR(VLOOKUP(G67,$AB$6:$AC$337,2,FALSE),"")</f>
        <v>REDOVNA DJELATNOST SVEUČILIŠTA U OSIJEKU (IZ EVIDENCIJSKIH PRIHODA)</v>
      </c>
      <c r="I67" s="77" t="str">
        <f t="shared" ref="I67:I130" si="18">IFERROR(VLOOKUP(G67,$AB$6:$AF$337,3,FALSE),"")</f>
        <v>0942</v>
      </c>
      <c r="J67" s="412">
        <f>35252-33925</f>
        <v>1327</v>
      </c>
      <c r="K67" s="371">
        <f t="shared" si="4"/>
        <v>-1127</v>
      </c>
      <c r="L67" s="371">
        <v>200</v>
      </c>
      <c r="M67" s="81"/>
      <c r="O67" s="72" t="str">
        <f t="shared" si="5"/>
        <v>312</v>
      </c>
      <c r="P67" s="72" t="str">
        <f t="shared" si="6"/>
        <v>31</v>
      </c>
      <c r="Q67" s="72" t="e">
        <f>LEFT(#REF!,3)</f>
        <v>#REF!</v>
      </c>
      <c r="R67" s="72" t="str">
        <f t="shared" si="7"/>
        <v>94</v>
      </c>
      <c r="V67" s="72">
        <v>3711</v>
      </c>
      <c r="W67" s="72" t="s">
        <v>123</v>
      </c>
      <c r="Y67" s="286" t="str">
        <f t="shared" si="13"/>
        <v>37</v>
      </c>
      <c r="Z67" s="72" t="str">
        <f t="shared" si="14"/>
        <v>371</v>
      </c>
      <c r="AB67" t="s">
        <v>1869</v>
      </c>
      <c r="AC67" t="s">
        <v>1870</v>
      </c>
      <c r="AD67" s="72" t="s">
        <v>5147</v>
      </c>
      <c r="AE67" s="72" t="s">
        <v>5148</v>
      </c>
      <c r="AF67" s="72" t="s">
        <v>5165</v>
      </c>
      <c r="AG67" s="72" t="s">
        <v>5173</v>
      </c>
    </row>
    <row r="68" spans="1:33">
      <c r="A68" s="333" t="s">
        <v>44</v>
      </c>
      <c r="B68" s="70" t="s">
        <v>5268</v>
      </c>
      <c r="C68" s="82">
        <v>43</v>
      </c>
      <c r="D68" s="77" t="str">
        <f t="shared" si="10"/>
        <v>Ostali prihodi za posebne namjene</v>
      </c>
      <c r="E68" s="82">
        <v>3211</v>
      </c>
      <c r="F68" s="77" t="str">
        <f t="shared" si="12"/>
        <v>Službena putovanja</v>
      </c>
      <c r="G68" s="114" t="s">
        <v>177</v>
      </c>
      <c r="H68" s="77" t="str">
        <f t="shared" si="17"/>
        <v>REDOVNA DJELATNOST SVEUČILIŠTA U OSIJEKU (IZ EVIDENCIJSKIH PRIHODA)</v>
      </c>
      <c r="I68" s="77" t="str">
        <f t="shared" si="18"/>
        <v>0942</v>
      </c>
      <c r="J68" s="412">
        <f>12512-3221</f>
        <v>9291</v>
      </c>
      <c r="K68" s="371">
        <f t="shared" si="4"/>
        <v>-2291</v>
      </c>
      <c r="L68" s="371">
        <v>7000</v>
      </c>
      <c r="M68" s="81"/>
      <c r="O68" s="72" t="str">
        <f t="shared" si="5"/>
        <v>321</v>
      </c>
      <c r="P68" s="72" t="str">
        <f t="shared" si="6"/>
        <v>32</v>
      </c>
      <c r="Q68" s="72" t="e">
        <f>LEFT(#REF!,3)</f>
        <v>#REF!</v>
      </c>
      <c r="R68" s="72" t="str">
        <f t="shared" si="7"/>
        <v>94</v>
      </c>
      <c r="V68" s="72">
        <v>3712</v>
      </c>
      <c r="W68" s="72" t="s">
        <v>141</v>
      </c>
      <c r="Y68" s="286" t="str">
        <f t="shared" si="13"/>
        <v>37</v>
      </c>
      <c r="Z68" s="72" t="str">
        <f t="shared" si="14"/>
        <v>371</v>
      </c>
      <c r="AB68" t="s">
        <v>1871</v>
      </c>
      <c r="AC68" t="s">
        <v>1872</v>
      </c>
      <c r="AD68" s="72" t="s">
        <v>5157</v>
      </c>
      <c r="AE68" s="72" t="s">
        <v>5158</v>
      </c>
      <c r="AF68" s="72" t="s">
        <v>5165</v>
      </c>
      <c r="AG68" s="72" t="s">
        <v>5178</v>
      </c>
    </row>
    <row r="69" spans="1:33">
      <c r="A69" s="333" t="s">
        <v>44</v>
      </c>
      <c r="B69" s="70" t="s">
        <v>5268</v>
      </c>
      <c r="C69" s="82">
        <v>43</v>
      </c>
      <c r="D69" s="77" t="str">
        <f t="shared" si="10"/>
        <v>Ostali prihodi za posebne namjene</v>
      </c>
      <c r="E69" s="82">
        <v>3213</v>
      </c>
      <c r="F69" s="77" t="str">
        <f t="shared" si="12"/>
        <v>Stručno usavršavanje zaposlenika</v>
      </c>
      <c r="G69" s="114" t="s">
        <v>177</v>
      </c>
      <c r="H69" s="77" t="str">
        <f t="shared" si="17"/>
        <v>REDOVNA DJELATNOST SVEUČILIŠTA U OSIJEKU (IZ EVIDENCIJSKIH PRIHODA)</v>
      </c>
      <c r="I69" s="77" t="str">
        <f t="shared" si="18"/>
        <v>0942</v>
      </c>
      <c r="J69" s="412">
        <f>1694-1429</f>
        <v>265</v>
      </c>
      <c r="K69" s="371">
        <f t="shared" si="4"/>
        <v>-165</v>
      </c>
      <c r="L69" s="371">
        <v>100</v>
      </c>
      <c r="M69" s="81"/>
      <c r="O69" s="72" t="str">
        <f t="shared" si="5"/>
        <v>321</v>
      </c>
      <c r="P69" s="72" t="str">
        <f t="shared" si="6"/>
        <v>32</v>
      </c>
      <c r="Q69" s="72" t="e">
        <f>LEFT(#REF!,3)</f>
        <v>#REF!</v>
      </c>
      <c r="R69" s="72" t="str">
        <f t="shared" si="7"/>
        <v>94</v>
      </c>
      <c r="V69" s="72">
        <v>3713</v>
      </c>
      <c r="W69" s="72" t="s">
        <v>168</v>
      </c>
      <c r="Y69" s="286" t="str">
        <f t="shared" si="13"/>
        <v>37</v>
      </c>
      <c r="Z69" s="72" t="str">
        <f t="shared" si="14"/>
        <v>371</v>
      </c>
      <c r="AB69" t="s">
        <v>1874</v>
      </c>
      <c r="AC69" t="s">
        <v>1875</v>
      </c>
      <c r="AD69" s="72" t="s">
        <v>5147</v>
      </c>
      <c r="AE69" s="72" t="s">
        <v>5148</v>
      </c>
      <c r="AF69" s="72" t="s">
        <v>5165</v>
      </c>
      <c r="AG69" s="72" t="s">
        <v>5173</v>
      </c>
    </row>
    <row r="70" spans="1:33">
      <c r="A70" s="333" t="s">
        <v>44</v>
      </c>
      <c r="B70" s="70" t="s">
        <v>5268</v>
      </c>
      <c r="C70" s="82">
        <v>43</v>
      </c>
      <c r="D70" s="77" t="str">
        <f t="shared" si="10"/>
        <v>Ostali prihodi za posebne namjene</v>
      </c>
      <c r="E70" s="82">
        <v>3221</v>
      </c>
      <c r="F70" s="77" t="str">
        <f t="shared" si="12"/>
        <v>Uredski materijal i ostali materijalni rashodi</v>
      </c>
      <c r="G70" s="114" t="s">
        <v>177</v>
      </c>
      <c r="H70" s="77" t="str">
        <f t="shared" si="17"/>
        <v>REDOVNA DJELATNOST SVEUČILIŠTA U OSIJEKU (IZ EVIDENCIJSKIH PRIHODA)</v>
      </c>
      <c r="I70" s="77" t="str">
        <f t="shared" si="18"/>
        <v>0942</v>
      </c>
      <c r="J70" s="412">
        <f>17980-15989</f>
        <v>1991</v>
      </c>
      <c r="K70" s="371">
        <f t="shared" ref="K70:K127" si="19">L70-J70</f>
        <v>12009</v>
      </c>
      <c r="L70" s="371">
        <v>14000</v>
      </c>
      <c r="M70" s="81"/>
      <c r="O70" s="72" t="str">
        <f t="shared" si="5"/>
        <v>322</v>
      </c>
      <c r="P70" s="72" t="str">
        <f t="shared" si="6"/>
        <v>32</v>
      </c>
      <c r="Q70" s="72" t="e">
        <f>LEFT(#REF!,3)</f>
        <v>#REF!</v>
      </c>
      <c r="R70" s="72" t="str">
        <f t="shared" si="7"/>
        <v>94</v>
      </c>
      <c r="V70" s="72">
        <v>3714</v>
      </c>
      <c r="W70" s="72" t="s">
        <v>189</v>
      </c>
      <c r="Y70" s="286" t="str">
        <f t="shared" si="13"/>
        <v>37</v>
      </c>
      <c r="Z70" s="72" t="str">
        <f t="shared" si="14"/>
        <v>371</v>
      </c>
      <c r="AB70" t="s">
        <v>1876</v>
      </c>
      <c r="AC70" t="s">
        <v>1877</v>
      </c>
      <c r="AD70" s="72" t="s">
        <v>5141</v>
      </c>
      <c r="AE70" s="72" t="s">
        <v>5142</v>
      </c>
      <c r="AF70" s="72" t="s">
        <v>5167</v>
      </c>
      <c r="AG70" s="72" t="s">
        <v>5168</v>
      </c>
    </row>
    <row r="71" spans="1:33">
      <c r="A71" s="333" t="s">
        <v>44</v>
      </c>
      <c r="B71" s="70" t="s">
        <v>5268</v>
      </c>
      <c r="C71" s="82">
        <v>43</v>
      </c>
      <c r="D71" s="77" t="str">
        <f t="shared" si="10"/>
        <v>Ostali prihodi za posebne namjene</v>
      </c>
      <c r="E71" s="82">
        <v>3223</v>
      </c>
      <c r="F71" s="77" t="str">
        <f t="shared" si="12"/>
        <v>Energija</v>
      </c>
      <c r="G71" s="114" t="s">
        <v>177</v>
      </c>
      <c r="H71" s="77" t="str">
        <f t="shared" si="17"/>
        <v>REDOVNA DJELATNOST SVEUČILIŠTA U OSIJEKU (IZ EVIDENCIJSKIH PRIHODA)</v>
      </c>
      <c r="I71" s="77" t="str">
        <f t="shared" si="18"/>
        <v>0942</v>
      </c>
      <c r="J71" s="412">
        <f>49460-46142</f>
        <v>3318</v>
      </c>
      <c r="K71" s="371">
        <f t="shared" si="19"/>
        <v>-3318</v>
      </c>
      <c r="L71" s="371">
        <v>0</v>
      </c>
      <c r="M71" s="81"/>
      <c r="O71" s="72" t="str">
        <f t="shared" ref="O71:O141" si="20">LEFT(E71,3)</f>
        <v>322</v>
      </c>
      <c r="P71" s="72" t="str">
        <f t="shared" ref="P71:P141" si="21">LEFT(E71,2)</f>
        <v>32</v>
      </c>
      <c r="Q71" s="72" t="e">
        <f>LEFT(#REF!,3)</f>
        <v>#REF!</v>
      </c>
      <c r="R71" s="72" t="str">
        <f t="shared" ref="R71:R141" si="22">MID(I71,2,2)</f>
        <v>94</v>
      </c>
      <c r="V71" s="72">
        <v>3715</v>
      </c>
      <c r="W71" s="72" t="s">
        <v>127</v>
      </c>
      <c r="Y71" s="286" t="str">
        <f t="shared" si="13"/>
        <v>37</v>
      </c>
      <c r="Z71" s="72" t="str">
        <f t="shared" si="14"/>
        <v>371</v>
      </c>
      <c r="AB71" t="s">
        <v>1878</v>
      </c>
      <c r="AC71" t="s">
        <v>1879</v>
      </c>
      <c r="AD71" s="72" t="s">
        <v>5141</v>
      </c>
      <c r="AE71" s="72" t="s">
        <v>5142</v>
      </c>
      <c r="AF71" s="72" t="s">
        <v>5167</v>
      </c>
      <c r="AG71" s="72" t="s">
        <v>5168</v>
      </c>
    </row>
    <row r="72" spans="1:33">
      <c r="A72" s="333" t="s">
        <v>44</v>
      </c>
      <c r="B72" s="70" t="s">
        <v>5268</v>
      </c>
      <c r="C72" s="82">
        <v>43</v>
      </c>
      <c r="D72" s="77" t="str">
        <f t="shared" si="10"/>
        <v>Ostali prihodi za posebne namjene</v>
      </c>
      <c r="E72" s="82">
        <v>3224</v>
      </c>
      <c r="F72" s="77" t="str">
        <f t="shared" si="12"/>
        <v>Materijal i dijelovi za tekuće i investicijsko održavanje</v>
      </c>
      <c r="G72" s="114" t="s">
        <v>177</v>
      </c>
      <c r="H72" s="77" t="str">
        <f t="shared" si="17"/>
        <v>REDOVNA DJELATNOST SVEUČILIŠTA U OSIJEKU (IZ EVIDENCIJSKIH PRIHODA)</v>
      </c>
      <c r="I72" s="77" t="str">
        <f t="shared" si="18"/>
        <v>0942</v>
      </c>
      <c r="J72" s="371"/>
      <c r="K72" s="371">
        <f t="shared" si="19"/>
        <v>0</v>
      </c>
      <c r="L72" s="371">
        <v>0</v>
      </c>
      <c r="M72" s="81"/>
      <c r="O72" s="72" t="str">
        <f t="shared" si="20"/>
        <v>322</v>
      </c>
      <c r="P72" s="72" t="str">
        <f t="shared" si="21"/>
        <v>32</v>
      </c>
      <c r="Q72" s="72" t="e">
        <f>LEFT(#REF!,3)</f>
        <v>#REF!</v>
      </c>
      <c r="R72" s="72" t="str">
        <f t="shared" si="22"/>
        <v>94</v>
      </c>
      <c r="V72" s="72">
        <v>3721</v>
      </c>
      <c r="W72" s="72" t="s">
        <v>65</v>
      </c>
      <c r="Y72" s="286" t="str">
        <f t="shared" si="13"/>
        <v>37</v>
      </c>
      <c r="Z72" s="72" t="str">
        <f t="shared" si="14"/>
        <v>372</v>
      </c>
      <c r="AB72" t="s">
        <v>1880</v>
      </c>
      <c r="AC72" t="s">
        <v>1881</v>
      </c>
      <c r="AD72" s="72" t="s">
        <v>5141</v>
      </c>
      <c r="AE72" s="72" t="s">
        <v>5142</v>
      </c>
      <c r="AF72" s="72" t="s">
        <v>5167</v>
      </c>
      <c r="AG72" s="72" t="s">
        <v>5168</v>
      </c>
    </row>
    <row r="73" spans="1:33">
      <c r="A73" s="333" t="s">
        <v>44</v>
      </c>
      <c r="B73" s="70" t="s">
        <v>5268</v>
      </c>
      <c r="C73" s="82">
        <v>43</v>
      </c>
      <c r="D73" s="77" t="str">
        <f t="shared" si="10"/>
        <v>Ostali prihodi za posebne namjene</v>
      </c>
      <c r="E73" s="82">
        <v>3225</v>
      </c>
      <c r="F73" s="77" t="str">
        <f t="shared" si="12"/>
        <v>Sitni inventar i auto gume</v>
      </c>
      <c r="G73" s="114" t="s">
        <v>177</v>
      </c>
      <c r="H73" s="77" t="str">
        <f t="shared" si="17"/>
        <v>REDOVNA DJELATNOST SVEUČILIŠTA U OSIJEKU (IZ EVIDENCIJSKIH PRIHODA)</v>
      </c>
      <c r="I73" s="77" t="str">
        <f t="shared" si="18"/>
        <v>0942</v>
      </c>
      <c r="J73" s="412">
        <f>1528-1395</f>
        <v>133</v>
      </c>
      <c r="K73" s="371">
        <f t="shared" si="19"/>
        <v>3867</v>
      </c>
      <c r="L73" s="371">
        <v>4000</v>
      </c>
      <c r="M73" s="81"/>
      <c r="O73" s="72" t="str">
        <f t="shared" si="20"/>
        <v>322</v>
      </c>
      <c r="P73" s="72" t="str">
        <f t="shared" si="21"/>
        <v>32</v>
      </c>
      <c r="Q73" s="72" t="e">
        <f>LEFT(#REF!,3)</f>
        <v>#REF!</v>
      </c>
      <c r="R73" s="72" t="str">
        <f t="shared" si="22"/>
        <v>94</v>
      </c>
      <c r="V73" s="72">
        <v>3722</v>
      </c>
      <c r="W73" s="72" t="s">
        <v>150</v>
      </c>
      <c r="Y73" s="286" t="str">
        <f t="shared" si="13"/>
        <v>37</v>
      </c>
      <c r="Z73" s="72" t="str">
        <f t="shared" si="14"/>
        <v>372</v>
      </c>
      <c r="AB73" t="s">
        <v>1882</v>
      </c>
      <c r="AC73" t="s">
        <v>1883</v>
      </c>
      <c r="AD73" s="72" t="s">
        <v>5141</v>
      </c>
      <c r="AE73" s="72" t="s">
        <v>5142</v>
      </c>
      <c r="AF73" s="72" t="s">
        <v>5167</v>
      </c>
      <c r="AG73" s="72" t="s">
        <v>5168</v>
      </c>
    </row>
    <row r="74" spans="1:33">
      <c r="A74" s="333" t="s">
        <v>44</v>
      </c>
      <c r="B74" s="70" t="s">
        <v>5268</v>
      </c>
      <c r="C74" s="82">
        <v>43</v>
      </c>
      <c r="D74" s="77" t="str">
        <f t="shared" si="10"/>
        <v>Ostali prihodi za posebne namjene</v>
      </c>
      <c r="E74" s="82">
        <v>3227</v>
      </c>
      <c r="F74" s="77" t="str">
        <f t="shared" si="12"/>
        <v>Službena, radna i zaštitna odjeća i obuća</v>
      </c>
      <c r="G74" s="114" t="s">
        <v>177</v>
      </c>
      <c r="H74" s="77" t="str">
        <f t="shared" si="17"/>
        <v>REDOVNA DJELATNOST SVEUČILIŠTA U OSIJEKU (IZ EVIDENCIJSKIH PRIHODA)</v>
      </c>
      <c r="I74" s="77" t="str">
        <f t="shared" si="18"/>
        <v>0942</v>
      </c>
      <c r="J74" s="412">
        <f>1062-929</f>
        <v>133</v>
      </c>
      <c r="K74" s="371">
        <f t="shared" si="19"/>
        <v>-83</v>
      </c>
      <c r="L74" s="371">
        <v>50</v>
      </c>
      <c r="M74" s="81"/>
      <c r="O74" s="72" t="str">
        <f t="shared" si="20"/>
        <v>322</v>
      </c>
      <c r="P74" s="72" t="str">
        <f t="shared" si="21"/>
        <v>32</v>
      </c>
      <c r="Q74" s="72" t="e">
        <f>LEFT(#REF!,3)</f>
        <v>#REF!</v>
      </c>
      <c r="R74" s="72" t="str">
        <f t="shared" si="22"/>
        <v>94</v>
      </c>
      <c r="V74" s="72">
        <v>3723</v>
      </c>
      <c r="W74" s="72" t="s">
        <v>105</v>
      </c>
      <c r="Y74" s="286" t="str">
        <f t="shared" si="13"/>
        <v>37</v>
      </c>
      <c r="Z74" s="72" t="str">
        <f t="shared" si="14"/>
        <v>372</v>
      </c>
      <c r="AB74" t="s">
        <v>1884</v>
      </c>
      <c r="AC74" t="s">
        <v>1885</v>
      </c>
      <c r="AD74" s="72" t="s">
        <v>5141</v>
      </c>
      <c r="AE74" s="72" t="s">
        <v>5142</v>
      </c>
      <c r="AF74" s="72" t="s">
        <v>5167</v>
      </c>
      <c r="AG74" s="72" t="s">
        <v>5168</v>
      </c>
    </row>
    <row r="75" spans="1:33">
      <c r="A75" s="333" t="s">
        <v>44</v>
      </c>
      <c r="B75" s="70" t="s">
        <v>5268</v>
      </c>
      <c r="C75" s="82">
        <v>43</v>
      </c>
      <c r="D75" s="77" t="str">
        <f t="shared" si="10"/>
        <v>Ostali prihodi za posebne namjene</v>
      </c>
      <c r="E75" s="82">
        <v>3231</v>
      </c>
      <c r="F75" s="77" t="str">
        <f t="shared" si="12"/>
        <v>Usluge telefona, pošte i prijevoza</v>
      </c>
      <c r="G75" s="114" t="s">
        <v>177</v>
      </c>
      <c r="H75" s="77" t="str">
        <f t="shared" si="17"/>
        <v>REDOVNA DJELATNOST SVEUČILIŠTA U OSIJEKU (IZ EVIDENCIJSKIH PRIHODA)</v>
      </c>
      <c r="I75" s="77" t="str">
        <f t="shared" si="18"/>
        <v>0942</v>
      </c>
      <c r="J75" s="412">
        <f>9360-7370</f>
        <v>1990</v>
      </c>
      <c r="K75" s="371">
        <f t="shared" si="19"/>
        <v>10010</v>
      </c>
      <c r="L75" s="371">
        <v>12000</v>
      </c>
      <c r="M75" s="81"/>
      <c r="O75" s="72" t="str">
        <f t="shared" si="20"/>
        <v>323</v>
      </c>
      <c r="P75" s="72" t="str">
        <f t="shared" si="21"/>
        <v>32</v>
      </c>
      <c r="Q75" s="72" t="e">
        <f>LEFT(#REF!,3)</f>
        <v>#REF!</v>
      </c>
      <c r="R75" s="72" t="str">
        <f t="shared" si="22"/>
        <v>94</v>
      </c>
      <c r="V75" s="72">
        <v>3811</v>
      </c>
      <c r="W75" s="72" t="s">
        <v>55</v>
      </c>
      <c r="Y75" s="286" t="str">
        <f t="shared" si="13"/>
        <v>38</v>
      </c>
      <c r="Z75" s="72" t="str">
        <f t="shared" si="14"/>
        <v>381</v>
      </c>
      <c r="AB75" t="s">
        <v>1886</v>
      </c>
      <c r="AC75" t="s">
        <v>1887</v>
      </c>
      <c r="AD75" s="72" t="s">
        <v>5141</v>
      </c>
      <c r="AE75" s="72" t="s">
        <v>5142</v>
      </c>
      <c r="AF75" s="72" t="s">
        <v>5167</v>
      </c>
      <c r="AG75" s="72" t="s">
        <v>5168</v>
      </c>
    </row>
    <row r="76" spans="1:33">
      <c r="A76" s="333" t="s">
        <v>44</v>
      </c>
      <c r="B76" s="70" t="s">
        <v>5268</v>
      </c>
      <c r="C76" s="82">
        <v>43</v>
      </c>
      <c r="D76" s="77" t="str">
        <f t="shared" si="10"/>
        <v>Ostali prihodi za posebne namjene</v>
      </c>
      <c r="E76" s="82">
        <v>3232</v>
      </c>
      <c r="F76" s="77" t="str">
        <f t="shared" si="12"/>
        <v>Usluge tekućeg i investicijskog održavanja</v>
      </c>
      <c r="G76" s="114" t="s">
        <v>177</v>
      </c>
      <c r="H76" s="77" t="str">
        <f t="shared" si="17"/>
        <v>REDOVNA DJELATNOST SVEUČILIŠTA U OSIJEKU (IZ EVIDENCIJSKIH PRIHODA)</v>
      </c>
      <c r="I76" s="77" t="str">
        <f t="shared" si="18"/>
        <v>0942</v>
      </c>
      <c r="J76" s="371">
        <v>0</v>
      </c>
      <c r="K76" s="371">
        <f t="shared" si="19"/>
        <v>1100</v>
      </c>
      <c r="L76" s="371">
        <v>1100</v>
      </c>
      <c r="M76" s="81"/>
      <c r="O76" s="72" t="str">
        <f t="shared" si="20"/>
        <v>323</v>
      </c>
      <c r="P76" s="72" t="str">
        <f t="shared" si="21"/>
        <v>32</v>
      </c>
      <c r="Q76" s="72" t="e">
        <f>LEFT(#REF!,3)</f>
        <v>#REF!</v>
      </c>
      <c r="R76" s="72" t="str">
        <f t="shared" si="22"/>
        <v>94</v>
      </c>
      <c r="V76" s="72">
        <v>3812</v>
      </c>
      <c r="W76" s="72" t="s">
        <v>151</v>
      </c>
      <c r="Y76" s="286" t="str">
        <f t="shared" si="13"/>
        <v>38</v>
      </c>
      <c r="Z76" s="72" t="str">
        <f t="shared" si="14"/>
        <v>381</v>
      </c>
      <c r="AB76" t="s">
        <v>957</v>
      </c>
      <c r="AC76" t="s">
        <v>958</v>
      </c>
      <c r="AD76" s="72" t="s">
        <v>5141</v>
      </c>
      <c r="AE76" s="72" t="s">
        <v>5142</v>
      </c>
      <c r="AF76" s="72" t="s">
        <v>5167</v>
      </c>
      <c r="AG76" s="72" t="s">
        <v>5168</v>
      </c>
    </row>
    <row r="77" spans="1:33">
      <c r="A77" s="333" t="s">
        <v>44</v>
      </c>
      <c r="B77" s="70" t="s">
        <v>5268</v>
      </c>
      <c r="C77" s="82">
        <v>43</v>
      </c>
      <c r="D77" s="77" t="str">
        <f t="shared" si="10"/>
        <v>Ostali prihodi za posebne namjene</v>
      </c>
      <c r="E77" s="82">
        <v>3233</v>
      </c>
      <c r="F77" s="77" t="str">
        <f t="shared" si="12"/>
        <v>Usluge promidžbe i informiranja</v>
      </c>
      <c r="G77" s="114" t="s">
        <v>177</v>
      </c>
      <c r="H77" s="77" t="str">
        <f t="shared" si="17"/>
        <v>REDOVNA DJELATNOST SVEUČILIŠTA U OSIJEKU (IZ EVIDENCIJSKIH PRIHODA)</v>
      </c>
      <c r="I77" s="77" t="str">
        <f t="shared" si="18"/>
        <v>0942</v>
      </c>
      <c r="J77" s="412">
        <f>10651-6669</f>
        <v>3982</v>
      </c>
      <c r="K77" s="371">
        <f t="shared" si="19"/>
        <v>18</v>
      </c>
      <c r="L77" s="371">
        <v>4000</v>
      </c>
      <c r="M77" s="81"/>
      <c r="O77" s="72" t="str">
        <f t="shared" si="20"/>
        <v>323</v>
      </c>
      <c r="P77" s="72" t="str">
        <f t="shared" si="21"/>
        <v>32</v>
      </c>
      <c r="Q77" s="72" t="e">
        <f>LEFT(#REF!,3)</f>
        <v>#REF!</v>
      </c>
      <c r="R77" s="72" t="str">
        <f t="shared" si="22"/>
        <v>94</v>
      </c>
      <c r="V77" s="72">
        <v>3813</v>
      </c>
      <c r="W77" s="72" t="s">
        <v>94</v>
      </c>
      <c r="Y77" s="286" t="str">
        <f t="shared" ref="Y77:Y83" si="23">LEFT(V77,2)</f>
        <v>38</v>
      </c>
      <c r="Z77" s="72" t="str">
        <f t="shared" ref="Z77:Z83" si="24">LEFT(V77,3)</f>
        <v>381</v>
      </c>
      <c r="AB77" t="s">
        <v>1888</v>
      </c>
      <c r="AC77" t="s">
        <v>1889</v>
      </c>
      <c r="AD77" s="72" t="s">
        <v>5143</v>
      </c>
      <c r="AE77" s="72" t="s">
        <v>5144</v>
      </c>
      <c r="AF77" s="72" t="s">
        <v>5165</v>
      </c>
      <c r="AG77" s="72" t="s">
        <v>5175</v>
      </c>
    </row>
    <row r="78" spans="1:33">
      <c r="A78" s="333" t="s">
        <v>44</v>
      </c>
      <c r="B78" s="70" t="s">
        <v>5268</v>
      </c>
      <c r="C78" s="82">
        <v>43</v>
      </c>
      <c r="D78" s="77" t="str">
        <f t="shared" si="10"/>
        <v>Ostali prihodi za posebne namjene</v>
      </c>
      <c r="E78" s="82">
        <v>3234</v>
      </c>
      <c r="F78" s="77" t="str">
        <f t="shared" si="12"/>
        <v>Komunalne usluge</v>
      </c>
      <c r="G78" s="114" t="s">
        <v>177</v>
      </c>
      <c r="H78" s="77" t="str">
        <f t="shared" si="17"/>
        <v>REDOVNA DJELATNOST SVEUČILIŠTA U OSIJEKU (IZ EVIDENCIJSKIH PRIHODA)</v>
      </c>
      <c r="I78" s="77" t="str">
        <f t="shared" si="18"/>
        <v>0942</v>
      </c>
      <c r="J78" s="412">
        <f>7037-6905</f>
        <v>132</v>
      </c>
      <c r="K78" s="371">
        <f t="shared" si="19"/>
        <v>-132</v>
      </c>
      <c r="L78" s="371">
        <v>0</v>
      </c>
      <c r="M78" s="81"/>
      <c r="O78" s="72" t="str">
        <f t="shared" si="20"/>
        <v>323</v>
      </c>
      <c r="P78" s="72" t="str">
        <f t="shared" si="21"/>
        <v>32</v>
      </c>
      <c r="Q78" s="72" t="e">
        <f>LEFT(#REF!,3)</f>
        <v>#REF!</v>
      </c>
      <c r="R78" s="72" t="str">
        <f t="shared" si="22"/>
        <v>94</v>
      </c>
      <c r="V78" s="72">
        <v>3821</v>
      </c>
      <c r="W78" s="72" t="s">
        <v>169</v>
      </c>
      <c r="Y78" s="286" t="str">
        <f t="shared" si="23"/>
        <v>38</v>
      </c>
      <c r="Z78" s="72" t="str">
        <f t="shared" si="24"/>
        <v>382</v>
      </c>
      <c r="AB78" t="s">
        <v>3463</v>
      </c>
      <c r="AC78" t="s">
        <v>3464</v>
      </c>
      <c r="AD78" s="72" t="s">
        <v>5143</v>
      </c>
      <c r="AE78" s="72" t="s">
        <v>5144</v>
      </c>
      <c r="AF78" s="72" t="s">
        <v>5165</v>
      </c>
      <c r="AG78" s="72" t="s">
        <v>5175</v>
      </c>
    </row>
    <row r="79" spans="1:33">
      <c r="A79" s="333" t="s">
        <v>44</v>
      </c>
      <c r="B79" s="70" t="s">
        <v>5268</v>
      </c>
      <c r="C79" s="82">
        <v>43</v>
      </c>
      <c r="D79" s="77" t="str">
        <f t="shared" si="10"/>
        <v>Ostali prihodi za posebne namjene</v>
      </c>
      <c r="E79" s="82">
        <v>3235</v>
      </c>
      <c r="F79" s="77" t="str">
        <f t="shared" si="12"/>
        <v>Zakupnine i najamnine</v>
      </c>
      <c r="G79" s="114" t="s">
        <v>177</v>
      </c>
      <c r="H79" s="77" t="str">
        <f t="shared" si="17"/>
        <v>REDOVNA DJELATNOST SVEUČILIŠTA U OSIJEKU (IZ EVIDENCIJSKIH PRIHODA)</v>
      </c>
      <c r="I79" s="77" t="str">
        <f t="shared" si="18"/>
        <v>0942</v>
      </c>
      <c r="J79" s="412">
        <f>6538-5211</f>
        <v>1327</v>
      </c>
      <c r="K79" s="371">
        <f t="shared" si="19"/>
        <v>1073</v>
      </c>
      <c r="L79" s="371">
        <v>2400</v>
      </c>
      <c r="M79" s="81"/>
      <c r="O79" s="72" t="str">
        <f t="shared" si="20"/>
        <v>323</v>
      </c>
      <c r="P79" s="72" t="str">
        <f t="shared" si="21"/>
        <v>32</v>
      </c>
      <c r="Q79" s="72" t="e">
        <f>LEFT(#REF!,3)</f>
        <v>#REF!</v>
      </c>
      <c r="R79" s="72" t="str">
        <f t="shared" si="22"/>
        <v>94</v>
      </c>
      <c r="V79" s="72">
        <v>3831</v>
      </c>
      <c r="W79" s="72" t="s">
        <v>152</v>
      </c>
      <c r="Y79" s="286" t="str">
        <f t="shared" si="23"/>
        <v>38</v>
      </c>
      <c r="Z79" s="72" t="str">
        <f t="shared" si="24"/>
        <v>383</v>
      </c>
      <c r="AB79" t="s">
        <v>1890</v>
      </c>
      <c r="AC79" t="s">
        <v>1891</v>
      </c>
      <c r="AD79" s="72" t="s">
        <v>5141</v>
      </c>
      <c r="AE79" s="72" t="s">
        <v>5142</v>
      </c>
      <c r="AF79" s="72" t="s">
        <v>5167</v>
      </c>
      <c r="AG79" s="72" t="s">
        <v>5168</v>
      </c>
    </row>
    <row r="80" spans="1:33">
      <c r="A80" s="333" t="s">
        <v>44</v>
      </c>
      <c r="B80" s="70" t="s">
        <v>5268</v>
      </c>
      <c r="C80" s="82">
        <v>43</v>
      </c>
      <c r="D80" s="77" t="str">
        <f t="shared" si="10"/>
        <v>Ostali prihodi za posebne namjene</v>
      </c>
      <c r="E80" s="82">
        <v>3236</v>
      </c>
      <c r="F80" s="77" t="str">
        <f t="shared" si="12"/>
        <v>Zdravstvene i veterinarske usluge</v>
      </c>
      <c r="G80" s="114" t="s">
        <v>177</v>
      </c>
      <c r="H80" s="77" t="str">
        <f t="shared" si="17"/>
        <v>REDOVNA DJELATNOST SVEUČILIŠTA U OSIJEKU (IZ EVIDENCIJSKIH PRIHODA)</v>
      </c>
      <c r="I80" s="77" t="str">
        <f t="shared" si="18"/>
        <v>0942</v>
      </c>
      <c r="J80" s="371">
        <v>0</v>
      </c>
      <c r="K80" s="371">
        <f t="shared" si="19"/>
        <v>0</v>
      </c>
      <c r="L80" s="371">
        <v>0</v>
      </c>
      <c r="M80" s="81"/>
      <c r="O80" s="72" t="str">
        <f t="shared" si="20"/>
        <v>323</v>
      </c>
      <c r="P80" s="72" t="str">
        <f t="shared" si="21"/>
        <v>32</v>
      </c>
      <c r="Q80" s="72" t="e">
        <f>LEFT(#REF!,3)</f>
        <v>#REF!</v>
      </c>
      <c r="R80" s="72" t="str">
        <f t="shared" si="22"/>
        <v>94</v>
      </c>
      <c r="V80" s="72">
        <v>3832</v>
      </c>
      <c r="W80" s="72" t="s">
        <v>192</v>
      </c>
      <c r="Y80" s="286" t="str">
        <f t="shared" si="23"/>
        <v>38</v>
      </c>
      <c r="Z80" s="72" t="str">
        <f t="shared" si="24"/>
        <v>383</v>
      </c>
      <c r="AB80" t="s">
        <v>1892</v>
      </c>
      <c r="AC80" t="s">
        <v>1893</v>
      </c>
      <c r="AD80" s="72" t="s">
        <v>5143</v>
      </c>
      <c r="AE80" s="72" t="s">
        <v>5144</v>
      </c>
      <c r="AF80" s="72" t="s">
        <v>5165</v>
      </c>
      <c r="AG80" s="72" t="s">
        <v>5175</v>
      </c>
    </row>
    <row r="81" spans="1:33">
      <c r="A81" s="333" t="s">
        <v>44</v>
      </c>
      <c r="B81" s="70" t="s">
        <v>5268</v>
      </c>
      <c r="C81" s="82">
        <v>43</v>
      </c>
      <c r="D81" s="77" t="str">
        <f t="shared" si="10"/>
        <v>Ostali prihodi za posebne namjene</v>
      </c>
      <c r="E81" s="82">
        <v>3237</v>
      </c>
      <c r="F81" s="77" t="str">
        <f t="shared" si="12"/>
        <v>Intelektualne i osobne usluge</v>
      </c>
      <c r="G81" s="114" t="s">
        <v>177</v>
      </c>
      <c r="H81" s="77" t="str">
        <f t="shared" si="17"/>
        <v>REDOVNA DJELATNOST SVEUČILIŠTA U OSIJEKU (IZ EVIDENCIJSKIH PRIHODA)</v>
      </c>
      <c r="I81" s="77" t="str">
        <f t="shared" si="18"/>
        <v>0942</v>
      </c>
      <c r="J81" s="412">
        <f>155862-9862</f>
        <v>146000</v>
      </c>
      <c r="K81" s="371">
        <f t="shared" si="19"/>
        <v>0</v>
      </c>
      <c r="L81" s="371">
        <f>210000-64000</f>
        <v>146000</v>
      </c>
      <c r="M81" s="81"/>
      <c r="O81" s="72" t="str">
        <f t="shared" si="20"/>
        <v>323</v>
      </c>
      <c r="P81" s="72" t="str">
        <f t="shared" si="21"/>
        <v>32</v>
      </c>
      <c r="Q81" s="72" t="e">
        <f>LEFT(#REF!,3)</f>
        <v>#REF!</v>
      </c>
      <c r="R81" s="72" t="str">
        <f t="shared" si="22"/>
        <v>94</v>
      </c>
      <c r="V81" s="72">
        <v>3833</v>
      </c>
      <c r="W81" s="72" t="s">
        <v>153</v>
      </c>
      <c r="Y81" s="286" t="str">
        <f t="shared" si="23"/>
        <v>38</v>
      </c>
      <c r="Z81" s="72" t="str">
        <f t="shared" si="24"/>
        <v>383</v>
      </c>
      <c r="AB81" t="s">
        <v>1894</v>
      </c>
      <c r="AC81" t="s">
        <v>1895</v>
      </c>
      <c r="AD81" s="72" t="s">
        <v>5143</v>
      </c>
      <c r="AE81" s="72" t="s">
        <v>5144</v>
      </c>
      <c r="AF81" s="72" t="s">
        <v>5165</v>
      </c>
      <c r="AG81" s="72" t="s">
        <v>5175</v>
      </c>
    </row>
    <row r="82" spans="1:33">
      <c r="A82" s="333" t="s">
        <v>44</v>
      </c>
      <c r="B82" s="70" t="s">
        <v>5268</v>
      </c>
      <c r="C82" s="82">
        <v>43</v>
      </c>
      <c r="D82" s="77" t="str">
        <f t="shared" ref="D82:D127" si="25">IFERROR(VLOOKUP(C82,$S$6:$T$24,2,FALSE),"")</f>
        <v>Ostali prihodi za posebne namjene</v>
      </c>
      <c r="E82" s="82">
        <v>3238</v>
      </c>
      <c r="F82" s="77" t="str">
        <f t="shared" si="12"/>
        <v>Računalne usluge</v>
      </c>
      <c r="G82" s="114" t="s">
        <v>177</v>
      </c>
      <c r="H82" s="77" t="str">
        <f t="shared" si="17"/>
        <v>REDOVNA DJELATNOST SVEUČILIŠTA U OSIJEKU (IZ EVIDENCIJSKIH PRIHODA)</v>
      </c>
      <c r="I82" s="77" t="str">
        <f t="shared" si="18"/>
        <v>0942</v>
      </c>
      <c r="J82" s="412">
        <f>2822-2557</f>
        <v>265</v>
      </c>
      <c r="K82" s="371">
        <f t="shared" si="19"/>
        <v>-165</v>
      </c>
      <c r="L82" s="371">
        <v>100</v>
      </c>
      <c r="M82" s="81"/>
      <c r="O82" s="72" t="str">
        <f t="shared" si="20"/>
        <v>323</v>
      </c>
      <c r="P82" s="72" t="str">
        <f t="shared" si="21"/>
        <v>32</v>
      </c>
      <c r="Q82" s="72" t="e">
        <f>LEFT(#REF!,3)</f>
        <v>#REF!</v>
      </c>
      <c r="R82" s="72" t="str">
        <f t="shared" si="22"/>
        <v>94</v>
      </c>
      <c r="V82" s="72">
        <v>3834</v>
      </c>
      <c r="W82" s="72" t="s">
        <v>154</v>
      </c>
      <c r="Y82" s="286" t="str">
        <f t="shared" si="23"/>
        <v>38</v>
      </c>
      <c r="Z82" s="72" t="str">
        <f t="shared" si="24"/>
        <v>383</v>
      </c>
      <c r="AB82" t="s">
        <v>1634</v>
      </c>
      <c r="AC82" t="s">
        <v>1635</v>
      </c>
      <c r="AD82" s="72" t="s">
        <v>5141</v>
      </c>
      <c r="AE82" s="72" t="s">
        <v>5142</v>
      </c>
      <c r="AF82" s="72" t="s">
        <v>5167</v>
      </c>
      <c r="AG82" s="72" t="s">
        <v>5168</v>
      </c>
    </row>
    <row r="83" spans="1:33">
      <c r="A83" s="333" t="s">
        <v>44</v>
      </c>
      <c r="B83" s="70" t="s">
        <v>5268</v>
      </c>
      <c r="C83" s="82">
        <v>43</v>
      </c>
      <c r="D83" s="77" t="str">
        <f t="shared" si="25"/>
        <v>Ostali prihodi za posebne namjene</v>
      </c>
      <c r="E83" s="82">
        <v>3239</v>
      </c>
      <c r="F83" s="77" t="str">
        <f t="shared" si="12"/>
        <v>Ostale usluge</v>
      </c>
      <c r="G83" s="114" t="s">
        <v>177</v>
      </c>
      <c r="H83" s="77" t="str">
        <f t="shared" si="17"/>
        <v>REDOVNA DJELATNOST SVEUČILIŠTA U OSIJEKU (IZ EVIDENCIJSKIH PRIHODA)</v>
      </c>
      <c r="I83" s="77" t="str">
        <f t="shared" si="18"/>
        <v>0942</v>
      </c>
      <c r="J83" s="412">
        <f>16275-12293</f>
        <v>3982</v>
      </c>
      <c r="K83" s="371">
        <f t="shared" si="19"/>
        <v>418</v>
      </c>
      <c r="L83" s="371">
        <f>35000-30600</f>
        <v>4400</v>
      </c>
      <c r="M83" s="81"/>
      <c r="O83" s="72" t="str">
        <f t="shared" si="20"/>
        <v>323</v>
      </c>
      <c r="P83" s="72" t="str">
        <f t="shared" si="21"/>
        <v>32</v>
      </c>
      <c r="Q83" s="72" t="e">
        <f>LEFT(#REF!,3)</f>
        <v>#REF!</v>
      </c>
      <c r="R83" s="72" t="str">
        <f t="shared" si="22"/>
        <v>94</v>
      </c>
      <c r="V83" s="72">
        <v>3835</v>
      </c>
      <c r="W83" s="72" t="s">
        <v>155</v>
      </c>
      <c r="Y83" s="286" t="str">
        <f t="shared" si="23"/>
        <v>38</v>
      </c>
      <c r="Z83" s="72" t="str">
        <f t="shared" si="24"/>
        <v>383</v>
      </c>
      <c r="AB83" t="s">
        <v>1896</v>
      </c>
      <c r="AC83" t="s">
        <v>1897</v>
      </c>
      <c r="AD83" s="72" t="s">
        <v>5143</v>
      </c>
      <c r="AE83" s="72" t="s">
        <v>5144</v>
      </c>
      <c r="AF83" s="72" t="s">
        <v>5165</v>
      </c>
      <c r="AG83" s="72" t="s">
        <v>5175</v>
      </c>
    </row>
    <row r="84" spans="1:33">
      <c r="A84" s="333" t="s">
        <v>44</v>
      </c>
      <c r="B84" s="70" t="s">
        <v>5268</v>
      </c>
      <c r="C84" s="82">
        <v>43</v>
      </c>
      <c r="D84" s="77" t="str">
        <f t="shared" si="25"/>
        <v>Ostali prihodi za posebne namjene</v>
      </c>
      <c r="E84" s="82">
        <v>3241</v>
      </c>
      <c r="F84" s="77" t="str">
        <f t="shared" si="12"/>
        <v>Naknade troškova osobama izvan radnog odnosa</v>
      </c>
      <c r="G84" s="114" t="s">
        <v>177</v>
      </c>
      <c r="H84" s="77" t="str">
        <f t="shared" si="17"/>
        <v>REDOVNA DJELATNOST SVEUČILIŠTA U OSIJEKU (IZ EVIDENCIJSKIH PRIHODA)</v>
      </c>
      <c r="I84" s="77" t="str">
        <f t="shared" si="18"/>
        <v>0942</v>
      </c>
      <c r="J84" s="412">
        <f>53767-3767</f>
        <v>50000</v>
      </c>
      <c r="K84" s="371">
        <f t="shared" si="19"/>
        <v>7000</v>
      </c>
      <c r="L84" s="371">
        <v>57000</v>
      </c>
      <c r="M84" s="81"/>
      <c r="O84" s="72" t="str">
        <f t="shared" si="20"/>
        <v>324</v>
      </c>
      <c r="P84" s="72" t="str">
        <f t="shared" si="21"/>
        <v>32</v>
      </c>
      <c r="Q84" s="72" t="e">
        <f>LEFT(#REF!,3)</f>
        <v>#REF!</v>
      </c>
      <c r="R84" s="72" t="str">
        <f t="shared" si="22"/>
        <v>94</v>
      </c>
      <c r="V84" s="123">
        <v>3861</v>
      </c>
      <c r="W84" s="72" t="s">
        <v>660</v>
      </c>
      <c r="X84" s="123"/>
      <c r="Y84" s="286" t="str">
        <f>LEFT(V84,2)</f>
        <v>38</v>
      </c>
      <c r="Z84" s="123" t="str">
        <f>LEFT(V84,3)</f>
        <v>386</v>
      </c>
      <c r="AB84" t="s">
        <v>1898</v>
      </c>
      <c r="AC84" t="s">
        <v>1899</v>
      </c>
      <c r="AD84" s="72" t="s">
        <v>5147</v>
      </c>
      <c r="AE84" s="72" t="s">
        <v>5148</v>
      </c>
      <c r="AF84" s="72" t="s">
        <v>5165</v>
      </c>
      <c r="AG84" s="72" t="s">
        <v>5173</v>
      </c>
    </row>
    <row r="85" spans="1:33">
      <c r="A85" s="333" t="s">
        <v>44</v>
      </c>
      <c r="B85" s="70" t="s">
        <v>5268</v>
      </c>
      <c r="C85" s="82">
        <v>43</v>
      </c>
      <c r="D85" s="77" t="str">
        <f t="shared" si="25"/>
        <v>Ostali prihodi za posebne namjene</v>
      </c>
      <c r="E85" s="82">
        <v>3292</v>
      </c>
      <c r="F85" s="77" t="str">
        <f t="shared" si="12"/>
        <v>Premije osiguranja</v>
      </c>
      <c r="G85" s="114" t="s">
        <v>177</v>
      </c>
      <c r="H85" s="77" t="str">
        <f t="shared" si="17"/>
        <v>REDOVNA DJELATNOST SVEUČILIŠTA U OSIJEKU (IZ EVIDENCIJSKIH PRIHODA)</v>
      </c>
      <c r="I85" s="77" t="str">
        <f t="shared" si="18"/>
        <v>0942</v>
      </c>
      <c r="J85" s="113"/>
      <c r="K85" s="113">
        <f t="shared" si="19"/>
        <v>0</v>
      </c>
      <c r="L85" s="113">
        <v>0</v>
      </c>
      <c r="M85" s="81"/>
      <c r="O85" s="72" t="str">
        <f t="shared" si="20"/>
        <v>329</v>
      </c>
      <c r="P85" s="72" t="str">
        <f t="shared" si="21"/>
        <v>32</v>
      </c>
      <c r="Q85" s="72" t="e">
        <f>LEFT(#REF!,3)</f>
        <v>#REF!</v>
      </c>
      <c r="R85" s="72" t="str">
        <f t="shared" si="22"/>
        <v>94</v>
      </c>
      <c r="V85" s="122">
        <v>3862</v>
      </c>
      <c r="W85" s="72" t="s">
        <v>661</v>
      </c>
      <c r="Y85" s="286" t="str">
        <f>LEFT(V85,2)</f>
        <v>38</v>
      </c>
      <c r="Z85" s="72" t="str">
        <f>LEFT(V85,3)</f>
        <v>386</v>
      </c>
      <c r="AB85" t="s">
        <v>1900</v>
      </c>
      <c r="AC85" t="s">
        <v>1901</v>
      </c>
      <c r="AD85" s="72" t="s">
        <v>5147</v>
      </c>
      <c r="AE85" s="72" t="s">
        <v>5148</v>
      </c>
      <c r="AF85" s="72" t="s">
        <v>5165</v>
      </c>
      <c r="AG85" s="72" t="s">
        <v>5173</v>
      </c>
    </row>
    <row r="86" spans="1:33">
      <c r="A86" s="333" t="s">
        <v>44</v>
      </c>
      <c r="B86" s="70" t="s">
        <v>5268</v>
      </c>
      <c r="C86" s="82">
        <v>43</v>
      </c>
      <c r="D86" s="77" t="str">
        <f t="shared" si="25"/>
        <v>Ostali prihodi za posebne namjene</v>
      </c>
      <c r="E86" s="82">
        <v>3293</v>
      </c>
      <c r="F86" s="77" t="str">
        <f t="shared" si="12"/>
        <v>Reprezentacija</v>
      </c>
      <c r="G86" s="114" t="s">
        <v>177</v>
      </c>
      <c r="H86" s="77" t="str">
        <f t="shared" si="17"/>
        <v>REDOVNA DJELATNOST SVEUČILIŠTA U OSIJEKU (IZ EVIDENCIJSKIH PRIHODA)</v>
      </c>
      <c r="I86" s="77" t="str">
        <f t="shared" si="18"/>
        <v>0942</v>
      </c>
      <c r="J86" s="352">
        <f>17982-13982</f>
        <v>4000</v>
      </c>
      <c r="K86" s="113">
        <f t="shared" si="19"/>
        <v>0</v>
      </c>
      <c r="L86" s="113">
        <v>4000</v>
      </c>
      <c r="M86" s="81"/>
      <c r="O86" s="72" t="str">
        <f t="shared" si="20"/>
        <v>329</v>
      </c>
      <c r="P86" s="72" t="str">
        <f t="shared" si="21"/>
        <v>32</v>
      </c>
      <c r="Q86" s="72" t="e">
        <f>LEFT(#REF!,3)</f>
        <v>#REF!</v>
      </c>
      <c r="R86" s="72" t="str">
        <f t="shared" si="22"/>
        <v>94</v>
      </c>
      <c r="V86" s="122">
        <v>3863</v>
      </c>
      <c r="W86" s="72" t="s">
        <v>662</v>
      </c>
      <c r="Y86" s="286" t="str">
        <f>LEFT(V86,2)</f>
        <v>38</v>
      </c>
      <c r="Z86" s="72" t="str">
        <f>LEFT(V86,3)</f>
        <v>386</v>
      </c>
      <c r="AB86" t="s">
        <v>1902</v>
      </c>
      <c r="AC86" t="s">
        <v>1903</v>
      </c>
      <c r="AD86" s="72" t="s">
        <v>5147</v>
      </c>
      <c r="AE86" s="72" t="s">
        <v>5148</v>
      </c>
      <c r="AF86" s="72" t="s">
        <v>5165</v>
      </c>
      <c r="AG86" s="72" t="s">
        <v>5173</v>
      </c>
    </row>
    <row r="87" spans="1:33">
      <c r="A87" s="333" t="s">
        <v>44</v>
      </c>
      <c r="B87" s="70" t="s">
        <v>5268</v>
      </c>
      <c r="C87" s="82">
        <v>43</v>
      </c>
      <c r="D87" s="77" t="str">
        <f t="shared" si="25"/>
        <v>Ostali prihodi za posebne namjene</v>
      </c>
      <c r="E87" s="82">
        <v>3294</v>
      </c>
      <c r="F87" s="77" t="str">
        <f t="shared" si="12"/>
        <v>Članarine i norme</v>
      </c>
      <c r="G87" s="114" t="s">
        <v>177</v>
      </c>
      <c r="H87" s="77" t="str">
        <f t="shared" si="17"/>
        <v>REDOVNA DJELATNOST SVEUČILIŠTA U OSIJEKU (IZ EVIDENCIJSKIH PRIHODA)</v>
      </c>
      <c r="I87" s="77" t="str">
        <f t="shared" si="18"/>
        <v>0942</v>
      </c>
      <c r="J87" s="113"/>
      <c r="K87" s="113">
        <f t="shared" si="19"/>
        <v>0</v>
      </c>
      <c r="L87" s="113">
        <v>0</v>
      </c>
      <c r="M87" s="81"/>
      <c r="O87" s="72" t="str">
        <f t="shared" si="20"/>
        <v>329</v>
      </c>
      <c r="P87" s="72" t="str">
        <f t="shared" si="21"/>
        <v>32</v>
      </c>
      <c r="Q87" s="72" t="e">
        <f>LEFT(#REF!,3)</f>
        <v>#REF!</v>
      </c>
      <c r="R87" s="72" t="str">
        <f t="shared" si="22"/>
        <v>94</v>
      </c>
      <c r="V87" s="72">
        <v>4111</v>
      </c>
      <c r="W87" s="72" t="s">
        <v>156</v>
      </c>
      <c r="Y87" s="286" t="str">
        <f t="shared" ref="Y87:Y105" si="26">LEFT(V87,2)</f>
        <v>41</v>
      </c>
      <c r="Z87" s="72" t="str">
        <f t="shared" ref="Z87:Z128" si="27">LEFT(V87,3)</f>
        <v>411</v>
      </c>
      <c r="AB87" t="s">
        <v>1904</v>
      </c>
      <c r="AC87" t="s">
        <v>1905</v>
      </c>
      <c r="AD87" s="72" t="s">
        <v>5147</v>
      </c>
      <c r="AE87" s="72" t="s">
        <v>5148</v>
      </c>
      <c r="AF87" s="72" t="s">
        <v>5165</v>
      </c>
      <c r="AG87" s="72" t="s">
        <v>5173</v>
      </c>
    </row>
    <row r="88" spans="1:33">
      <c r="A88" s="333" t="s">
        <v>44</v>
      </c>
      <c r="B88" s="70" t="s">
        <v>5268</v>
      </c>
      <c r="C88" s="82">
        <v>43</v>
      </c>
      <c r="D88" s="77" t="str">
        <f t="shared" si="25"/>
        <v>Ostali prihodi za posebne namjene</v>
      </c>
      <c r="E88" s="82">
        <v>3295</v>
      </c>
      <c r="F88" s="77" t="str">
        <f t="shared" si="12"/>
        <v>Pristojbe i naknade</v>
      </c>
      <c r="G88" s="114" t="s">
        <v>177</v>
      </c>
      <c r="H88" s="77" t="str">
        <f t="shared" si="17"/>
        <v>REDOVNA DJELATNOST SVEUČILIŠTA U OSIJEKU (IZ EVIDENCIJSKIH PRIHODA)</v>
      </c>
      <c r="I88" s="77" t="str">
        <f t="shared" si="18"/>
        <v>0942</v>
      </c>
      <c r="J88" s="113"/>
      <c r="K88" s="113">
        <f t="shared" si="19"/>
        <v>0</v>
      </c>
      <c r="L88" s="113">
        <v>0</v>
      </c>
      <c r="M88" s="81"/>
      <c r="O88" s="72" t="str">
        <f t="shared" si="20"/>
        <v>329</v>
      </c>
      <c r="P88" s="72" t="str">
        <f t="shared" si="21"/>
        <v>32</v>
      </c>
      <c r="Q88" s="72" t="e">
        <f>LEFT(#REF!,3)</f>
        <v>#REF!</v>
      </c>
      <c r="R88" s="72" t="str">
        <f t="shared" si="22"/>
        <v>94</v>
      </c>
      <c r="V88" s="72">
        <v>4113</v>
      </c>
      <c r="W88" s="72" t="s">
        <v>190</v>
      </c>
      <c r="Y88" s="286" t="str">
        <f t="shared" si="26"/>
        <v>41</v>
      </c>
      <c r="Z88" s="72" t="str">
        <f t="shared" si="27"/>
        <v>411</v>
      </c>
      <c r="AB88" t="s">
        <v>1906</v>
      </c>
      <c r="AC88" t="s">
        <v>1907</v>
      </c>
      <c r="AD88" s="72" t="s">
        <v>5147</v>
      </c>
      <c r="AE88" s="72" t="s">
        <v>5148</v>
      </c>
      <c r="AF88" s="72" t="s">
        <v>5165</v>
      </c>
      <c r="AG88" s="72" t="s">
        <v>5173</v>
      </c>
    </row>
    <row r="89" spans="1:33">
      <c r="A89" s="333" t="s">
        <v>44</v>
      </c>
      <c r="B89" s="70" t="s">
        <v>5268</v>
      </c>
      <c r="C89" s="82">
        <v>43</v>
      </c>
      <c r="D89" s="77" t="str">
        <f t="shared" si="25"/>
        <v>Ostali prihodi za posebne namjene</v>
      </c>
      <c r="E89" s="82">
        <v>3299</v>
      </c>
      <c r="F89" s="77" t="str">
        <f t="shared" si="12"/>
        <v>Ostali nespomenuti rashodi poslovanja</v>
      </c>
      <c r="G89" s="114" t="s">
        <v>177</v>
      </c>
      <c r="H89" s="77" t="str">
        <f t="shared" si="17"/>
        <v>REDOVNA DJELATNOST SVEUČILIŠTA U OSIJEKU (IZ EVIDENCIJSKIH PRIHODA)</v>
      </c>
      <c r="I89" s="77" t="str">
        <f t="shared" si="18"/>
        <v>0942</v>
      </c>
      <c r="J89" s="352">
        <f>407960-25291</f>
        <v>382669</v>
      </c>
      <c r="K89" s="113">
        <f t="shared" si="19"/>
        <v>37331</v>
      </c>
      <c r="L89" s="113">
        <f>500000-80000</f>
        <v>420000</v>
      </c>
      <c r="M89" s="81"/>
      <c r="O89" s="72" t="str">
        <f t="shared" si="20"/>
        <v>329</v>
      </c>
      <c r="P89" s="72" t="str">
        <f t="shared" si="21"/>
        <v>32</v>
      </c>
      <c r="Q89" s="72" t="e">
        <f>LEFT(#REF!,3)</f>
        <v>#REF!</v>
      </c>
      <c r="R89" s="72" t="str">
        <f t="shared" si="22"/>
        <v>94</v>
      </c>
      <c r="V89" s="72">
        <v>4122</v>
      </c>
      <c r="W89" s="72" t="s">
        <v>157</v>
      </c>
      <c r="Y89" s="286" t="str">
        <f t="shared" si="26"/>
        <v>41</v>
      </c>
      <c r="Z89" s="72" t="str">
        <f t="shared" si="27"/>
        <v>412</v>
      </c>
      <c r="AB89" t="s">
        <v>1920</v>
      </c>
      <c r="AC89" t="s">
        <v>1921</v>
      </c>
      <c r="AD89" s="72" t="s">
        <v>5143</v>
      </c>
      <c r="AE89" s="72" t="s">
        <v>5144</v>
      </c>
      <c r="AF89" s="72" t="s">
        <v>5165</v>
      </c>
      <c r="AG89" s="72" t="s">
        <v>5175</v>
      </c>
    </row>
    <row r="90" spans="1:33">
      <c r="A90" s="333" t="s">
        <v>44</v>
      </c>
      <c r="B90" s="70" t="s">
        <v>5268</v>
      </c>
      <c r="C90" s="82">
        <v>43</v>
      </c>
      <c r="D90" s="77" t="str">
        <f t="shared" si="25"/>
        <v>Ostali prihodi za posebne namjene</v>
      </c>
      <c r="E90" s="82">
        <v>3431</v>
      </c>
      <c r="F90" s="77" t="str">
        <f t="shared" si="12"/>
        <v>Bankarske usluge i usluge platnog prometa</v>
      </c>
      <c r="G90" s="114" t="s">
        <v>177</v>
      </c>
      <c r="H90" s="77" t="str">
        <f t="shared" si="17"/>
        <v>REDOVNA DJELATNOST SVEUČILIŠTA U OSIJEKU (IZ EVIDENCIJSKIH PRIHODA)</v>
      </c>
      <c r="I90" s="77" t="str">
        <f t="shared" si="18"/>
        <v>0942</v>
      </c>
      <c r="J90" s="352">
        <f>18852-3087</f>
        <v>15765</v>
      </c>
      <c r="K90" s="113">
        <f t="shared" si="19"/>
        <v>-15665</v>
      </c>
      <c r="L90" s="113">
        <v>100</v>
      </c>
      <c r="M90" s="81"/>
      <c r="O90" s="72" t="str">
        <f t="shared" si="20"/>
        <v>343</v>
      </c>
      <c r="P90" s="72" t="str">
        <f t="shared" si="21"/>
        <v>34</v>
      </c>
      <c r="Q90" s="72" t="e">
        <f>LEFT(#REF!,3)</f>
        <v>#REF!</v>
      </c>
      <c r="R90" s="72" t="str">
        <f t="shared" si="22"/>
        <v>94</v>
      </c>
      <c r="V90" s="72">
        <v>4123</v>
      </c>
      <c r="W90" s="72" t="s">
        <v>128</v>
      </c>
      <c r="Y90" s="286" t="str">
        <f t="shared" si="26"/>
        <v>41</v>
      </c>
      <c r="Z90" s="72" t="str">
        <f t="shared" si="27"/>
        <v>412</v>
      </c>
      <c r="AB90" t="s">
        <v>1636</v>
      </c>
      <c r="AC90" t="s">
        <v>1637</v>
      </c>
      <c r="AD90" s="72" t="s">
        <v>5141</v>
      </c>
      <c r="AE90" s="72" t="s">
        <v>5142</v>
      </c>
      <c r="AF90" s="72" t="s">
        <v>5167</v>
      </c>
      <c r="AG90" s="72" t="s">
        <v>5168</v>
      </c>
    </row>
    <row r="91" spans="1:33">
      <c r="A91" s="333" t="s">
        <v>44</v>
      </c>
      <c r="B91" s="70" t="s">
        <v>5268</v>
      </c>
      <c r="C91" s="82">
        <v>43</v>
      </c>
      <c r="D91" s="77" t="str">
        <f t="shared" si="25"/>
        <v>Ostali prihodi za posebne namjene</v>
      </c>
      <c r="E91" s="82">
        <v>3432</v>
      </c>
      <c r="F91" s="77" t="str">
        <f t="shared" si="12"/>
        <v>Negativne tečajne razlike i razlike zbog primjene valutne kl</v>
      </c>
      <c r="G91" s="114" t="s">
        <v>177</v>
      </c>
      <c r="H91" s="77" t="str">
        <f t="shared" si="17"/>
        <v>REDOVNA DJELATNOST SVEUČILIŠTA U OSIJEKU (IZ EVIDENCIJSKIH PRIHODA)</v>
      </c>
      <c r="I91" s="77" t="str">
        <f t="shared" si="18"/>
        <v>0942</v>
      </c>
      <c r="J91" s="352">
        <v>7</v>
      </c>
      <c r="K91" s="113">
        <f t="shared" si="19"/>
        <v>-7</v>
      </c>
      <c r="L91" s="113">
        <v>0</v>
      </c>
      <c r="M91" s="81"/>
      <c r="O91" s="72" t="str">
        <f t="shared" si="20"/>
        <v>343</v>
      </c>
      <c r="P91" s="72" t="str">
        <f t="shared" si="21"/>
        <v>34</v>
      </c>
      <c r="Q91" s="72" t="e">
        <f>LEFT(#REF!,3)</f>
        <v>#REF!</v>
      </c>
      <c r="R91" s="72" t="str">
        <f t="shared" si="22"/>
        <v>94</v>
      </c>
      <c r="V91" s="72">
        <v>4124</v>
      </c>
      <c r="W91" s="72" t="s">
        <v>114</v>
      </c>
      <c r="Y91" s="286" t="str">
        <f t="shared" si="26"/>
        <v>41</v>
      </c>
      <c r="Z91" s="72" t="str">
        <f t="shared" si="27"/>
        <v>412</v>
      </c>
      <c r="AB91" t="s">
        <v>1636</v>
      </c>
      <c r="AC91" t="s">
        <v>1637</v>
      </c>
      <c r="AD91" s="72" t="s">
        <v>5143</v>
      </c>
      <c r="AE91" s="72" t="s">
        <v>5144</v>
      </c>
      <c r="AF91" s="72" t="s">
        <v>5165</v>
      </c>
      <c r="AG91" s="72" t="s">
        <v>5175</v>
      </c>
    </row>
    <row r="92" spans="1:33">
      <c r="A92" s="333" t="s">
        <v>44</v>
      </c>
      <c r="B92" s="70" t="s">
        <v>5268</v>
      </c>
      <c r="C92" s="82">
        <v>43</v>
      </c>
      <c r="D92" s="77" t="str">
        <f t="shared" si="25"/>
        <v>Ostali prihodi za posebne namjene</v>
      </c>
      <c r="E92" s="82">
        <v>3721</v>
      </c>
      <c r="F92" s="77" t="str">
        <f t="shared" si="12"/>
        <v>Naknade građanima i kućanstvima u novcu</v>
      </c>
      <c r="G92" s="114" t="s">
        <v>177</v>
      </c>
      <c r="H92" s="77" t="str">
        <f t="shared" si="17"/>
        <v>REDOVNA DJELATNOST SVEUČILIŠTA U OSIJEKU (IZ EVIDENCIJSKIH PRIHODA)</v>
      </c>
      <c r="I92" s="77" t="str">
        <f t="shared" si="18"/>
        <v>0942</v>
      </c>
      <c r="J92" s="352">
        <f>74395-8034</f>
        <v>66361</v>
      </c>
      <c r="K92" s="113">
        <f t="shared" si="19"/>
        <v>-50601</v>
      </c>
      <c r="L92" s="113">
        <v>15760</v>
      </c>
      <c r="M92" s="81"/>
      <c r="O92" s="72" t="str">
        <f t="shared" si="20"/>
        <v>372</v>
      </c>
      <c r="P92" s="72" t="str">
        <f t="shared" si="21"/>
        <v>37</v>
      </c>
      <c r="Q92" s="72" t="e">
        <f>LEFT(#REF!,3)</f>
        <v>#REF!</v>
      </c>
      <c r="R92" s="72" t="str">
        <f t="shared" si="22"/>
        <v>94</v>
      </c>
      <c r="V92" s="72">
        <v>4126</v>
      </c>
      <c r="W92" s="72" t="s">
        <v>158</v>
      </c>
      <c r="Y92" s="286" t="str">
        <f t="shared" si="26"/>
        <v>41</v>
      </c>
      <c r="Z92" s="72" t="str">
        <f t="shared" si="27"/>
        <v>412</v>
      </c>
      <c r="AB92" t="s">
        <v>950</v>
      </c>
      <c r="AC92" t="s">
        <v>951</v>
      </c>
      <c r="AD92" s="72" t="s">
        <v>5143</v>
      </c>
      <c r="AE92" s="72" t="s">
        <v>5144</v>
      </c>
      <c r="AF92" s="72" t="s">
        <v>5165</v>
      </c>
      <c r="AG92" s="72" t="s">
        <v>5175</v>
      </c>
    </row>
    <row r="93" spans="1:33">
      <c r="A93" s="333" t="s">
        <v>44</v>
      </c>
      <c r="B93" s="70" t="s">
        <v>5268</v>
      </c>
      <c r="C93" s="82">
        <v>43</v>
      </c>
      <c r="D93" s="77" t="str">
        <f t="shared" si="25"/>
        <v>Ostali prihodi za posebne namjene</v>
      </c>
      <c r="E93" s="82">
        <v>3811</v>
      </c>
      <c r="F93" s="77" t="str">
        <f t="shared" si="12"/>
        <v>Tekuće donacije u novcu</v>
      </c>
      <c r="G93" s="114" t="s">
        <v>177</v>
      </c>
      <c r="H93" s="77" t="str">
        <f t="shared" si="17"/>
        <v>REDOVNA DJELATNOST SVEUČILIŠTA U OSIJEKU (IZ EVIDENCIJSKIH PRIHODA)</v>
      </c>
      <c r="I93" s="77" t="str">
        <f t="shared" si="18"/>
        <v>0942</v>
      </c>
      <c r="J93" s="352">
        <v>3981</v>
      </c>
      <c r="K93" s="113">
        <f t="shared" si="19"/>
        <v>-2981</v>
      </c>
      <c r="L93" s="113">
        <v>1000</v>
      </c>
      <c r="M93" s="81"/>
      <c r="O93" s="72" t="str">
        <f t="shared" si="20"/>
        <v>381</v>
      </c>
      <c r="P93" s="72" t="str">
        <f t="shared" si="21"/>
        <v>38</v>
      </c>
      <c r="Q93" s="72" t="e">
        <f>LEFT(#REF!,3)</f>
        <v>#REF!</v>
      </c>
      <c r="R93" s="72" t="str">
        <f t="shared" si="22"/>
        <v>94</v>
      </c>
      <c r="V93" s="72">
        <v>4211</v>
      </c>
      <c r="W93" s="72" t="s">
        <v>172</v>
      </c>
      <c r="Y93" s="286" t="str">
        <f t="shared" si="26"/>
        <v>42</v>
      </c>
      <c r="Z93" s="72" t="str">
        <f t="shared" si="27"/>
        <v>421</v>
      </c>
      <c r="AB93" t="s">
        <v>952</v>
      </c>
      <c r="AC93" t="s">
        <v>953</v>
      </c>
      <c r="AD93" s="72" t="s">
        <v>5143</v>
      </c>
      <c r="AE93" s="72" t="s">
        <v>5144</v>
      </c>
      <c r="AF93" s="72" t="s">
        <v>5165</v>
      </c>
      <c r="AG93" s="72" t="s">
        <v>5175</v>
      </c>
    </row>
    <row r="94" spans="1:33">
      <c r="A94" s="333" t="s">
        <v>44</v>
      </c>
      <c r="B94" s="70" t="s">
        <v>5268</v>
      </c>
      <c r="C94" s="82">
        <v>43</v>
      </c>
      <c r="D94" s="77" t="str">
        <f t="shared" si="25"/>
        <v>Ostali prihodi za posebne namjene</v>
      </c>
      <c r="E94" s="82">
        <v>3812</v>
      </c>
      <c r="F94" s="77" t="str">
        <f t="shared" si="12"/>
        <v>Tekuće donacije u naravi</v>
      </c>
      <c r="G94" s="114" t="s">
        <v>177</v>
      </c>
      <c r="H94" s="77" t="str">
        <f t="shared" si="17"/>
        <v>REDOVNA DJELATNOST SVEUČILIŠTA U OSIJEKU (IZ EVIDENCIJSKIH PRIHODA)</v>
      </c>
      <c r="I94" s="77" t="str">
        <f t="shared" si="18"/>
        <v>0942</v>
      </c>
      <c r="J94" s="352">
        <v>3981</v>
      </c>
      <c r="K94" s="113">
        <f t="shared" si="19"/>
        <v>-3881</v>
      </c>
      <c r="L94" s="113">
        <v>100</v>
      </c>
      <c r="M94" s="81"/>
      <c r="O94" s="72" t="str">
        <f t="shared" si="20"/>
        <v>381</v>
      </c>
      <c r="P94" s="72" t="str">
        <f t="shared" si="21"/>
        <v>38</v>
      </c>
      <c r="Q94" s="72" t="e">
        <f>LEFT(#REF!,3)</f>
        <v>#REF!</v>
      </c>
      <c r="R94" s="72" t="str">
        <f t="shared" si="22"/>
        <v>94</v>
      </c>
      <c r="V94" s="72">
        <v>4212</v>
      </c>
      <c r="W94" s="72" t="s">
        <v>60</v>
      </c>
      <c r="Y94" s="286" t="str">
        <f t="shared" si="26"/>
        <v>42</v>
      </c>
      <c r="Z94" s="72" t="str">
        <f t="shared" si="27"/>
        <v>421</v>
      </c>
      <c r="AB94" t="s">
        <v>959</v>
      </c>
      <c r="AC94" t="s">
        <v>960</v>
      </c>
      <c r="AD94" s="72" t="s">
        <v>5141</v>
      </c>
      <c r="AE94" s="72" t="s">
        <v>5142</v>
      </c>
      <c r="AF94" s="72" t="s">
        <v>5167</v>
      </c>
      <c r="AG94" s="72" t="s">
        <v>5168</v>
      </c>
    </row>
    <row r="95" spans="1:33">
      <c r="A95" s="333" t="s">
        <v>44</v>
      </c>
      <c r="B95" s="70" t="s">
        <v>5268</v>
      </c>
      <c r="C95" s="82">
        <v>43</v>
      </c>
      <c r="D95" s="77" t="str">
        <f t="shared" si="25"/>
        <v>Ostali prihodi za posebne namjene</v>
      </c>
      <c r="E95" s="82">
        <v>4212</v>
      </c>
      <c r="F95" s="77" t="str">
        <f t="shared" si="12"/>
        <v>Poslovni objekti</v>
      </c>
      <c r="G95" s="114" t="s">
        <v>177</v>
      </c>
      <c r="H95" s="77" t="str">
        <f t="shared" si="17"/>
        <v>REDOVNA DJELATNOST SVEUČILIŠTA U OSIJEKU (IZ EVIDENCIJSKIH PRIHODA)</v>
      </c>
      <c r="I95" s="77" t="str">
        <f t="shared" si="18"/>
        <v>0942</v>
      </c>
      <c r="J95" s="352">
        <v>13272</v>
      </c>
      <c r="K95" s="113">
        <f t="shared" si="19"/>
        <v>-12272</v>
      </c>
      <c r="L95" s="113">
        <v>1000</v>
      </c>
      <c r="M95" s="81"/>
      <c r="O95" s="72" t="str">
        <f t="shared" si="20"/>
        <v>421</v>
      </c>
      <c r="P95" s="72" t="str">
        <f t="shared" si="21"/>
        <v>42</v>
      </c>
      <c r="Q95" s="72" t="e">
        <f>LEFT(#REF!,3)</f>
        <v>#REF!</v>
      </c>
      <c r="R95" s="72" t="str">
        <f t="shared" si="22"/>
        <v>94</v>
      </c>
      <c r="V95" s="72">
        <v>4213</v>
      </c>
      <c r="W95" s="72" t="s">
        <v>159</v>
      </c>
      <c r="Y95" s="286" t="str">
        <f t="shared" si="26"/>
        <v>42</v>
      </c>
      <c r="Z95" s="72" t="str">
        <f t="shared" si="27"/>
        <v>421</v>
      </c>
      <c r="AB95" t="s">
        <v>1638</v>
      </c>
      <c r="AC95" t="s">
        <v>1639</v>
      </c>
      <c r="AD95" s="72" t="s">
        <v>5141</v>
      </c>
      <c r="AE95" s="72" t="s">
        <v>5142</v>
      </c>
      <c r="AF95" s="72" t="s">
        <v>5167</v>
      </c>
      <c r="AG95" s="72" t="s">
        <v>5168</v>
      </c>
    </row>
    <row r="96" spans="1:33">
      <c r="A96" s="333" t="s">
        <v>44</v>
      </c>
      <c r="B96" s="70" t="s">
        <v>5268</v>
      </c>
      <c r="C96" s="82">
        <v>43</v>
      </c>
      <c r="D96" s="77" t="str">
        <f t="shared" si="25"/>
        <v>Ostali prihodi za posebne namjene</v>
      </c>
      <c r="E96" s="82">
        <v>4221</v>
      </c>
      <c r="F96" s="77" t="str">
        <f t="shared" si="12"/>
        <v>Uredska oprema i namještaj</v>
      </c>
      <c r="G96" s="114" t="s">
        <v>177</v>
      </c>
      <c r="H96" s="77" t="str">
        <f t="shared" si="17"/>
        <v>REDOVNA DJELATNOST SVEUČILIŠTA U OSIJEKU (IZ EVIDENCIJSKIH PRIHODA)</v>
      </c>
      <c r="I96" s="77" t="str">
        <f t="shared" si="18"/>
        <v>0942</v>
      </c>
      <c r="J96" s="352">
        <f>18785-12149</f>
        <v>6636</v>
      </c>
      <c r="K96" s="113">
        <f t="shared" si="19"/>
        <v>1364</v>
      </c>
      <c r="L96" s="113">
        <v>8000</v>
      </c>
      <c r="M96" s="81"/>
      <c r="O96" s="72" t="str">
        <f t="shared" si="20"/>
        <v>422</v>
      </c>
      <c r="P96" s="72" t="str">
        <f t="shared" si="21"/>
        <v>42</v>
      </c>
      <c r="Q96" s="72" t="e">
        <f>LEFT(#REF!,3)</f>
        <v>#REF!</v>
      </c>
      <c r="R96" s="72" t="str">
        <f t="shared" si="22"/>
        <v>94</v>
      </c>
      <c r="V96" s="72">
        <v>4214</v>
      </c>
      <c r="W96" s="72" t="s">
        <v>160</v>
      </c>
      <c r="Y96" s="286" t="str">
        <f t="shared" si="26"/>
        <v>42</v>
      </c>
      <c r="Z96" s="72" t="str">
        <f t="shared" si="27"/>
        <v>421</v>
      </c>
      <c r="AB96" t="s">
        <v>1922</v>
      </c>
      <c r="AC96" t="s">
        <v>1923</v>
      </c>
      <c r="AD96" s="72" t="s">
        <v>5141</v>
      </c>
      <c r="AE96" s="72" t="s">
        <v>5142</v>
      </c>
      <c r="AF96" s="72" t="s">
        <v>5167</v>
      </c>
      <c r="AG96" s="72" t="s">
        <v>5168</v>
      </c>
    </row>
    <row r="97" spans="1:33">
      <c r="A97" s="333" t="s">
        <v>44</v>
      </c>
      <c r="B97" s="70" t="s">
        <v>5268</v>
      </c>
      <c r="C97" s="82">
        <v>43</v>
      </c>
      <c r="D97" s="77" t="str">
        <f t="shared" si="25"/>
        <v>Ostali prihodi za posebne namjene</v>
      </c>
      <c r="E97" s="82">
        <v>4222</v>
      </c>
      <c r="F97" s="77" t="str">
        <f t="shared" si="12"/>
        <v>Komunikacijska oprema</v>
      </c>
      <c r="G97" s="114" t="s">
        <v>177</v>
      </c>
      <c r="H97" s="77" t="str">
        <f t="shared" si="17"/>
        <v>REDOVNA DJELATNOST SVEUČILIŠTA U OSIJEKU (IZ EVIDENCIJSKIH PRIHODA)</v>
      </c>
      <c r="I97" s="77" t="str">
        <f t="shared" si="18"/>
        <v>0942</v>
      </c>
      <c r="J97" s="363">
        <v>0</v>
      </c>
      <c r="K97" s="113">
        <f t="shared" si="19"/>
        <v>5000</v>
      </c>
      <c r="L97" s="113">
        <v>5000</v>
      </c>
      <c r="M97" s="81"/>
      <c r="O97" s="72" t="str">
        <f t="shared" si="20"/>
        <v>422</v>
      </c>
      <c r="P97" s="72" t="str">
        <f t="shared" si="21"/>
        <v>42</v>
      </c>
      <c r="AB97"/>
      <c r="AC97"/>
    </row>
    <row r="98" spans="1:33">
      <c r="A98" s="333" t="s">
        <v>44</v>
      </c>
      <c r="B98" s="70" t="s">
        <v>5268</v>
      </c>
      <c r="C98" s="82">
        <v>43</v>
      </c>
      <c r="D98" s="77" t="str">
        <f t="shared" si="25"/>
        <v>Ostali prihodi za posebne namjene</v>
      </c>
      <c r="E98" s="82">
        <v>4223</v>
      </c>
      <c r="F98" s="77" t="str">
        <f t="shared" si="12"/>
        <v>Oprema za održavanje i zaštitu</v>
      </c>
      <c r="G98" s="114" t="s">
        <v>177</v>
      </c>
      <c r="H98" s="77" t="str">
        <f t="shared" si="17"/>
        <v>REDOVNA DJELATNOST SVEUČILIŠTA U OSIJEKU (IZ EVIDENCIJSKIH PRIHODA)</v>
      </c>
      <c r="I98" s="77" t="str">
        <f t="shared" si="18"/>
        <v>0942</v>
      </c>
      <c r="J98" s="113">
        <v>0</v>
      </c>
      <c r="K98" s="113">
        <f t="shared" si="19"/>
        <v>0</v>
      </c>
      <c r="L98" s="113">
        <v>0</v>
      </c>
      <c r="M98" s="81"/>
      <c r="O98" s="72" t="str">
        <f t="shared" si="20"/>
        <v>422</v>
      </c>
      <c r="P98" s="72" t="str">
        <f t="shared" si="21"/>
        <v>42</v>
      </c>
      <c r="Q98" s="72" t="e">
        <f>LEFT(#REF!,3)</f>
        <v>#REF!</v>
      </c>
      <c r="R98" s="72" t="str">
        <f t="shared" si="22"/>
        <v>94</v>
      </c>
      <c r="V98" s="72">
        <v>4221</v>
      </c>
      <c r="W98" s="72" t="s">
        <v>95</v>
      </c>
      <c r="Y98" s="286" t="str">
        <f t="shared" si="26"/>
        <v>42</v>
      </c>
      <c r="Z98" s="72" t="str">
        <f t="shared" si="27"/>
        <v>422</v>
      </c>
      <c r="AB98" t="s">
        <v>1640</v>
      </c>
      <c r="AC98" t="s">
        <v>1641</v>
      </c>
      <c r="AD98" s="72" t="s">
        <v>5143</v>
      </c>
      <c r="AE98" s="72" t="s">
        <v>5144</v>
      </c>
      <c r="AF98" s="72" t="s">
        <v>5165</v>
      </c>
      <c r="AG98" s="72" t="s">
        <v>5175</v>
      </c>
    </row>
    <row r="99" spans="1:33">
      <c r="A99" s="333" t="s">
        <v>44</v>
      </c>
      <c r="B99" s="70" t="s">
        <v>5268</v>
      </c>
      <c r="C99" s="82">
        <v>43</v>
      </c>
      <c r="D99" s="77" t="str">
        <f t="shared" si="25"/>
        <v>Ostali prihodi za posebne namjene</v>
      </c>
      <c r="E99" s="82">
        <v>4224</v>
      </c>
      <c r="F99" s="77" t="str">
        <f t="shared" si="12"/>
        <v>Medicinska i laboratorijska oprema</v>
      </c>
      <c r="G99" s="114" t="s">
        <v>177</v>
      </c>
      <c r="H99" s="77" t="str">
        <f t="shared" si="17"/>
        <v>REDOVNA DJELATNOST SVEUČILIŠTA U OSIJEKU (IZ EVIDENCIJSKIH PRIHODA)</v>
      </c>
      <c r="I99" s="77" t="str">
        <f t="shared" si="18"/>
        <v>0942</v>
      </c>
      <c r="J99" s="113">
        <v>0</v>
      </c>
      <c r="K99" s="113">
        <f t="shared" si="19"/>
        <v>37000</v>
      </c>
      <c r="L99" s="113">
        <f>140000-103000</f>
        <v>37000</v>
      </c>
      <c r="M99" s="81"/>
      <c r="O99" s="72" t="str">
        <f t="shared" si="20"/>
        <v>422</v>
      </c>
      <c r="P99" s="72" t="str">
        <f t="shared" si="21"/>
        <v>42</v>
      </c>
      <c r="Q99" s="72" t="e">
        <f>LEFT(#REF!,3)</f>
        <v>#REF!</v>
      </c>
      <c r="R99" s="72" t="str">
        <f t="shared" si="22"/>
        <v>94</v>
      </c>
      <c r="V99" s="72">
        <v>4222</v>
      </c>
      <c r="W99" s="72" t="s">
        <v>106</v>
      </c>
      <c r="Y99" s="286" t="str">
        <f t="shared" si="26"/>
        <v>42</v>
      </c>
      <c r="Z99" s="72" t="str">
        <f t="shared" si="27"/>
        <v>422</v>
      </c>
      <c r="AB99" t="s">
        <v>1924</v>
      </c>
      <c r="AC99" t="s">
        <v>1925</v>
      </c>
      <c r="AD99" s="72" t="s">
        <v>5143</v>
      </c>
      <c r="AE99" s="72" t="s">
        <v>5144</v>
      </c>
      <c r="AF99" s="72" t="s">
        <v>5165</v>
      </c>
      <c r="AG99" s="72" t="s">
        <v>5175</v>
      </c>
    </row>
    <row r="100" spans="1:33">
      <c r="A100" s="333" t="s">
        <v>44</v>
      </c>
      <c r="B100" s="70" t="s">
        <v>5268</v>
      </c>
      <c r="C100" s="82">
        <v>43</v>
      </c>
      <c r="D100" s="77" t="str">
        <f t="shared" si="25"/>
        <v>Ostali prihodi za posebne namjene</v>
      </c>
      <c r="E100" s="82">
        <v>4225</v>
      </c>
      <c r="F100" s="77" t="str">
        <f t="shared" si="12"/>
        <v>Instrumenti, uređaji i strojevi</v>
      </c>
      <c r="G100" s="114" t="s">
        <v>177</v>
      </c>
      <c r="H100" s="77" t="str">
        <f t="shared" si="17"/>
        <v>REDOVNA DJELATNOST SVEUČILIŠTA U OSIJEKU (IZ EVIDENCIJSKIH PRIHODA)</v>
      </c>
      <c r="I100" s="77" t="str">
        <f t="shared" si="18"/>
        <v>0942</v>
      </c>
      <c r="J100" s="113">
        <v>0</v>
      </c>
      <c r="K100" s="113">
        <f t="shared" si="19"/>
        <v>0</v>
      </c>
      <c r="L100" s="113">
        <v>0</v>
      </c>
      <c r="M100" s="81"/>
      <c r="O100" s="72" t="str">
        <f t="shared" si="20"/>
        <v>422</v>
      </c>
      <c r="P100" s="72" t="str">
        <f t="shared" si="21"/>
        <v>42</v>
      </c>
      <c r="Q100" s="72" t="e">
        <f>LEFT(#REF!,3)</f>
        <v>#REF!</v>
      </c>
      <c r="R100" s="72" t="str">
        <f t="shared" si="22"/>
        <v>94</v>
      </c>
      <c r="V100" s="72">
        <v>4223</v>
      </c>
      <c r="W100" s="72" t="s">
        <v>119</v>
      </c>
      <c r="Y100" s="286" t="str">
        <f t="shared" si="26"/>
        <v>42</v>
      </c>
      <c r="Z100" s="72" t="str">
        <f t="shared" si="27"/>
        <v>422</v>
      </c>
      <c r="AB100" t="s">
        <v>1926</v>
      </c>
      <c r="AC100" t="s">
        <v>1927</v>
      </c>
      <c r="AD100" s="72" t="s">
        <v>5143</v>
      </c>
      <c r="AE100" s="72" t="s">
        <v>5144</v>
      </c>
      <c r="AF100" s="72" t="s">
        <v>5165</v>
      </c>
      <c r="AG100" s="72" t="s">
        <v>5175</v>
      </c>
    </row>
    <row r="101" spans="1:33">
      <c r="A101" s="333" t="s">
        <v>44</v>
      </c>
      <c r="B101" s="70" t="s">
        <v>5268</v>
      </c>
      <c r="C101" s="82">
        <v>43</v>
      </c>
      <c r="D101" s="77" t="str">
        <f t="shared" si="25"/>
        <v>Ostali prihodi za posebne namjene</v>
      </c>
      <c r="E101" s="82">
        <v>4227</v>
      </c>
      <c r="F101" s="77" t="str">
        <f t="shared" si="12"/>
        <v>Uređaji, strojevi i oprema za ostale namjene</v>
      </c>
      <c r="G101" s="114" t="s">
        <v>177</v>
      </c>
      <c r="H101" s="77" t="str">
        <f t="shared" si="17"/>
        <v>REDOVNA DJELATNOST SVEUČILIŠTA U OSIJEKU (IZ EVIDENCIJSKIH PRIHODA)</v>
      </c>
      <c r="I101" s="77" t="str">
        <f t="shared" si="18"/>
        <v>0942</v>
      </c>
      <c r="J101" s="113">
        <v>0</v>
      </c>
      <c r="K101" s="113">
        <f t="shared" si="19"/>
        <v>0</v>
      </c>
      <c r="L101" s="113">
        <v>0</v>
      </c>
      <c r="M101" s="81"/>
      <c r="O101" s="72" t="str">
        <f t="shared" si="20"/>
        <v>422</v>
      </c>
      <c r="P101" s="72" t="str">
        <f t="shared" si="21"/>
        <v>42</v>
      </c>
      <c r="Q101" s="72" t="e">
        <f>LEFT(#REF!,3)</f>
        <v>#REF!</v>
      </c>
      <c r="R101" s="72" t="str">
        <f t="shared" si="22"/>
        <v>94</v>
      </c>
      <c r="V101" s="72">
        <v>4224</v>
      </c>
      <c r="W101" s="72" t="s">
        <v>112</v>
      </c>
      <c r="Y101" s="286" t="str">
        <f t="shared" si="26"/>
        <v>42</v>
      </c>
      <c r="Z101" s="72" t="str">
        <f t="shared" si="27"/>
        <v>422</v>
      </c>
      <c r="AB101" t="s">
        <v>1928</v>
      </c>
      <c r="AC101" t="s">
        <v>1929</v>
      </c>
      <c r="AD101" s="72" t="s">
        <v>5143</v>
      </c>
      <c r="AE101" s="72" t="s">
        <v>5144</v>
      </c>
      <c r="AF101" s="72" t="s">
        <v>5165</v>
      </c>
      <c r="AG101" s="72" t="s">
        <v>5175</v>
      </c>
    </row>
    <row r="102" spans="1:33">
      <c r="A102" s="333" t="s">
        <v>44</v>
      </c>
      <c r="B102" s="70" t="s">
        <v>5268</v>
      </c>
      <c r="C102" s="82">
        <v>43</v>
      </c>
      <c r="D102" s="77" t="str">
        <f t="shared" si="25"/>
        <v>Ostali prihodi za posebne namjene</v>
      </c>
      <c r="E102" s="82">
        <v>4241</v>
      </c>
      <c r="F102" s="77" t="str">
        <f t="shared" ref="F102:F165" si="28">IFERROR(VLOOKUP(E102,$V$5:$X$139,2,FALSE),"")</f>
        <v>Knjige</v>
      </c>
      <c r="G102" s="114" t="s">
        <v>177</v>
      </c>
      <c r="H102" s="77" t="str">
        <f t="shared" si="17"/>
        <v>REDOVNA DJELATNOST SVEUČILIŠTA U OSIJEKU (IZ EVIDENCIJSKIH PRIHODA)</v>
      </c>
      <c r="I102" s="77" t="str">
        <f t="shared" si="18"/>
        <v>0942</v>
      </c>
      <c r="J102" s="113">
        <v>0</v>
      </c>
      <c r="K102" s="113">
        <f t="shared" si="19"/>
        <v>0</v>
      </c>
      <c r="L102" s="113">
        <v>0</v>
      </c>
      <c r="M102" s="81"/>
      <c r="O102" s="72" t="str">
        <f t="shared" si="20"/>
        <v>424</v>
      </c>
      <c r="P102" s="72" t="str">
        <f t="shared" si="21"/>
        <v>42</v>
      </c>
      <c r="Q102" s="72" t="e">
        <f>LEFT(#REF!,3)</f>
        <v>#REF!</v>
      </c>
      <c r="R102" s="72" t="str">
        <f t="shared" si="22"/>
        <v>94</v>
      </c>
      <c r="V102" s="72">
        <v>4225</v>
      </c>
      <c r="W102" s="72" t="s">
        <v>116</v>
      </c>
      <c r="Y102" s="286" t="str">
        <f t="shared" si="26"/>
        <v>42</v>
      </c>
      <c r="Z102" s="72" t="str">
        <f t="shared" si="27"/>
        <v>422</v>
      </c>
      <c r="AB102" t="s">
        <v>1930</v>
      </c>
      <c r="AC102" t="s">
        <v>1931</v>
      </c>
      <c r="AD102" s="72" t="s">
        <v>5143</v>
      </c>
      <c r="AE102" s="72" t="s">
        <v>5144</v>
      </c>
      <c r="AF102" s="72" t="s">
        <v>5165</v>
      </c>
      <c r="AG102" s="72" t="s">
        <v>5175</v>
      </c>
    </row>
    <row r="103" spans="1:33">
      <c r="A103" s="333" t="s">
        <v>44</v>
      </c>
      <c r="B103" s="70" t="s">
        <v>5268</v>
      </c>
      <c r="C103" s="82">
        <v>43</v>
      </c>
      <c r="D103" s="77" t="str">
        <f t="shared" si="25"/>
        <v>Ostali prihodi za posebne namjene</v>
      </c>
      <c r="E103" s="82">
        <v>4262</v>
      </c>
      <c r="F103" s="77" t="str">
        <f t="shared" si="28"/>
        <v>Ulaganja u računalne programe</v>
      </c>
      <c r="G103" s="114" t="s">
        <v>177</v>
      </c>
      <c r="H103" s="77" t="str">
        <f t="shared" si="17"/>
        <v>REDOVNA DJELATNOST SVEUČILIŠTA U OSIJEKU (IZ EVIDENCIJSKIH PRIHODA)</v>
      </c>
      <c r="I103" s="77" t="str">
        <f t="shared" si="18"/>
        <v>0942</v>
      </c>
      <c r="J103" s="352">
        <v>2000</v>
      </c>
      <c r="K103" s="113">
        <f t="shared" si="19"/>
        <v>-1900</v>
      </c>
      <c r="L103" s="113">
        <v>100</v>
      </c>
      <c r="M103" s="81"/>
      <c r="O103" s="72" t="str">
        <f t="shared" si="20"/>
        <v>426</v>
      </c>
      <c r="P103" s="72" t="str">
        <f t="shared" si="21"/>
        <v>42</v>
      </c>
      <c r="Q103" s="72" t="e">
        <f>LEFT(#REF!,3)</f>
        <v>#REF!</v>
      </c>
      <c r="R103" s="72" t="str">
        <f t="shared" si="22"/>
        <v>94</v>
      </c>
      <c r="V103" s="72">
        <v>4226</v>
      </c>
      <c r="W103" s="72" t="s">
        <v>161</v>
      </c>
      <c r="Y103" s="286" t="str">
        <f t="shared" si="26"/>
        <v>42</v>
      </c>
      <c r="Z103" s="72" t="str">
        <f t="shared" si="27"/>
        <v>422</v>
      </c>
      <c r="AB103" t="s">
        <v>1932</v>
      </c>
      <c r="AC103" t="s">
        <v>1933</v>
      </c>
      <c r="AD103" s="72" t="s">
        <v>5143</v>
      </c>
      <c r="AE103" s="72" t="s">
        <v>5144</v>
      </c>
      <c r="AF103" s="72" t="s">
        <v>5165</v>
      </c>
      <c r="AG103" s="72" t="s">
        <v>5175</v>
      </c>
    </row>
    <row r="104" spans="1:33">
      <c r="A104" s="333" t="s">
        <v>44</v>
      </c>
      <c r="B104" s="70" t="s">
        <v>5268</v>
      </c>
      <c r="C104" s="82">
        <v>43</v>
      </c>
      <c r="D104" s="77" t="str">
        <f t="shared" si="25"/>
        <v>Ostali prihodi za posebne namjene</v>
      </c>
      <c r="E104" s="82">
        <v>4511</v>
      </c>
      <c r="F104" s="77" t="str">
        <f t="shared" si="28"/>
        <v>Dodatna ulaganja na građevinskim objektima</v>
      </c>
      <c r="G104" s="114" t="s">
        <v>177</v>
      </c>
      <c r="H104" s="77" t="str">
        <f t="shared" si="17"/>
        <v>REDOVNA DJELATNOST SVEUČILIŠTA U OSIJEKU (IZ EVIDENCIJSKIH PRIHODA)</v>
      </c>
      <c r="I104" s="77" t="str">
        <f t="shared" si="18"/>
        <v>0942</v>
      </c>
      <c r="J104" s="352">
        <v>2000</v>
      </c>
      <c r="K104" s="113">
        <f t="shared" si="19"/>
        <v>-1900</v>
      </c>
      <c r="L104" s="113">
        <v>100</v>
      </c>
      <c r="M104" s="81"/>
      <c r="O104" s="72" t="str">
        <f t="shared" si="20"/>
        <v>451</v>
      </c>
      <c r="P104" s="72" t="str">
        <f t="shared" si="21"/>
        <v>45</v>
      </c>
      <c r="Q104" s="72" t="e">
        <f>LEFT(#REF!,3)</f>
        <v>#REF!</v>
      </c>
      <c r="R104" s="72" t="str">
        <f t="shared" si="22"/>
        <v>94</v>
      </c>
      <c r="V104" s="72">
        <v>4227</v>
      </c>
      <c r="W104" s="72" t="s">
        <v>129</v>
      </c>
      <c r="Y104" s="286" t="str">
        <f t="shared" si="26"/>
        <v>42</v>
      </c>
      <c r="Z104" s="72" t="str">
        <f t="shared" si="27"/>
        <v>422</v>
      </c>
      <c r="AB104" t="s">
        <v>1934</v>
      </c>
      <c r="AC104" t="s">
        <v>1935</v>
      </c>
      <c r="AD104" s="72" t="s">
        <v>5143</v>
      </c>
      <c r="AE104" s="72" t="s">
        <v>5144</v>
      </c>
      <c r="AF104" s="72" t="s">
        <v>5165</v>
      </c>
      <c r="AG104" s="72" t="s">
        <v>5175</v>
      </c>
    </row>
    <row r="105" spans="1:33">
      <c r="A105" s="333" t="s">
        <v>44</v>
      </c>
      <c r="B105" s="70" t="s">
        <v>5268</v>
      </c>
      <c r="C105" s="82">
        <v>52</v>
      </c>
      <c r="D105" s="77" t="str">
        <f t="shared" si="25"/>
        <v>Ostale pomoći</v>
      </c>
      <c r="E105" s="82">
        <v>3111</v>
      </c>
      <c r="F105" s="77" t="str">
        <f t="shared" si="28"/>
        <v>Plaće za redovan rad</v>
      </c>
      <c r="G105" s="114" t="s">
        <v>177</v>
      </c>
      <c r="H105" s="77" t="str">
        <f t="shared" si="17"/>
        <v>REDOVNA DJELATNOST SVEUČILIŠTA U OSIJEKU (IZ EVIDENCIJSKIH PRIHODA)</v>
      </c>
      <c r="I105" s="77" t="str">
        <f t="shared" si="18"/>
        <v>0942</v>
      </c>
      <c r="J105" s="113">
        <v>0</v>
      </c>
      <c r="K105" s="113">
        <f t="shared" si="19"/>
        <v>0</v>
      </c>
      <c r="L105" s="113">
        <v>0</v>
      </c>
      <c r="M105" s="81"/>
      <c r="O105" s="72" t="str">
        <f t="shared" si="20"/>
        <v>311</v>
      </c>
      <c r="P105" s="72" t="str">
        <f t="shared" si="21"/>
        <v>31</v>
      </c>
      <c r="Q105" s="72" t="e">
        <f>LEFT(#REF!,3)</f>
        <v>#REF!</v>
      </c>
      <c r="R105" s="72" t="str">
        <f t="shared" si="22"/>
        <v>94</v>
      </c>
      <c r="V105" s="72">
        <v>4231</v>
      </c>
      <c r="W105" s="72" t="s">
        <v>162</v>
      </c>
      <c r="Y105" s="286" t="str">
        <f t="shared" si="26"/>
        <v>42</v>
      </c>
      <c r="Z105" s="72" t="str">
        <f t="shared" si="27"/>
        <v>423</v>
      </c>
      <c r="AB105" t="s">
        <v>1936</v>
      </c>
      <c r="AC105" t="s">
        <v>1937</v>
      </c>
      <c r="AD105" s="72" t="s">
        <v>5143</v>
      </c>
      <c r="AE105" s="72" t="s">
        <v>5144</v>
      </c>
      <c r="AF105" s="72" t="s">
        <v>5165</v>
      </c>
      <c r="AG105" s="72" t="s">
        <v>5175</v>
      </c>
    </row>
    <row r="106" spans="1:33">
      <c r="A106" s="333" t="s">
        <v>44</v>
      </c>
      <c r="B106" s="70" t="s">
        <v>5268</v>
      </c>
      <c r="C106" s="82">
        <v>52</v>
      </c>
      <c r="D106" s="77" t="str">
        <f t="shared" si="25"/>
        <v>Ostale pomoći</v>
      </c>
      <c r="E106" s="82">
        <v>3121</v>
      </c>
      <c r="F106" s="77" t="str">
        <f t="shared" si="28"/>
        <v>Ostali rashodi za zaposlene</v>
      </c>
      <c r="G106" s="114" t="s">
        <v>177</v>
      </c>
      <c r="H106" s="77" t="str">
        <f t="shared" si="17"/>
        <v>REDOVNA DJELATNOST SVEUČILIŠTA U OSIJEKU (IZ EVIDENCIJSKIH PRIHODA)</v>
      </c>
      <c r="I106" s="77" t="str">
        <f t="shared" si="18"/>
        <v>0942</v>
      </c>
      <c r="J106" s="113">
        <v>0</v>
      </c>
      <c r="K106" s="113">
        <f t="shared" si="19"/>
        <v>0</v>
      </c>
      <c r="L106" s="113">
        <v>0</v>
      </c>
      <c r="M106" s="81"/>
      <c r="O106" s="72" t="str">
        <f t="shared" si="20"/>
        <v>312</v>
      </c>
      <c r="P106" s="72" t="str">
        <f t="shared" si="21"/>
        <v>31</v>
      </c>
      <c r="Q106" s="72" t="e">
        <f>LEFT(#REF!,3)</f>
        <v>#REF!</v>
      </c>
      <c r="R106" s="72" t="str">
        <f t="shared" si="22"/>
        <v>94</v>
      </c>
      <c r="V106" s="72">
        <v>4233</v>
      </c>
      <c r="W106" s="72" t="s">
        <v>170</v>
      </c>
      <c r="Y106" s="286" t="str">
        <f t="shared" ref="Y106:Y139" si="29">LEFT(V106,2)</f>
        <v>42</v>
      </c>
      <c r="Z106" s="72" t="str">
        <f t="shared" si="27"/>
        <v>423</v>
      </c>
      <c r="AB106" t="s">
        <v>1938</v>
      </c>
      <c r="AC106" t="s">
        <v>1939</v>
      </c>
      <c r="AD106" s="72" t="s">
        <v>5141</v>
      </c>
      <c r="AE106" s="72" t="s">
        <v>5142</v>
      </c>
      <c r="AF106" s="72" t="s">
        <v>5167</v>
      </c>
      <c r="AG106" s="72" t="s">
        <v>5168</v>
      </c>
    </row>
    <row r="107" spans="1:33">
      <c r="A107" s="333" t="s">
        <v>44</v>
      </c>
      <c r="B107" s="70" t="s">
        <v>5268</v>
      </c>
      <c r="C107" s="82">
        <v>52</v>
      </c>
      <c r="D107" s="77" t="str">
        <f t="shared" si="25"/>
        <v>Ostale pomoći</v>
      </c>
      <c r="E107" s="82">
        <v>3132</v>
      </c>
      <c r="F107" s="77" t="str">
        <f t="shared" si="28"/>
        <v>Doprinosi za obvezno zdravstveno osiguranje</v>
      </c>
      <c r="G107" s="114" t="s">
        <v>177</v>
      </c>
      <c r="H107" s="77" t="str">
        <f t="shared" si="17"/>
        <v>REDOVNA DJELATNOST SVEUČILIŠTA U OSIJEKU (IZ EVIDENCIJSKIH PRIHODA)</v>
      </c>
      <c r="I107" s="77" t="str">
        <f t="shared" si="18"/>
        <v>0942</v>
      </c>
      <c r="J107" s="113">
        <v>0</v>
      </c>
      <c r="K107" s="113">
        <f t="shared" si="19"/>
        <v>0</v>
      </c>
      <c r="L107" s="113">
        <v>0</v>
      </c>
      <c r="M107" s="81"/>
      <c r="O107" s="72" t="str">
        <f t="shared" si="20"/>
        <v>313</v>
      </c>
      <c r="P107" s="72" t="str">
        <f t="shared" si="21"/>
        <v>31</v>
      </c>
      <c r="Q107" s="72" t="e">
        <f>LEFT(#REF!,3)</f>
        <v>#REF!</v>
      </c>
      <c r="R107" s="72" t="str">
        <f t="shared" si="22"/>
        <v>94</v>
      </c>
      <c r="V107" s="72">
        <v>4241</v>
      </c>
      <c r="W107" s="72" t="s">
        <v>107</v>
      </c>
      <c r="Y107" s="286" t="str">
        <f t="shared" si="29"/>
        <v>42</v>
      </c>
      <c r="Z107" s="72" t="str">
        <f t="shared" si="27"/>
        <v>424</v>
      </c>
      <c r="AB107" t="s">
        <v>1642</v>
      </c>
      <c r="AC107" t="s">
        <v>1643</v>
      </c>
      <c r="AD107" s="72" t="s">
        <v>5155</v>
      </c>
      <c r="AE107" s="72" t="s">
        <v>5156</v>
      </c>
      <c r="AF107" s="72" t="s">
        <v>5165</v>
      </c>
      <c r="AG107" s="72" t="s">
        <v>5176</v>
      </c>
    </row>
    <row r="108" spans="1:33">
      <c r="A108" s="333" t="s">
        <v>44</v>
      </c>
      <c r="B108" s="70" t="s">
        <v>5268</v>
      </c>
      <c r="C108" s="82">
        <v>52</v>
      </c>
      <c r="D108" s="77" t="str">
        <f t="shared" si="25"/>
        <v>Ostale pomoći</v>
      </c>
      <c r="E108" s="82">
        <v>3211</v>
      </c>
      <c r="F108" s="77" t="str">
        <f t="shared" si="28"/>
        <v>Službena putovanja</v>
      </c>
      <c r="G108" s="114" t="s">
        <v>177</v>
      </c>
      <c r="H108" s="77" t="str">
        <f t="shared" si="17"/>
        <v>REDOVNA DJELATNOST SVEUČILIŠTA U OSIJEKU (IZ EVIDENCIJSKIH PRIHODA)</v>
      </c>
      <c r="I108" s="77" t="str">
        <f t="shared" si="18"/>
        <v>0942</v>
      </c>
      <c r="J108" s="352">
        <f>14966-13373</f>
        <v>1593</v>
      </c>
      <c r="K108" s="113">
        <f t="shared" si="19"/>
        <v>407</v>
      </c>
      <c r="L108" s="113">
        <v>2000</v>
      </c>
      <c r="M108" s="81"/>
      <c r="O108" s="72" t="str">
        <f t="shared" si="20"/>
        <v>321</v>
      </c>
      <c r="P108" s="72" t="str">
        <f t="shared" si="21"/>
        <v>32</v>
      </c>
      <c r="Q108" s="72" t="e">
        <f>LEFT(#REF!,3)</f>
        <v>#REF!</v>
      </c>
      <c r="R108" s="72" t="str">
        <f t="shared" si="22"/>
        <v>94</v>
      </c>
      <c r="V108" s="72">
        <v>4242</v>
      </c>
      <c r="W108" s="72" t="s">
        <v>139</v>
      </c>
      <c r="Y108" s="286" t="str">
        <f t="shared" si="29"/>
        <v>42</v>
      </c>
      <c r="Z108" s="72" t="str">
        <f t="shared" si="27"/>
        <v>424</v>
      </c>
      <c r="AB108" t="s">
        <v>1940</v>
      </c>
      <c r="AC108" t="s">
        <v>1941</v>
      </c>
      <c r="AD108" s="72" t="s">
        <v>5143</v>
      </c>
      <c r="AE108" s="72" t="s">
        <v>5144</v>
      </c>
      <c r="AF108" s="72" t="s">
        <v>5165</v>
      </c>
      <c r="AG108" s="72" t="s">
        <v>5175</v>
      </c>
    </row>
    <row r="109" spans="1:33">
      <c r="A109" s="333" t="s">
        <v>44</v>
      </c>
      <c r="B109" s="70" t="s">
        <v>5268</v>
      </c>
      <c r="C109" s="82">
        <v>52</v>
      </c>
      <c r="D109" s="77" t="str">
        <f t="shared" si="25"/>
        <v>Ostale pomoći</v>
      </c>
      <c r="E109" s="82">
        <v>3212</v>
      </c>
      <c r="F109" s="77" t="str">
        <f t="shared" si="28"/>
        <v>Naknade za prijevoz, za rad na terenu i odvojeni život</v>
      </c>
      <c r="G109" s="114" t="s">
        <v>177</v>
      </c>
      <c r="H109" s="77" t="str">
        <f t="shared" si="17"/>
        <v>REDOVNA DJELATNOST SVEUČILIŠTA U OSIJEKU (IZ EVIDENCIJSKIH PRIHODA)</v>
      </c>
      <c r="I109" s="77" t="str">
        <f t="shared" si="18"/>
        <v>0942</v>
      </c>
      <c r="J109" s="113"/>
      <c r="K109" s="113">
        <f t="shared" si="19"/>
        <v>0</v>
      </c>
      <c r="L109" s="113">
        <v>0</v>
      </c>
      <c r="M109" s="81"/>
      <c r="O109" s="72" t="str">
        <f t="shared" si="20"/>
        <v>321</v>
      </c>
      <c r="P109" s="72" t="str">
        <f t="shared" si="21"/>
        <v>32</v>
      </c>
      <c r="Q109" s="72" t="e">
        <f>LEFT(#REF!,3)</f>
        <v>#REF!</v>
      </c>
      <c r="R109" s="72" t="str">
        <f t="shared" si="22"/>
        <v>94</v>
      </c>
      <c r="V109" s="72">
        <v>4244</v>
      </c>
      <c r="W109" s="72" t="s">
        <v>171</v>
      </c>
      <c r="Y109" s="286" t="str">
        <f t="shared" si="29"/>
        <v>42</v>
      </c>
      <c r="Z109" s="72" t="str">
        <f t="shared" si="27"/>
        <v>424</v>
      </c>
      <c r="AB109" t="s">
        <v>1644</v>
      </c>
      <c r="AC109" t="s">
        <v>1645</v>
      </c>
      <c r="AD109" s="72" t="s">
        <v>5141</v>
      </c>
      <c r="AE109" s="72" t="s">
        <v>5142</v>
      </c>
      <c r="AF109" s="72" t="s">
        <v>5167</v>
      </c>
      <c r="AG109" s="72" t="s">
        <v>5168</v>
      </c>
    </row>
    <row r="110" spans="1:33">
      <c r="A110" s="333" t="s">
        <v>44</v>
      </c>
      <c r="B110" s="70" t="s">
        <v>5268</v>
      </c>
      <c r="C110" s="82">
        <v>52</v>
      </c>
      <c r="D110" s="77" t="str">
        <f t="shared" si="25"/>
        <v>Ostale pomoći</v>
      </c>
      <c r="E110" s="82">
        <v>3221</v>
      </c>
      <c r="F110" s="77" t="str">
        <f t="shared" si="28"/>
        <v>Uredski materijal i ostali materijalni rashodi</v>
      </c>
      <c r="G110" s="114" t="s">
        <v>177</v>
      </c>
      <c r="H110" s="77" t="str">
        <f t="shared" si="17"/>
        <v>REDOVNA DJELATNOST SVEUČILIŠTA U OSIJEKU (IZ EVIDENCIJSKIH PRIHODA)</v>
      </c>
      <c r="I110" s="77" t="str">
        <f t="shared" si="18"/>
        <v>0942</v>
      </c>
      <c r="J110" s="113"/>
      <c r="K110" s="113">
        <f t="shared" si="19"/>
        <v>0</v>
      </c>
      <c r="L110" s="113">
        <v>0</v>
      </c>
      <c r="M110" s="81"/>
      <c r="O110" s="72" t="str">
        <f t="shared" si="20"/>
        <v>322</v>
      </c>
      <c r="P110" s="72" t="str">
        <f t="shared" si="21"/>
        <v>32</v>
      </c>
      <c r="Q110" s="72" t="e">
        <f>LEFT(#REF!,3)</f>
        <v>#REF!</v>
      </c>
      <c r="R110" s="72" t="str">
        <f t="shared" si="22"/>
        <v>94</v>
      </c>
      <c r="V110" s="72">
        <v>4251</v>
      </c>
      <c r="W110" s="72" t="s">
        <v>163</v>
      </c>
      <c r="Y110" s="286" t="str">
        <f t="shared" si="29"/>
        <v>42</v>
      </c>
      <c r="Z110" s="72" t="str">
        <f t="shared" si="27"/>
        <v>425</v>
      </c>
      <c r="AB110" t="s">
        <v>961</v>
      </c>
      <c r="AC110" t="s">
        <v>962</v>
      </c>
      <c r="AD110" s="72" t="s">
        <v>5141</v>
      </c>
      <c r="AE110" s="72" t="s">
        <v>5142</v>
      </c>
      <c r="AF110" s="72" t="s">
        <v>5167</v>
      </c>
      <c r="AG110" s="72" t="s">
        <v>5168</v>
      </c>
    </row>
    <row r="111" spans="1:33">
      <c r="A111" s="333" t="s">
        <v>44</v>
      </c>
      <c r="B111" s="70" t="s">
        <v>5268</v>
      </c>
      <c r="C111" s="82">
        <v>52</v>
      </c>
      <c r="D111" s="77" t="str">
        <f t="shared" si="25"/>
        <v>Ostale pomoći</v>
      </c>
      <c r="E111" s="82">
        <v>3237</v>
      </c>
      <c r="F111" s="77" t="str">
        <f t="shared" si="28"/>
        <v>Intelektualne i osobne usluge</v>
      </c>
      <c r="G111" s="114" t="s">
        <v>177</v>
      </c>
      <c r="H111" s="77" t="str">
        <f t="shared" si="17"/>
        <v>REDOVNA DJELATNOST SVEUČILIŠTA U OSIJEKU (IZ EVIDENCIJSKIH PRIHODA)</v>
      </c>
      <c r="I111" s="77" t="str">
        <f t="shared" si="18"/>
        <v>0942</v>
      </c>
      <c r="J111" s="113">
        <v>0</v>
      </c>
      <c r="K111" s="113">
        <f t="shared" si="19"/>
        <v>10000</v>
      </c>
      <c r="L111" s="113">
        <v>10000</v>
      </c>
      <c r="M111" s="81"/>
      <c r="O111" s="72" t="str">
        <f t="shared" si="20"/>
        <v>323</v>
      </c>
      <c r="P111" s="72" t="str">
        <f t="shared" si="21"/>
        <v>32</v>
      </c>
      <c r="AB111"/>
      <c r="AC111"/>
    </row>
    <row r="112" spans="1:33">
      <c r="A112" s="333" t="s">
        <v>44</v>
      </c>
      <c r="B112" s="70" t="s">
        <v>5268</v>
      </c>
      <c r="C112" s="82">
        <v>52</v>
      </c>
      <c r="D112" s="77" t="str">
        <f t="shared" si="25"/>
        <v>Ostale pomoći</v>
      </c>
      <c r="E112" s="82">
        <v>3239</v>
      </c>
      <c r="F112" s="77" t="str">
        <f t="shared" si="28"/>
        <v>Ostale usluge</v>
      </c>
      <c r="G112" s="114" t="s">
        <v>177</v>
      </c>
      <c r="H112" s="77" t="str">
        <f t="shared" si="17"/>
        <v>REDOVNA DJELATNOST SVEUČILIŠTA U OSIJEKU (IZ EVIDENCIJSKIH PRIHODA)</v>
      </c>
      <c r="I112" s="77" t="str">
        <f t="shared" si="18"/>
        <v>0942</v>
      </c>
      <c r="J112" s="113"/>
      <c r="K112" s="113">
        <f t="shared" si="19"/>
        <v>0</v>
      </c>
      <c r="L112" s="113">
        <v>0</v>
      </c>
      <c r="M112" s="81"/>
      <c r="O112" s="72" t="str">
        <f t="shared" si="20"/>
        <v>323</v>
      </c>
      <c r="P112" s="72" t="str">
        <f t="shared" si="21"/>
        <v>32</v>
      </c>
      <c r="Q112" s="72" t="e">
        <f>LEFT(#REF!,3)</f>
        <v>#REF!</v>
      </c>
      <c r="R112" s="72" t="str">
        <f t="shared" si="22"/>
        <v>94</v>
      </c>
      <c r="V112" s="72">
        <v>4252</v>
      </c>
      <c r="W112" s="72" t="s">
        <v>164</v>
      </c>
      <c r="Y112" s="286" t="str">
        <f t="shared" si="29"/>
        <v>42</v>
      </c>
      <c r="Z112" s="72" t="str">
        <f t="shared" si="27"/>
        <v>425</v>
      </c>
      <c r="AB112" t="s">
        <v>954</v>
      </c>
      <c r="AC112" t="s">
        <v>955</v>
      </c>
      <c r="AD112" s="72" t="s">
        <v>5143</v>
      </c>
      <c r="AE112" s="72" t="s">
        <v>5144</v>
      </c>
      <c r="AF112" s="72" t="s">
        <v>5165</v>
      </c>
      <c r="AG112" s="72" t="s">
        <v>5175</v>
      </c>
    </row>
    <row r="113" spans="1:33">
      <c r="A113" s="333" t="s">
        <v>44</v>
      </c>
      <c r="B113" s="70" t="s">
        <v>5268</v>
      </c>
      <c r="C113" s="82">
        <v>52</v>
      </c>
      <c r="D113" s="77" t="str">
        <f t="shared" si="25"/>
        <v>Ostale pomoći</v>
      </c>
      <c r="E113" s="82">
        <v>3241</v>
      </c>
      <c r="F113" s="77" t="str">
        <f t="shared" si="28"/>
        <v>Naknade troškova osobama izvan radnog odnosa</v>
      </c>
      <c r="G113" s="114" t="s">
        <v>177</v>
      </c>
      <c r="H113" s="77" t="str">
        <f t="shared" si="17"/>
        <v>REDOVNA DJELATNOST SVEUČILIŠTA U OSIJEKU (IZ EVIDENCIJSKIH PRIHODA)</v>
      </c>
      <c r="I113" s="77" t="str">
        <f t="shared" si="18"/>
        <v>0942</v>
      </c>
      <c r="J113" s="113"/>
      <c r="K113" s="113">
        <f t="shared" si="19"/>
        <v>0</v>
      </c>
      <c r="L113" s="113">
        <v>0</v>
      </c>
      <c r="M113" s="81"/>
      <c r="O113" s="72" t="str">
        <f t="shared" si="20"/>
        <v>324</v>
      </c>
      <c r="P113" s="72" t="str">
        <f t="shared" si="21"/>
        <v>32</v>
      </c>
      <c r="Q113" s="72" t="e">
        <f>LEFT(#REF!,3)</f>
        <v>#REF!</v>
      </c>
      <c r="R113" s="72" t="str">
        <f t="shared" si="22"/>
        <v>94</v>
      </c>
      <c r="V113" s="72">
        <v>4262</v>
      </c>
      <c r="W113" s="72" t="s">
        <v>108</v>
      </c>
      <c r="Y113" s="286" t="str">
        <f t="shared" si="29"/>
        <v>42</v>
      </c>
      <c r="Z113" s="72" t="str">
        <f t="shared" si="27"/>
        <v>426</v>
      </c>
      <c r="AB113" t="s">
        <v>1646</v>
      </c>
      <c r="AC113" t="s">
        <v>1647</v>
      </c>
      <c r="AD113" s="72" t="s">
        <v>5147</v>
      </c>
      <c r="AE113" s="72" t="s">
        <v>5148</v>
      </c>
      <c r="AF113" s="72" t="s">
        <v>5165</v>
      </c>
      <c r="AG113" s="72" t="s">
        <v>5173</v>
      </c>
    </row>
    <row r="114" spans="1:33">
      <c r="A114" s="333" t="s">
        <v>44</v>
      </c>
      <c r="B114" s="70" t="s">
        <v>5268</v>
      </c>
      <c r="C114" s="82">
        <v>52</v>
      </c>
      <c r="D114" s="77" t="str">
        <f t="shared" si="25"/>
        <v>Ostale pomoći</v>
      </c>
      <c r="E114" s="82">
        <v>3691</v>
      </c>
      <c r="F114" s="77" t="str">
        <f t="shared" si="28"/>
        <v>Tekući prijenosi između proračunskih korisnika istog proraču</v>
      </c>
      <c r="G114" s="114" t="s">
        <v>177</v>
      </c>
      <c r="H114" s="77" t="str">
        <f t="shared" si="17"/>
        <v>REDOVNA DJELATNOST SVEUČILIŠTA U OSIJEKU (IZ EVIDENCIJSKIH PRIHODA)</v>
      </c>
      <c r="I114" s="77" t="str">
        <f t="shared" si="18"/>
        <v>0942</v>
      </c>
      <c r="J114" s="113">
        <v>0</v>
      </c>
      <c r="K114" s="113">
        <f t="shared" si="19"/>
        <v>2057</v>
      </c>
      <c r="L114" s="113">
        <v>2057</v>
      </c>
      <c r="M114" s="81" t="s">
        <v>5275</v>
      </c>
      <c r="O114" s="72" t="str">
        <f t="shared" si="20"/>
        <v>369</v>
      </c>
      <c r="P114" s="72" t="str">
        <f t="shared" si="21"/>
        <v>36</v>
      </c>
      <c r="AB114"/>
      <c r="AC114"/>
    </row>
    <row r="115" spans="1:33">
      <c r="A115" s="333" t="s">
        <v>44</v>
      </c>
      <c r="B115" s="70" t="s">
        <v>5268</v>
      </c>
      <c r="C115" s="82">
        <v>52</v>
      </c>
      <c r="D115" s="77" t="str">
        <f t="shared" si="25"/>
        <v>Ostale pomoći</v>
      </c>
      <c r="E115" s="82">
        <v>3691</v>
      </c>
      <c r="F115" s="77" t="str">
        <f t="shared" si="28"/>
        <v>Tekući prijenosi između proračunskih korisnika istog proraču</v>
      </c>
      <c r="G115" s="114" t="s">
        <v>177</v>
      </c>
      <c r="H115" s="77" t="str">
        <f t="shared" si="17"/>
        <v>REDOVNA DJELATNOST SVEUČILIŠTA U OSIJEKU (IZ EVIDENCIJSKIH PRIHODA)</v>
      </c>
      <c r="I115" s="77" t="str">
        <f t="shared" si="18"/>
        <v>0942</v>
      </c>
      <c r="J115" s="113">
        <v>0</v>
      </c>
      <c r="K115" s="113">
        <f t="shared" si="19"/>
        <v>1897</v>
      </c>
      <c r="L115" s="113">
        <v>1897</v>
      </c>
      <c r="M115" s="81" t="s">
        <v>5276</v>
      </c>
      <c r="AB115"/>
      <c r="AC115"/>
    </row>
    <row r="116" spans="1:33">
      <c r="A116" s="333" t="s">
        <v>44</v>
      </c>
      <c r="B116" s="70" t="s">
        <v>5268</v>
      </c>
      <c r="C116" s="82">
        <v>52</v>
      </c>
      <c r="D116" s="77" t="str">
        <f t="shared" si="25"/>
        <v>Ostale pomoći</v>
      </c>
      <c r="E116" s="82">
        <v>3691</v>
      </c>
      <c r="F116" s="77" t="str">
        <f t="shared" si="28"/>
        <v>Tekući prijenosi između proračunskih korisnika istog proraču</v>
      </c>
      <c r="G116" s="114" t="s">
        <v>177</v>
      </c>
      <c r="H116" s="77" t="str">
        <f t="shared" si="17"/>
        <v>REDOVNA DJELATNOST SVEUČILIŠTA U OSIJEKU (IZ EVIDENCIJSKIH PRIHODA)</v>
      </c>
      <c r="I116" s="77" t="str">
        <f t="shared" si="18"/>
        <v>0942</v>
      </c>
      <c r="J116" s="113">
        <v>0</v>
      </c>
      <c r="K116" s="113">
        <f t="shared" si="19"/>
        <v>4518</v>
      </c>
      <c r="L116" s="113">
        <v>4518</v>
      </c>
      <c r="M116" s="81" t="s">
        <v>5277</v>
      </c>
      <c r="AB116"/>
      <c r="AC116"/>
    </row>
    <row r="117" spans="1:33">
      <c r="A117" s="333" t="s">
        <v>44</v>
      </c>
      <c r="B117" s="70" t="s">
        <v>5268</v>
      </c>
      <c r="C117" s="82">
        <v>52</v>
      </c>
      <c r="D117" s="77" t="str">
        <f t="shared" si="25"/>
        <v>Ostale pomoći</v>
      </c>
      <c r="E117" s="82">
        <v>3691</v>
      </c>
      <c r="F117" s="77" t="str">
        <f t="shared" si="28"/>
        <v>Tekući prijenosi između proračunskih korisnika istog proraču</v>
      </c>
      <c r="G117" s="114" t="s">
        <v>177</v>
      </c>
      <c r="H117" s="77" t="str">
        <f t="shared" si="17"/>
        <v>REDOVNA DJELATNOST SVEUČILIŠTA U OSIJEKU (IZ EVIDENCIJSKIH PRIHODA)</v>
      </c>
      <c r="I117" s="77" t="str">
        <f t="shared" si="18"/>
        <v>0942</v>
      </c>
      <c r="J117" s="113">
        <v>0</v>
      </c>
      <c r="K117" s="113">
        <f t="shared" si="19"/>
        <v>862</v>
      </c>
      <c r="L117" s="113">
        <v>862</v>
      </c>
      <c r="M117" s="81" t="s">
        <v>5278</v>
      </c>
      <c r="AB117"/>
      <c r="AC117"/>
    </row>
    <row r="118" spans="1:33">
      <c r="A118" s="333" t="s">
        <v>44</v>
      </c>
      <c r="B118" s="70" t="s">
        <v>5268</v>
      </c>
      <c r="C118" s="82">
        <v>52</v>
      </c>
      <c r="D118" s="77" t="str">
        <f t="shared" si="25"/>
        <v>Ostale pomoći</v>
      </c>
      <c r="E118" s="82">
        <v>3691</v>
      </c>
      <c r="F118" s="77" t="str">
        <f t="shared" si="28"/>
        <v>Tekući prijenosi između proračunskih korisnika istog proraču</v>
      </c>
      <c r="G118" s="114" t="s">
        <v>177</v>
      </c>
      <c r="H118" s="77" t="str">
        <f t="shared" si="17"/>
        <v>REDOVNA DJELATNOST SVEUČILIŠTA U OSIJEKU (IZ EVIDENCIJSKIH PRIHODA)</v>
      </c>
      <c r="I118" s="77" t="str">
        <f t="shared" si="18"/>
        <v>0942</v>
      </c>
      <c r="J118" s="113">
        <v>0</v>
      </c>
      <c r="K118" s="113">
        <f t="shared" si="19"/>
        <v>9128</v>
      </c>
      <c r="L118" s="113">
        <v>9128</v>
      </c>
      <c r="M118" s="81" t="s">
        <v>5279</v>
      </c>
      <c r="AB118"/>
      <c r="AC118"/>
    </row>
    <row r="119" spans="1:33">
      <c r="A119" s="333" t="s">
        <v>44</v>
      </c>
      <c r="B119" s="70" t="s">
        <v>5268</v>
      </c>
      <c r="C119" s="82">
        <v>52</v>
      </c>
      <c r="D119" s="77" t="str">
        <f t="shared" si="25"/>
        <v>Ostale pomoći</v>
      </c>
      <c r="E119" s="82">
        <v>3721</v>
      </c>
      <c r="F119" s="77" t="str">
        <f t="shared" si="28"/>
        <v>Naknade građanima i kućanstvima u novcu</v>
      </c>
      <c r="G119" s="114" t="s">
        <v>177</v>
      </c>
      <c r="H119" s="77" t="str">
        <f t="shared" si="17"/>
        <v>REDOVNA DJELATNOST SVEUČILIŠTA U OSIJEKU (IZ EVIDENCIJSKIH PRIHODA)</v>
      </c>
      <c r="I119" s="77" t="str">
        <f t="shared" si="18"/>
        <v>0942</v>
      </c>
      <c r="J119" s="113">
        <v>0</v>
      </c>
      <c r="K119" s="113">
        <f t="shared" si="19"/>
        <v>0</v>
      </c>
      <c r="L119" s="113">
        <v>0</v>
      </c>
      <c r="M119" s="81"/>
      <c r="O119" s="72" t="str">
        <f t="shared" si="20"/>
        <v>372</v>
      </c>
      <c r="P119" s="72" t="str">
        <f t="shared" si="21"/>
        <v>37</v>
      </c>
      <c r="Q119" s="72" t="e">
        <f>LEFT(#REF!,3)</f>
        <v>#REF!</v>
      </c>
      <c r="R119" s="72" t="str">
        <f t="shared" si="22"/>
        <v>94</v>
      </c>
      <c r="V119" s="72">
        <v>4263</v>
      </c>
      <c r="W119" s="72" t="s">
        <v>165</v>
      </c>
      <c r="Y119" s="286" t="str">
        <f t="shared" si="29"/>
        <v>42</v>
      </c>
      <c r="Z119" s="72" t="str">
        <f t="shared" si="27"/>
        <v>426</v>
      </c>
      <c r="AB119" t="s">
        <v>1700</v>
      </c>
      <c r="AC119" t="s">
        <v>1701</v>
      </c>
      <c r="AD119" s="72" t="s">
        <v>5141</v>
      </c>
      <c r="AE119" s="72" t="s">
        <v>5142</v>
      </c>
      <c r="AF119" s="72" t="s">
        <v>5167</v>
      </c>
      <c r="AG119" s="72" t="s">
        <v>5168</v>
      </c>
    </row>
    <row r="120" spans="1:33">
      <c r="A120" s="333" t="s">
        <v>44</v>
      </c>
      <c r="B120" s="70" t="s">
        <v>5268</v>
      </c>
      <c r="C120" s="82">
        <v>52</v>
      </c>
      <c r="D120" s="77" t="str">
        <f t="shared" si="25"/>
        <v>Ostale pomoći</v>
      </c>
      <c r="E120" s="82">
        <v>3722</v>
      </c>
      <c r="F120" s="77" t="str">
        <f t="shared" si="28"/>
        <v>Naknade građanima i kućanstvima u naravi</v>
      </c>
      <c r="G120" s="114" t="s">
        <v>177</v>
      </c>
      <c r="H120" s="77" t="str">
        <f t="shared" si="17"/>
        <v>REDOVNA DJELATNOST SVEUČILIŠTA U OSIJEKU (IZ EVIDENCIJSKIH PRIHODA)</v>
      </c>
      <c r="I120" s="77" t="str">
        <f t="shared" si="18"/>
        <v>0942</v>
      </c>
      <c r="J120" s="353">
        <v>46453</v>
      </c>
      <c r="K120" s="113">
        <f t="shared" si="19"/>
        <v>23547</v>
      </c>
      <c r="L120" s="113">
        <v>70000</v>
      </c>
      <c r="M120" s="81"/>
      <c r="O120" s="72" t="str">
        <f t="shared" si="20"/>
        <v>372</v>
      </c>
      <c r="P120" s="72" t="str">
        <f t="shared" si="21"/>
        <v>37</v>
      </c>
      <c r="Q120" s="72" t="e">
        <f>LEFT(#REF!,3)</f>
        <v>#REF!</v>
      </c>
      <c r="R120" s="72" t="str">
        <f t="shared" si="22"/>
        <v>94</v>
      </c>
      <c r="V120" s="72">
        <v>4264</v>
      </c>
      <c r="W120" s="72" t="s">
        <v>120</v>
      </c>
      <c r="Y120" s="286" t="str">
        <f t="shared" si="29"/>
        <v>42</v>
      </c>
      <c r="Z120" s="72" t="str">
        <f t="shared" si="27"/>
        <v>426</v>
      </c>
      <c r="AB120" t="s">
        <v>1942</v>
      </c>
      <c r="AC120" t="s">
        <v>1943</v>
      </c>
      <c r="AD120" s="72" t="s">
        <v>5143</v>
      </c>
      <c r="AE120" s="72" t="s">
        <v>5144</v>
      </c>
      <c r="AF120" s="72" t="s">
        <v>5165</v>
      </c>
      <c r="AG120" s="72" t="s">
        <v>5175</v>
      </c>
    </row>
    <row r="121" spans="1:33">
      <c r="A121" s="333" t="s">
        <v>44</v>
      </c>
      <c r="B121" s="70" t="s">
        <v>5268</v>
      </c>
      <c r="C121" s="82">
        <v>11</v>
      </c>
      <c r="D121" s="77" t="str">
        <f t="shared" si="25"/>
        <v>Opći prihodi i primici</v>
      </c>
      <c r="E121" s="82">
        <v>3237</v>
      </c>
      <c r="F121" s="77" t="str">
        <f t="shared" si="28"/>
        <v>Intelektualne i osobne usluge</v>
      </c>
      <c r="G121" s="114" t="s">
        <v>674</v>
      </c>
      <c r="H121" s="77" t="str">
        <f t="shared" si="17"/>
        <v>PROGRAMI VJEŽBAONICA VISOKIH UČILIŠTA</v>
      </c>
      <c r="I121" s="77" t="str">
        <f t="shared" si="18"/>
        <v>0942</v>
      </c>
      <c r="J121" s="113">
        <v>2491</v>
      </c>
      <c r="K121" s="113">
        <f t="shared" si="19"/>
        <v>-2491</v>
      </c>
      <c r="L121" s="113">
        <v>0</v>
      </c>
      <c r="M121" s="81"/>
      <c r="O121" s="72" t="str">
        <f t="shared" si="20"/>
        <v>323</v>
      </c>
      <c r="P121" s="72" t="str">
        <f t="shared" si="21"/>
        <v>32</v>
      </c>
      <c r="Q121" s="72" t="e">
        <f>LEFT(#REF!,3)</f>
        <v>#REF!</v>
      </c>
      <c r="R121" s="72" t="str">
        <f t="shared" si="22"/>
        <v>94</v>
      </c>
      <c r="V121" s="72">
        <v>4312</v>
      </c>
      <c r="W121" s="72" t="s">
        <v>122</v>
      </c>
      <c r="Y121" s="286" t="str">
        <f t="shared" si="29"/>
        <v>43</v>
      </c>
      <c r="Z121" s="72" t="str">
        <f t="shared" si="27"/>
        <v>431</v>
      </c>
      <c r="AB121" t="s">
        <v>1944</v>
      </c>
      <c r="AC121" t="s">
        <v>1945</v>
      </c>
      <c r="AD121" s="72" t="s">
        <v>5143</v>
      </c>
      <c r="AE121" s="72" t="s">
        <v>5144</v>
      </c>
      <c r="AF121" s="72" t="s">
        <v>5165</v>
      </c>
      <c r="AG121" s="72" t="s">
        <v>5175</v>
      </c>
    </row>
    <row r="122" spans="1:33">
      <c r="A122" s="333" t="s">
        <v>44</v>
      </c>
      <c r="B122" s="70" t="s">
        <v>5268</v>
      </c>
      <c r="C122" s="82">
        <v>11</v>
      </c>
      <c r="D122" s="77" t="str">
        <f t="shared" si="25"/>
        <v>Opći prihodi i primici</v>
      </c>
      <c r="E122" s="82">
        <v>3211</v>
      </c>
      <c r="F122" s="77" t="str">
        <f t="shared" si="28"/>
        <v>Službena putovanja</v>
      </c>
      <c r="G122" s="114" t="s">
        <v>678</v>
      </c>
      <c r="H122" s="77" t="str">
        <f t="shared" si="17"/>
        <v>REKTORSKI ZBOR</v>
      </c>
      <c r="I122" s="77" t="str">
        <f t="shared" si="18"/>
        <v>0942</v>
      </c>
      <c r="J122" s="113">
        <v>0</v>
      </c>
      <c r="K122" s="113">
        <f t="shared" si="19"/>
        <v>0</v>
      </c>
      <c r="L122" s="113">
        <v>0</v>
      </c>
      <c r="M122" s="81"/>
      <c r="O122" s="72" t="str">
        <f t="shared" si="20"/>
        <v>321</v>
      </c>
      <c r="P122" s="72" t="str">
        <f t="shared" si="21"/>
        <v>32</v>
      </c>
      <c r="Q122" s="72" t="e">
        <f>LEFT(#REF!,3)</f>
        <v>#REF!</v>
      </c>
      <c r="R122" s="72" t="str">
        <f t="shared" si="22"/>
        <v>94</v>
      </c>
      <c r="V122" s="72">
        <v>4411</v>
      </c>
      <c r="W122" s="72" t="s">
        <v>166</v>
      </c>
      <c r="Y122" s="286" t="str">
        <f t="shared" si="29"/>
        <v>44</v>
      </c>
      <c r="Z122" s="72" t="str">
        <f t="shared" si="27"/>
        <v>441</v>
      </c>
      <c r="AB122" t="s">
        <v>1946</v>
      </c>
      <c r="AC122" t="s">
        <v>1947</v>
      </c>
      <c r="AD122" s="72" t="s">
        <v>5143</v>
      </c>
      <c r="AE122" s="72" t="s">
        <v>5144</v>
      </c>
      <c r="AF122" s="72" t="s">
        <v>5165</v>
      </c>
      <c r="AG122" s="72" t="s">
        <v>5175</v>
      </c>
    </row>
    <row r="123" spans="1:33">
      <c r="A123" s="333" t="s">
        <v>44</v>
      </c>
      <c r="B123" s="70" t="s">
        <v>5268</v>
      </c>
      <c r="C123" s="82">
        <v>11</v>
      </c>
      <c r="D123" s="77" t="str">
        <f t="shared" si="25"/>
        <v>Opći prihodi i primici</v>
      </c>
      <c r="E123" s="82">
        <v>3231</v>
      </c>
      <c r="F123" s="77" t="str">
        <f t="shared" si="28"/>
        <v>Usluge telefona, pošte i prijevoza</v>
      </c>
      <c r="G123" s="114" t="s">
        <v>678</v>
      </c>
      <c r="H123" s="77" t="str">
        <f t="shared" si="17"/>
        <v>REKTORSKI ZBOR</v>
      </c>
      <c r="I123" s="77" t="str">
        <f t="shared" si="18"/>
        <v>0942</v>
      </c>
      <c r="J123" s="113">
        <v>0</v>
      </c>
      <c r="K123" s="113">
        <f t="shared" si="19"/>
        <v>0</v>
      </c>
      <c r="L123" s="113">
        <v>0</v>
      </c>
      <c r="M123" s="81"/>
      <c r="O123" s="72" t="str">
        <f t="shared" si="20"/>
        <v>323</v>
      </c>
      <c r="P123" s="72" t="str">
        <f t="shared" si="21"/>
        <v>32</v>
      </c>
      <c r="Q123" s="72" t="e">
        <f>LEFT(#REF!,3)</f>
        <v>#REF!</v>
      </c>
      <c r="R123" s="72" t="str">
        <f t="shared" si="22"/>
        <v>94</v>
      </c>
      <c r="V123" s="72">
        <v>4511</v>
      </c>
      <c r="W123" s="72" t="s">
        <v>121</v>
      </c>
      <c r="Y123" s="286" t="str">
        <f t="shared" si="29"/>
        <v>45</v>
      </c>
      <c r="Z123" s="72" t="str">
        <f t="shared" si="27"/>
        <v>451</v>
      </c>
      <c r="AB123" t="s">
        <v>1648</v>
      </c>
      <c r="AC123" t="s">
        <v>1649</v>
      </c>
      <c r="AD123" s="72" t="s">
        <v>5143</v>
      </c>
      <c r="AE123" s="72" t="s">
        <v>5144</v>
      </c>
      <c r="AF123" s="72" t="s">
        <v>5165</v>
      </c>
      <c r="AG123" s="72" t="s">
        <v>5175</v>
      </c>
    </row>
    <row r="124" spans="1:33">
      <c r="A124" s="333" t="s">
        <v>44</v>
      </c>
      <c r="B124" s="70" t="s">
        <v>5268</v>
      </c>
      <c r="C124" s="82">
        <v>11</v>
      </c>
      <c r="D124" s="77" t="str">
        <f t="shared" si="25"/>
        <v>Opći prihodi i primici</v>
      </c>
      <c r="E124" s="82">
        <v>3233</v>
      </c>
      <c r="F124" s="77" t="str">
        <f t="shared" si="28"/>
        <v>Usluge promidžbe i informiranja</v>
      </c>
      <c r="G124" s="114" t="s">
        <v>678</v>
      </c>
      <c r="H124" s="77" t="str">
        <f t="shared" si="17"/>
        <v>REKTORSKI ZBOR</v>
      </c>
      <c r="I124" s="77" t="str">
        <f t="shared" si="18"/>
        <v>0942</v>
      </c>
      <c r="J124" s="113">
        <v>0</v>
      </c>
      <c r="K124" s="113">
        <f t="shared" si="19"/>
        <v>0</v>
      </c>
      <c r="L124" s="113">
        <v>0</v>
      </c>
      <c r="M124" s="81"/>
      <c r="O124" s="72" t="str">
        <f t="shared" si="20"/>
        <v>323</v>
      </c>
      <c r="P124" s="72" t="str">
        <f t="shared" si="21"/>
        <v>32</v>
      </c>
      <c r="Q124" s="72" t="e">
        <f>LEFT(#REF!,3)</f>
        <v>#REF!</v>
      </c>
      <c r="R124" s="72" t="str">
        <f t="shared" si="22"/>
        <v>94</v>
      </c>
      <c r="V124" s="72">
        <v>4521</v>
      </c>
      <c r="W124" s="72" t="s">
        <v>140</v>
      </c>
      <c r="Y124" s="286" t="str">
        <f t="shared" si="29"/>
        <v>45</v>
      </c>
      <c r="Z124" s="72" t="str">
        <f t="shared" si="27"/>
        <v>452</v>
      </c>
      <c r="AB124" t="s">
        <v>1708</v>
      </c>
      <c r="AC124" t="s">
        <v>1948</v>
      </c>
      <c r="AD124" s="72" t="s">
        <v>5143</v>
      </c>
      <c r="AE124" s="72" t="s">
        <v>5144</v>
      </c>
      <c r="AF124" s="72" t="s">
        <v>5165</v>
      </c>
      <c r="AG124" s="72" t="s">
        <v>5175</v>
      </c>
    </row>
    <row r="125" spans="1:33">
      <c r="A125" s="333" t="s">
        <v>44</v>
      </c>
      <c r="B125" s="70" t="s">
        <v>5268</v>
      </c>
      <c r="C125" s="82">
        <v>11</v>
      </c>
      <c r="D125" s="77" t="str">
        <f t="shared" si="25"/>
        <v>Opći prihodi i primici</v>
      </c>
      <c r="E125" s="82">
        <v>3241</v>
      </c>
      <c r="F125" s="77" t="str">
        <f t="shared" si="28"/>
        <v>Naknade troškova osobama izvan radnog odnosa</v>
      </c>
      <c r="G125" s="114" t="s">
        <v>678</v>
      </c>
      <c r="H125" s="77" t="str">
        <f t="shared" si="17"/>
        <v>REKTORSKI ZBOR</v>
      </c>
      <c r="I125" s="77" t="str">
        <f t="shared" si="18"/>
        <v>0942</v>
      </c>
      <c r="J125" s="113">
        <v>0</v>
      </c>
      <c r="K125" s="113">
        <f t="shared" si="19"/>
        <v>0</v>
      </c>
      <c r="L125" s="113">
        <v>0</v>
      </c>
      <c r="M125" s="81"/>
      <c r="O125" s="72" t="str">
        <f t="shared" si="20"/>
        <v>324</v>
      </c>
      <c r="P125" s="72" t="str">
        <f t="shared" si="21"/>
        <v>32</v>
      </c>
      <c r="Q125" s="72" t="e">
        <f>LEFT(#REF!,3)</f>
        <v>#REF!</v>
      </c>
      <c r="R125" s="72" t="str">
        <f t="shared" si="22"/>
        <v>94</v>
      </c>
      <c r="V125" s="72">
        <v>4531</v>
      </c>
      <c r="W125" s="72" t="s">
        <v>183</v>
      </c>
      <c r="Y125" s="286" t="str">
        <f t="shared" si="29"/>
        <v>45</v>
      </c>
      <c r="Z125" s="72" t="str">
        <f t="shared" si="27"/>
        <v>453</v>
      </c>
      <c r="AB125" t="s">
        <v>1949</v>
      </c>
      <c r="AC125" t="s">
        <v>1950</v>
      </c>
      <c r="AD125" s="72" t="s">
        <v>5143</v>
      </c>
      <c r="AE125" s="72" t="s">
        <v>5144</v>
      </c>
      <c r="AF125" s="72" t="s">
        <v>5165</v>
      </c>
      <c r="AG125" s="72" t="s">
        <v>5175</v>
      </c>
    </row>
    <row r="126" spans="1:33">
      <c r="A126" s="333" t="s">
        <v>44</v>
      </c>
      <c r="B126" s="70" t="s">
        <v>5268</v>
      </c>
      <c r="C126" s="82">
        <v>11</v>
      </c>
      <c r="D126" s="77" t="str">
        <f t="shared" si="25"/>
        <v>Opći prihodi i primici</v>
      </c>
      <c r="E126" s="82">
        <v>3293</v>
      </c>
      <c r="F126" s="77" t="str">
        <f t="shared" si="28"/>
        <v>Reprezentacija</v>
      </c>
      <c r="G126" s="114" t="s">
        <v>678</v>
      </c>
      <c r="H126" s="77" t="str">
        <f t="shared" si="17"/>
        <v>REKTORSKI ZBOR</v>
      </c>
      <c r="I126" s="77" t="str">
        <f t="shared" si="18"/>
        <v>0942</v>
      </c>
      <c r="J126" s="113">
        <v>0</v>
      </c>
      <c r="K126" s="113">
        <f t="shared" si="19"/>
        <v>0</v>
      </c>
      <c r="L126" s="113">
        <v>0</v>
      </c>
      <c r="M126" s="81"/>
      <c r="O126" s="72" t="str">
        <f t="shared" si="20"/>
        <v>329</v>
      </c>
      <c r="P126" s="72" t="str">
        <f t="shared" si="21"/>
        <v>32</v>
      </c>
      <c r="Q126" s="72" t="e">
        <f>LEFT(#REF!,3)</f>
        <v>#REF!</v>
      </c>
      <c r="R126" s="72" t="str">
        <f t="shared" si="22"/>
        <v>94</v>
      </c>
      <c r="V126" s="72">
        <v>4541</v>
      </c>
      <c r="W126" s="72" t="s">
        <v>135</v>
      </c>
      <c r="Y126" s="286" t="str">
        <f t="shared" si="29"/>
        <v>45</v>
      </c>
      <c r="Z126" s="72" t="str">
        <f t="shared" si="27"/>
        <v>454</v>
      </c>
      <c r="AB126" t="s">
        <v>3465</v>
      </c>
      <c r="AC126" t="s">
        <v>3466</v>
      </c>
      <c r="AD126" s="72" t="s">
        <v>5141</v>
      </c>
      <c r="AE126" s="72" t="s">
        <v>5142</v>
      </c>
      <c r="AF126" s="72" t="s">
        <v>5167</v>
      </c>
      <c r="AG126" s="72" t="s">
        <v>5168</v>
      </c>
    </row>
    <row r="127" spans="1:33">
      <c r="A127" s="333" t="s">
        <v>44</v>
      </c>
      <c r="B127" s="70" t="s">
        <v>5268</v>
      </c>
      <c r="C127" s="82">
        <v>11</v>
      </c>
      <c r="D127" s="77" t="str">
        <f t="shared" si="25"/>
        <v>Opći prihodi i primici</v>
      </c>
      <c r="E127" s="82">
        <v>3237</v>
      </c>
      <c r="F127" s="77" t="str">
        <f t="shared" si="28"/>
        <v>Intelektualne i osobne usluge</v>
      </c>
      <c r="G127" s="114" t="s">
        <v>1912</v>
      </c>
      <c r="H127" s="77" t="str">
        <f t="shared" si="17"/>
        <v>POTPORA UMJETNIČKIM STUDIJIMA</v>
      </c>
      <c r="I127" s="77" t="str">
        <f t="shared" si="18"/>
        <v>0942</v>
      </c>
      <c r="J127" s="113">
        <v>150750</v>
      </c>
      <c r="K127" s="113">
        <f t="shared" si="19"/>
        <v>0</v>
      </c>
      <c r="L127" s="113">
        <v>150750</v>
      </c>
      <c r="M127" s="81"/>
      <c r="O127" s="72" t="str">
        <f t="shared" si="20"/>
        <v>323</v>
      </c>
      <c r="P127" s="72" t="str">
        <f t="shared" si="21"/>
        <v>32</v>
      </c>
      <c r="Q127" s="72" t="e">
        <f>LEFT(#REF!,3)</f>
        <v>#REF!</v>
      </c>
      <c r="R127" s="72" t="str">
        <f t="shared" si="22"/>
        <v>94</v>
      </c>
      <c r="V127" s="72">
        <v>5121</v>
      </c>
      <c r="W127" s="72" t="s">
        <v>191</v>
      </c>
      <c r="Y127" s="286" t="str">
        <f t="shared" si="29"/>
        <v>51</v>
      </c>
      <c r="Z127" s="72" t="str">
        <f t="shared" si="27"/>
        <v>512</v>
      </c>
      <c r="AB127" t="s">
        <v>1951</v>
      </c>
      <c r="AC127" t="s">
        <v>1952</v>
      </c>
      <c r="AD127" s="72" t="s">
        <v>5139</v>
      </c>
      <c r="AE127" s="72" t="s">
        <v>5140</v>
      </c>
      <c r="AF127" s="72" t="s">
        <v>5165</v>
      </c>
      <c r="AG127" s="72" t="s">
        <v>5172</v>
      </c>
    </row>
    <row r="128" spans="1:33">
      <c r="A128" s="333"/>
      <c r="B128" s="70"/>
      <c r="C128" s="82"/>
      <c r="D128" s="77" t="str">
        <f t="shared" ref="D128:D140" si="30">IFERROR(VLOOKUP(C128,$S$6:$T$24,2,FALSE),"")</f>
        <v/>
      </c>
      <c r="E128" s="82"/>
      <c r="F128" s="77" t="str">
        <f t="shared" si="28"/>
        <v/>
      </c>
      <c r="G128" s="114"/>
      <c r="H128" s="77" t="str">
        <f t="shared" si="17"/>
        <v/>
      </c>
      <c r="I128" s="77" t="str">
        <f t="shared" si="18"/>
        <v/>
      </c>
      <c r="J128" s="113"/>
      <c r="K128" s="113"/>
      <c r="L128" s="113"/>
      <c r="M128" s="81"/>
      <c r="O128" s="72" t="str">
        <f t="shared" si="20"/>
        <v/>
      </c>
      <c r="P128" s="72" t="str">
        <f t="shared" si="21"/>
        <v/>
      </c>
      <c r="Q128" s="72" t="str">
        <f t="shared" ref="Q128:Q141" si="31">LEFT(C128,3)</f>
        <v/>
      </c>
      <c r="R128" s="72" t="str">
        <f t="shared" si="22"/>
        <v/>
      </c>
      <c r="V128" s="72">
        <v>5443</v>
      </c>
      <c r="W128" s="72" t="s">
        <v>167</v>
      </c>
      <c r="Y128" s="286" t="str">
        <f t="shared" si="29"/>
        <v>54</v>
      </c>
      <c r="Z128" s="72" t="str">
        <f t="shared" si="27"/>
        <v>544</v>
      </c>
      <c r="AB128" t="s">
        <v>1650</v>
      </c>
      <c r="AC128" t="s">
        <v>1651</v>
      </c>
      <c r="AD128" s="72" t="s">
        <v>5143</v>
      </c>
      <c r="AE128" s="72" t="s">
        <v>5144</v>
      </c>
      <c r="AF128" s="72" t="s">
        <v>5165</v>
      </c>
      <c r="AG128" s="72" t="s">
        <v>5175</v>
      </c>
    </row>
    <row r="129" spans="1:33">
      <c r="A129" s="76" t="str">
        <f>IF(C129="","",VLOOKUP('OPĆI DIO'!$C$3,'OPĆI DIO'!$L$6:$U$138,10,FALSE))</f>
        <v/>
      </c>
      <c r="B129" s="76" t="str">
        <f>IF(C129="","",VLOOKUP('OPĆI DIO'!$C$3,'OPĆI DIO'!$L$6:$U$138,9,FALSE))</f>
        <v/>
      </c>
      <c r="C129" s="82"/>
      <c r="D129" s="77" t="str">
        <f t="shared" si="30"/>
        <v/>
      </c>
      <c r="E129" s="82"/>
      <c r="F129" s="77" t="str">
        <f t="shared" si="28"/>
        <v/>
      </c>
      <c r="G129" s="114"/>
      <c r="H129" s="77" t="str">
        <f t="shared" si="17"/>
        <v/>
      </c>
      <c r="I129" s="77" t="str">
        <f t="shared" si="18"/>
        <v/>
      </c>
      <c r="J129" s="113"/>
      <c r="K129" s="113"/>
      <c r="L129" s="113"/>
      <c r="M129" s="81"/>
      <c r="O129" s="72" t="str">
        <f t="shared" si="20"/>
        <v/>
      </c>
      <c r="P129" s="72" t="str">
        <f t="shared" si="21"/>
        <v/>
      </c>
      <c r="Q129" s="72" t="str">
        <f t="shared" si="31"/>
        <v/>
      </c>
      <c r="R129" s="72" t="str">
        <f t="shared" si="22"/>
        <v/>
      </c>
      <c r="V129" s="72">
        <v>5121</v>
      </c>
      <c r="W129" s="72" t="s">
        <v>639</v>
      </c>
      <c r="Y129" s="286" t="str">
        <f t="shared" si="29"/>
        <v>51</v>
      </c>
      <c r="Z129" s="72" t="str">
        <f t="shared" ref="Z129:Z139" si="32">LEFT(V129,3)</f>
        <v>512</v>
      </c>
      <c r="AB129" t="s">
        <v>1953</v>
      </c>
      <c r="AC129" t="s">
        <v>1954</v>
      </c>
      <c r="AD129" s="72" t="s">
        <v>5143</v>
      </c>
      <c r="AE129" s="72" t="s">
        <v>5144</v>
      </c>
      <c r="AF129" s="72" t="s">
        <v>5165</v>
      </c>
      <c r="AG129" s="72" t="s">
        <v>5175</v>
      </c>
    </row>
    <row r="130" spans="1:33">
      <c r="A130" s="76" t="str">
        <f>IF(C130="","",VLOOKUP('OPĆI DIO'!$C$3,'OPĆI DIO'!$L$6:$U$138,10,FALSE))</f>
        <v/>
      </c>
      <c r="B130" s="76" t="str">
        <f>IF(C130="","",VLOOKUP('OPĆI DIO'!$C$3,'OPĆI DIO'!$L$6:$U$138,9,FALSE))</f>
        <v/>
      </c>
      <c r="C130" s="82"/>
      <c r="D130" s="77" t="str">
        <f t="shared" si="30"/>
        <v/>
      </c>
      <c r="E130" s="82"/>
      <c r="F130" s="77" t="str">
        <f t="shared" si="28"/>
        <v/>
      </c>
      <c r="G130" s="114"/>
      <c r="H130" s="77" t="str">
        <f t="shared" si="17"/>
        <v/>
      </c>
      <c r="I130" s="77" t="str">
        <f t="shared" si="18"/>
        <v/>
      </c>
      <c r="J130" s="113"/>
      <c r="K130" s="113"/>
      <c r="L130" s="113"/>
      <c r="M130" s="81"/>
      <c r="O130" s="72" t="str">
        <f t="shared" si="20"/>
        <v/>
      </c>
      <c r="P130" s="72" t="str">
        <f t="shared" si="21"/>
        <v/>
      </c>
      <c r="Q130" s="72" t="str">
        <f t="shared" si="31"/>
        <v/>
      </c>
      <c r="R130" s="72" t="str">
        <f t="shared" si="22"/>
        <v/>
      </c>
      <c r="V130" s="72">
        <v>5122</v>
      </c>
      <c r="W130" s="72" t="s">
        <v>640</v>
      </c>
      <c r="Y130" s="286" t="str">
        <f t="shared" si="29"/>
        <v>51</v>
      </c>
      <c r="Z130" s="72" t="str">
        <f t="shared" si="32"/>
        <v>512</v>
      </c>
      <c r="AB130" t="s">
        <v>1955</v>
      </c>
      <c r="AC130" t="s">
        <v>1956</v>
      </c>
      <c r="AD130" s="72" t="s">
        <v>5141</v>
      </c>
      <c r="AE130" s="72" t="s">
        <v>5142</v>
      </c>
      <c r="AF130" s="72" t="s">
        <v>5167</v>
      </c>
      <c r="AG130" s="72" t="s">
        <v>5168</v>
      </c>
    </row>
    <row r="131" spans="1:33">
      <c r="A131" s="76" t="str">
        <f>IF(C131="","",VLOOKUP('OPĆI DIO'!$C$3,'OPĆI DIO'!$L$6:$U$138,10,FALSE))</f>
        <v/>
      </c>
      <c r="B131" s="76" t="str">
        <f>IF(C131="","",VLOOKUP('OPĆI DIO'!$C$3,'OPĆI DIO'!$L$6:$U$138,9,FALSE))</f>
        <v/>
      </c>
      <c r="C131" s="82"/>
      <c r="D131" s="77" t="str">
        <f t="shared" si="30"/>
        <v/>
      </c>
      <c r="E131" s="82"/>
      <c r="F131" s="77" t="str">
        <f t="shared" si="28"/>
        <v/>
      </c>
      <c r="G131" s="114"/>
      <c r="H131" s="77" t="str">
        <f t="shared" ref="H131:H194" si="33">IFERROR(VLOOKUP(G131,$AB$6:$AC$337,2,FALSE),"")</f>
        <v/>
      </c>
      <c r="I131" s="77" t="str">
        <f t="shared" ref="I131:I194" si="34">IFERROR(VLOOKUP(G131,$AB$6:$AF$337,3,FALSE),"")</f>
        <v/>
      </c>
      <c r="J131" s="113"/>
      <c r="K131" s="113"/>
      <c r="L131" s="113"/>
      <c r="M131" s="81"/>
      <c r="O131" s="72" t="str">
        <f t="shared" si="20"/>
        <v/>
      </c>
      <c r="P131" s="72" t="str">
        <f t="shared" si="21"/>
        <v/>
      </c>
      <c r="Q131" s="72" t="str">
        <f t="shared" si="31"/>
        <v/>
      </c>
      <c r="R131" s="72" t="str">
        <f t="shared" si="22"/>
        <v/>
      </c>
      <c r="V131" s="72">
        <v>5141</v>
      </c>
      <c r="W131" s="72" t="s">
        <v>641</v>
      </c>
      <c r="Y131" s="286" t="str">
        <f t="shared" si="29"/>
        <v>51</v>
      </c>
      <c r="Z131" s="72" t="str">
        <f t="shared" si="32"/>
        <v>514</v>
      </c>
      <c r="AB131" t="s">
        <v>1973</v>
      </c>
      <c r="AC131" t="s">
        <v>1974</v>
      </c>
      <c r="AD131" s="72" t="s">
        <v>5139</v>
      </c>
      <c r="AE131" s="72" t="s">
        <v>5140</v>
      </c>
      <c r="AF131" s="72" t="s">
        <v>5165</v>
      </c>
      <c r="AG131" s="72" t="s">
        <v>5172</v>
      </c>
    </row>
    <row r="132" spans="1:33">
      <c r="A132" s="76" t="str">
        <f>IF(C132="","",VLOOKUP('OPĆI DIO'!$C$3,'OPĆI DIO'!$L$6:$U$138,10,FALSE))</f>
        <v/>
      </c>
      <c r="B132" s="76" t="str">
        <f>IF(C132="","",VLOOKUP('OPĆI DIO'!$C$3,'OPĆI DIO'!$L$6:$U$138,9,FALSE))</f>
        <v/>
      </c>
      <c r="C132" s="82"/>
      <c r="D132" s="77" t="str">
        <f t="shared" si="30"/>
        <v/>
      </c>
      <c r="E132" s="82"/>
      <c r="F132" s="77" t="str">
        <f t="shared" si="28"/>
        <v/>
      </c>
      <c r="G132" s="114"/>
      <c r="H132" s="77" t="str">
        <f t="shared" si="33"/>
        <v/>
      </c>
      <c r="I132" s="77" t="str">
        <f t="shared" si="34"/>
        <v/>
      </c>
      <c r="J132" s="113"/>
      <c r="K132" s="113"/>
      <c r="L132" s="113"/>
      <c r="M132" s="81"/>
      <c r="O132" s="72" t="str">
        <f t="shared" si="20"/>
        <v/>
      </c>
      <c r="P132" s="72" t="str">
        <f t="shared" si="21"/>
        <v/>
      </c>
      <c r="Q132" s="72" t="str">
        <f t="shared" si="31"/>
        <v/>
      </c>
      <c r="R132" s="72" t="str">
        <f t="shared" si="22"/>
        <v/>
      </c>
      <c r="V132" s="72">
        <v>5181</v>
      </c>
      <c r="W132" s="72" t="s">
        <v>642</v>
      </c>
      <c r="Y132" s="286" t="str">
        <f t="shared" si="29"/>
        <v>51</v>
      </c>
      <c r="Z132" s="72" t="str">
        <f t="shared" si="32"/>
        <v>518</v>
      </c>
      <c r="AB132" t="s">
        <v>1975</v>
      </c>
      <c r="AC132" t="s">
        <v>1976</v>
      </c>
      <c r="AD132" s="72" t="s">
        <v>5155</v>
      </c>
      <c r="AE132" s="72" t="s">
        <v>5156</v>
      </c>
      <c r="AF132" s="72" t="s">
        <v>5165</v>
      </c>
      <c r="AG132" s="72" t="s">
        <v>5176</v>
      </c>
    </row>
    <row r="133" spans="1:33">
      <c r="A133" s="76" t="str">
        <f>IF(C133="","",VLOOKUP('OPĆI DIO'!$C$3,'OPĆI DIO'!$L$6:$U$138,10,FALSE))</f>
        <v/>
      </c>
      <c r="B133" s="76" t="str">
        <f>IF(C133="","",VLOOKUP('OPĆI DIO'!$C$3,'OPĆI DIO'!$L$6:$U$138,9,FALSE))</f>
        <v/>
      </c>
      <c r="C133" s="82"/>
      <c r="D133" s="77" t="str">
        <f t="shared" si="30"/>
        <v/>
      </c>
      <c r="E133" s="82"/>
      <c r="F133" s="77" t="str">
        <f t="shared" si="28"/>
        <v/>
      </c>
      <c r="G133" s="114"/>
      <c r="H133" s="77" t="str">
        <f t="shared" si="33"/>
        <v/>
      </c>
      <c r="I133" s="77" t="str">
        <f t="shared" si="34"/>
        <v/>
      </c>
      <c r="J133" s="113"/>
      <c r="K133" s="113"/>
      <c r="L133" s="113"/>
      <c r="M133" s="81"/>
      <c r="O133" s="72" t="str">
        <f t="shared" si="20"/>
        <v/>
      </c>
      <c r="P133" s="72" t="str">
        <f t="shared" si="21"/>
        <v/>
      </c>
      <c r="Q133" s="72" t="str">
        <f t="shared" si="31"/>
        <v/>
      </c>
      <c r="R133" s="72" t="str">
        <f t="shared" si="22"/>
        <v/>
      </c>
      <c r="V133" s="72">
        <v>5183</v>
      </c>
      <c r="W133" s="72" t="s">
        <v>643</v>
      </c>
      <c r="Y133" s="286" t="str">
        <f t="shared" si="29"/>
        <v>51</v>
      </c>
      <c r="Z133" s="72" t="str">
        <f t="shared" si="32"/>
        <v>518</v>
      </c>
      <c r="AB133" t="s">
        <v>1977</v>
      </c>
      <c r="AC133" t="s">
        <v>1978</v>
      </c>
      <c r="AD133" s="72" t="s">
        <v>5145</v>
      </c>
      <c r="AE133" s="72" t="s">
        <v>5146</v>
      </c>
      <c r="AF133" s="72" t="s">
        <v>5165</v>
      </c>
      <c r="AG133" s="72" t="s">
        <v>5174</v>
      </c>
    </row>
    <row r="134" spans="1:33">
      <c r="A134" s="76" t="str">
        <f>IF(C134="","",VLOOKUP('OPĆI DIO'!$C$3,'OPĆI DIO'!$L$6:$U$138,10,FALSE))</f>
        <v/>
      </c>
      <c r="B134" s="76" t="str">
        <f>IF(C134="","",VLOOKUP('OPĆI DIO'!$C$3,'OPĆI DIO'!$L$6:$U$138,9,FALSE))</f>
        <v/>
      </c>
      <c r="C134" s="82"/>
      <c r="D134" s="77" t="str">
        <f t="shared" si="30"/>
        <v/>
      </c>
      <c r="E134" s="82"/>
      <c r="F134" s="77" t="str">
        <f t="shared" si="28"/>
        <v/>
      </c>
      <c r="G134" s="114"/>
      <c r="H134" s="77" t="str">
        <f t="shared" si="33"/>
        <v/>
      </c>
      <c r="I134" s="77" t="str">
        <f t="shared" si="34"/>
        <v/>
      </c>
      <c r="J134" s="113"/>
      <c r="K134" s="113"/>
      <c r="L134" s="113"/>
      <c r="M134" s="81"/>
      <c r="O134" s="72" t="str">
        <f t="shared" si="20"/>
        <v/>
      </c>
      <c r="P134" s="72" t="str">
        <f t="shared" si="21"/>
        <v/>
      </c>
      <c r="Q134" s="72" t="str">
        <f t="shared" si="31"/>
        <v/>
      </c>
      <c r="R134" s="72" t="str">
        <f t="shared" si="22"/>
        <v/>
      </c>
      <c r="V134" s="72">
        <v>5422</v>
      </c>
      <c r="W134" s="72" t="s">
        <v>644</v>
      </c>
      <c r="Y134" s="286" t="str">
        <f t="shared" si="29"/>
        <v>54</v>
      </c>
      <c r="Z134" s="72" t="str">
        <f t="shared" si="32"/>
        <v>542</v>
      </c>
      <c r="AB134" t="s">
        <v>1979</v>
      </c>
      <c r="AC134" t="s">
        <v>1980</v>
      </c>
      <c r="AD134" s="72" t="s">
        <v>5151</v>
      </c>
      <c r="AE134" s="72" t="s">
        <v>5152</v>
      </c>
      <c r="AF134" s="72" t="s">
        <v>5165</v>
      </c>
      <c r="AG134" s="72" t="s">
        <v>5172</v>
      </c>
    </row>
    <row r="135" spans="1:33">
      <c r="A135" s="76" t="str">
        <f>IF(C135="","",VLOOKUP('OPĆI DIO'!$C$3,'OPĆI DIO'!$L$6:$U$138,10,FALSE))</f>
        <v/>
      </c>
      <c r="B135" s="76" t="str">
        <f>IF(C135="","",VLOOKUP('OPĆI DIO'!$C$3,'OPĆI DIO'!$L$6:$U$138,9,FALSE))</f>
        <v/>
      </c>
      <c r="C135" s="82"/>
      <c r="D135" s="77" t="str">
        <f t="shared" si="30"/>
        <v/>
      </c>
      <c r="E135" s="82"/>
      <c r="F135" s="77" t="str">
        <f t="shared" si="28"/>
        <v/>
      </c>
      <c r="G135" s="114"/>
      <c r="H135" s="77" t="str">
        <f t="shared" si="33"/>
        <v/>
      </c>
      <c r="I135" s="77" t="str">
        <f t="shared" si="34"/>
        <v/>
      </c>
      <c r="J135" s="113"/>
      <c r="K135" s="113"/>
      <c r="L135" s="113"/>
      <c r="M135" s="81"/>
      <c r="O135" s="72" t="str">
        <f t="shared" si="20"/>
        <v/>
      </c>
      <c r="P135" s="72" t="str">
        <f t="shared" si="21"/>
        <v/>
      </c>
      <c r="Q135" s="72" t="str">
        <f t="shared" si="31"/>
        <v/>
      </c>
      <c r="R135" s="72" t="str">
        <f t="shared" si="22"/>
        <v/>
      </c>
      <c r="V135" s="72">
        <v>5431</v>
      </c>
      <c r="W135" s="72" t="s">
        <v>264</v>
      </c>
      <c r="Y135" s="286" t="str">
        <f t="shared" si="29"/>
        <v>54</v>
      </c>
      <c r="Z135" s="72" t="str">
        <f t="shared" si="32"/>
        <v>543</v>
      </c>
      <c r="AB135" t="s">
        <v>963</v>
      </c>
      <c r="AC135" t="s">
        <v>1652</v>
      </c>
      <c r="AD135" s="72" t="s">
        <v>5141</v>
      </c>
      <c r="AE135" s="72" t="s">
        <v>5142</v>
      </c>
      <c r="AF135" s="72" t="s">
        <v>5167</v>
      </c>
      <c r="AG135" s="72" t="s">
        <v>5168</v>
      </c>
    </row>
    <row r="136" spans="1:33">
      <c r="A136" s="76" t="str">
        <f>IF(C136="","",VLOOKUP('OPĆI DIO'!$C$3,'OPĆI DIO'!$L$6:$U$138,10,FALSE))</f>
        <v/>
      </c>
      <c r="B136" s="76" t="str">
        <f>IF(C136="","",VLOOKUP('OPĆI DIO'!$C$3,'OPĆI DIO'!$L$6:$U$138,9,FALSE))</f>
        <v/>
      </c>
      <c r="C136" s="82"/>
      <c r="D136" s="77" t="str">
        <f t="shared" si="30"/>
        <v/>
      </c>
      <c r="E136" s="82"/>
      <c r="F136" s="77" t="str">
        <f t="shared" si="28"/>
        <v/>
      </c>
      <c r="G136" s="114"/>
      <c r="H136" s="77" t="str">
        <f t="shared" si="33"/>
        <v/>
      </c>
      <c r="I136" s="77" t="str">
        <f t="shared" si="34"/>
        <v/>
      </c>
      <c r="J136" s="113"/>
      <c r="K136" s="113"/>
      <c r="L136" s="113"/>
      <c r="M136" s="81"/>
      <c r="O136" s="72" t="str">
        <f t="shared" si="20"/>
        <v/>
      </c>
      <c r="P136" s="72" t="str">
        <f t="shared" si="21"/>
        <v/>
      </c>
      <c r="Q136" s="72" t="str">
        <f t="shared" si="31"/>
        <v/>
      </c>
      <c r="R136" s="72" t="str">
        <f t="shared" si="22"/>
        <v/>
      </c>
      <c r="V136" s="72">
        <v>5443</v>
      </c>
      <c r="W136" s="72" t="s">
        <v>645</v>
      </c>
      <c r="Y136" s="286" t="str">
        <f t="shared" si="29"/>
        <v>54</v>
      </c>
      <c r="Z136" s="72" t="str">
        <f t="shared" si="32"/>
        <v>544</v>
      </c>
      <c r="AB136" t="s">
        <v>1981</v>
      </c>
      <c r="AC136" t="s">
        <v>3467</v>
      </c>
      <c r="AD136" s="72" t="s">
        <v>5143</v>
      </c>
      <c r="AE136" s="72" t="s">
        <v>5144</v>
      </c>
      <c r="AF136" s="72" t="s">
        <v>5165</v>
      </c>
      <c r="AG136" s="72" t="s">
        <v>5175</v>
      </c>
    </row>
    <row r="137" spans="1:33">
      <c r="A137" s="76" t="str">
        <f>IF(C137="","",VLOOKUP('OPĆI DIO'!$C$3,'OPĆI DIO'!$L$6:$U$138,10,FALSE))</f>
        <v/>
      </c>
      <c r="B137" s="76" t="str">
        <f>IF(C137="","",VLOOKUP('OPĆI DIO'!$C$3,'OPĆI DIO'!$L$6:$U$138,9,FALSE))</f>
        <v/>
      </c>
      <c r="C137" s="82"/>
      <c r="D137" s="77" t="str">
        <f t="shared" si="30"/>
        <v/>
      </c>
      <c r="E137" s="82"/>
      <c r="F137" s="77" t="str">
        <f t="shared" si="28"/>
        <v/>
      </c>
      <c r="G137" s="114"/>
      <c r="H137" s="77" t="str">
        <f t="shared" si="33"/>
        <v/>
      </c>
      <c r="I137" s="77" t="str">
        <f t="shared" si="34"/>
        <v/>
      </c>
      <c r="J137" s="309"/>
      <c r="K137" s="113"/>
      <c r="L137" s="113"/>
      <c r="M137" s="81"/>
      <c r="O137" s="72" t="str">
        <f t="shared" si="20"/>
        <v/>
      </c>
      <c r="P137" s="72" t="str">
        <f t="shared" si="21"/>
        <v/>
      </c>
      <c r="Q137" s="72" t="str">
        <f t="shared" si="31"/>
        <v/>
      </c>
      <c r="R137" s="72" t="str">
        <f t="shared" si="22"/>
        <v/>
      </c>
      <c r="V137" s="72">
        <v>5445</v>
      </c>
      <c r="W137" s="72" t="s">
        <v>646</v>
      </c>
      <c r="Y137" s="286" t="str">
        <f t="shared" si="29"/>
        <v>54</v>
      </c>
      <c r="Z137" s="72" t="str">
        <f t="shared" si="32"/>
        <v>544</v>
      </c>
      <c r="AB137" t="s">
        <v>1982</v>
      </c>
      <c r="AC137" t="s">
        <v>1983</v>
      </c>
      <c r="AD137" s="72" t="s">
        <v>5139</v>
      </c>
      <c r="AE137" s="72" t="s">
        <v>5140</v>
      </c>
      <c r="AF137" s="72" t="s">
        <v>5165</v>
      </c>
      <c r="AG137" s="72" t="s">
        <v>5172</v>
      </c>
    </row>
    <row r="138" spans="1:33">
      <c r="A138" s="76" t="str">
        <f>IF(C138="","",VLOOKUP('OPĆI DIO'!$C$3,'OPĆI DIO'!$L$6:$U$138,10,FALSE))</f>
        <v/>
      </c>
      <c r="B138" s="76" t="str">
        <f>IF(C138="","",VLOOKUP('OPĆI DIO'!$C$3,'OPĆI DIO'!$L$6:$U$138,9,FALSE))</f>
        <v/>
      </c>
      <c r="C138" s="82"/>
      <c r="D138" s="77" t="str">
        <f t="shared" si="30"/>
        <v/>
      </c>
      <c r="E138" s="82"/>
      <c r="F138" s="77" t="str">
        <f t="shared" si="28"/>
        <v/>
      </c>
      <c r="G138" s="114"/>
      <c r="H138" s="77" t="str">
        <f t="shared" si="33"/>
        <v/>
      </c>
      <c r="I138" s="77" t="str">
        <f t="shared" si="34"/>
        <v/>
      </c>
      <c r="J138" s="309"/>
      <c r="K138" s="113"/>
      <c r="L138" s="113"/>
      <c r="M138" s="81"/>
      <c r="O138" s="72" t="str">
        <f t="shared" si="20"/>
        <v/>
      </c>
      <c r="P138" s="72" t="str">
        <f t="shared" si="21"/>
        <v/>
      </c>
      <c r="Q138" s="72" t="str">
        <f t="shared" si="31"/>
        <v/>
      </c>
      <c r="R138" s="72" t="str">
        <f t="shared" si="22"/>
        <v/>
      </c>
      <c r="V138" s="72">
        <v>5453</v>
      </c>
      <c r="W138" s="72" t="s">
        <v>647</v>
      </c>
      <c r="Y138" s="286" t="str">
        <f t="shared" si="29"/>
        <v>54</v>
      </c>
      <c r="Z138" s="72" t="str">
        <f t="shared" si="32"/>
        <v>545</v>
      </c>
      <c r="AB138" t="s">
        <v>1984</v>
      </c>
      <c r="AC138" t="s">
        <v>3468</v>
      </c>
      <c r="AD138" s="72" t="s">
        <v>5155</v>
      </c>
      <c r="AE138" s="72" t="s">
        <v>5156</v>
      </c>
      <c r="AF138" s="72" t="s">
        <v>5165</v>
      </c>
      <c r="AG138" s="72" t="s">
        <v>5176</v>
      </c>
    </row>
    <row r="139" spans="1:33">
      <c r="A139" s="76" t="str">
        <f>IF(C139="","",VLOOKUP('OPĆI DIO'!$C$3,'OPĆI DIO'!$L$6:$U$138,10,FALSE))</f>
        <v/>
      </c>
      <c r="B139" s="76" t="str">
        <f>IF(C139="","",VLOOKUP('OPĆI DIO'!$C$3,'OPĆI DIO'!$L$6:$U$138,9,FALSE))</f>
        <v/>
      </c>
      <c r="C139" s="82"/>
      <c r="D139" s="77" t="str">
        <f t="shared" si="30"/>
        <v/>
      </c>
      <c r="E139" s="82"/>
      <c r="F139" s="77" t="str">
        <f t="shared" si="28"/>
        <v/>
      </c>
      <c r="G139" s="114"/>
      <c r="H139" s="77" t="str">
        <f t="shared" si="33"/>
        <v/>
      </c>
      <c r="I139" s="77" t="str">
        <f t="shared" si="34"/>
        <v/>
      </c>
      <c r="J139" s="309"/>
      <c r="K139" s="113"/>
      <c r="L139" s="113"/>
      <c r="M139" s="81"/>
      <c r="O139" s="72" t="str">
        <f t="shared" si="20"/>
        <v/>
      </c>
      <c r="P139" s="72" t="str">
        <f t="shared" si="21"/>
        <v/>
      </c>
      <c r="Q139" s="72" t="str">
        <f t="shared" si="31"/>
        <v/>
      </c>
      <c r="R139" s="72" t="str">
        <f t="shared" si="22"/>
        <v/>
      </c>
      <c r="V139" s="72">
        <v>5472</v>
      </c>
      <c r="W139" s="72" t="s">
        <v>648</v>
      </c>
      <c r="Y139" s="286" t="str">
        <f t="shared" si="29"/>
        <v>54</v>
      </c>
      <c r="Z139" s="72" t="str">
        <f t="shared" si="32"/>
        <v>547</v>
      </c>
      <c r="AB139" t="s">
        <v>3469</v>
      </c>
      <c r="AC139" t="s">
        <v>3470</v>
      </c>
      <c r="AD139" s="72" t="s">
        <v>5141</v>
      </c>
      <c r="AE139" s="72" t="s">
        <v>5142</v>
      </c>
      <c r="AF139" s="72" t="s">
        <v>5167</v>
      </c>
      <c r="AG139" s="72" t="s">
        <v>5168</v>
      </c>
    </row>
    <row r="140" spans="1:33">
      <c r="A140" s="76" t="str">
        <f>IF(C140="","",VLOOKUP('OPĆI DIO'!$C$3,'OPĆI DIO'!$L$6:$U$138,10,FALSE))</f>
        <v/>
      </c>
      <c r="B140" s="76" t="str">
        <f>IF(C140="","",VLOOKUP('OPĆI DIO'!$C$3,'OPĆI DIO'!$L$6:$U$138,9,FALSE))</f>
        <v/>
      </c>
      <c r="C140" s="82"/>
      <c r="D140" s="77" t="str">
        <f t="shared" si="30"/>
        <v/>
      </c>
      <c r="E140" s="82"/>
      <c r="F140" s="77" t="str">
        <f t="shared" si="28"/>
        <v/>
      </c>
      <c r="G140" s="114"/>
      <c r="H140" s="77" t="str">
        <f t="shared" si="33"/>
        <v/>
      </c>
      <c r="I140" s="77" t="str">
        <f t="shared" si="34"/>
        <v/>
      </c>
      <c r="J140" s="309"/>
      <c r="K140" s="113"/>
      <c r="L140" s="113"/>
      <c r="M140" s="81"/>
      <c r="O140" s="72" t="str">
        <f t="shared" si="20"/>
        <v/>
      </c>
      <c r="P140" s="72" t="str">
        <f t="shared" si="21"/>
        <v/>
      </c>
      <c r="Q140" s="72" t="str">
        <f t="shared" si="31"/>
        <v/>
      </c>
      <c r="R140" s="72" t="str">
        <f t="shared" si="22"/>
        <v/>
      </c>
      <c r="AB140" t="s">
        <v>1985</v>
      </c>
      <c r="AC140" t="s">
        <v>1986</v>
      </c>
      <c r="AD140" s="72" t="s">
        <v>5143</v>
      </c>
      <c r="AE140" s="72" t="s">
        <v>5144</v>
      </c>
      <c r="AF140" s="72" t="s">
        <v>5165</v>
      </c>
      <c r="AG140" s="72" t="s">
        <v>5175</v>
      </c>
    </row>
    <row r="141" spans="1:33">
      <c r="A141" s="76" t="str">
        <f>IF(C141="","",VLOOKUP('OPĆI DIO'!$C$3,'OPĆI DIO'!$L$6:$U$138,10,FALSE))</f>
        <v/>
      </c>
      <c r="B141" s="76" t="str">
        <f>IF(C141="","",VLOOKUP('OPĆI DIO'!$C$3,'OPĆI DIO'!$L$6:$U$138,9,FALSE))</f>
        <v/>
      </c>
      <c r="C141" s="82"/>
      <c r="D141" s="77" t="str">
        <f t="shared" ref="D141:D204" si="35">IFERROR(VLOOKUP(C141,$S$6:$T$24,2,FALSE),"")</f>
        <v/>
      </c>
      <c r="E141" s="82"/>
      <c r="F141" s="77" t="str">
        <f t="shared" si="28"/>
        <v/>
      </c>
      <c r="G141" s="114"/>
      <c r="H141" s="77" t="str">
        <f t="shared" si="33"/>
        <v/>
      </c>
      <c r="I141" s="77" t="str">
        <f t="shared" si="34"/>
        <v/>
      </c>
      <c r="J141" s="113"/>
      <c r="K141" s="113"/>
      <c r="L141" s="113"/>
      <c r="M141" s="81"/>
      <c r="O141" s="72" t="str">
        <f t="shared" si="20"/>
        <v/>
      </c>
      <c r="P141" s="72" t="str">
        <f t="shared" si="21"/>
        <v/>
      </c>
      <c r="Q141" s="72" t="str">
        <f t="shared" si="31"/>
        <v/>
      </c>
      <c r="R141" s="72" t="str">
        <f t="shared" si="22"/>
        <v/>
      </c>
      <c r="AB141" t="s">
        <v>1987</v>
      </c>
      <c r="AC141" t="s">
        <v>1988</v>
      </c>
      <c r="AD141" s="72" t="s">
        <v>5147</v>
      </c>
      <c r="AE141" s="72" t="s">
        <v>5148</v>
      </c>
      <c r="AF141" s="72" t="s">
        <v>5165</v>
      </c>
      <c r="AG141" s="72" t="s">
        <v>5173</v>
      </c>
    </row>
    <row r="142" spans="1:33">
      <c r="A142" s="76" t="str">
        <f>IF(C142="","",VLOOKUP('OPĆI DIO'!$C$3,'OPĆI DIO'!$L$6:$U$138,10,FALSE))</f>
        <v/>
      </c>
      <c r="B142" s="76" t="str">
        <f>IF(C142="","",VLOOKUP('OPĆI DIO'!$C$3,'OPĆI DIO'!$L$6:$U$138,9,FALSE))</f>
        <v/>
      </c>
      <c r="C142" s="82"/>
      <c r="D142" s="77" t="str">
        <f t="shared" si="35"/>
        <v/>
      </c>
      <c r="E142" s="82"/>
      <c r="F142" s="77" t="str">
        <f t="shared" si="28"/>
        <v/>
      </c>
      <c r="G142" s="114"/>
      <c r="H142" s="77" t="str">
        <f t="shared" si="33"/>
        <v/>
      </c>
      <c r="I142" s="77" t="str">
        <f t="shared" si="34"/>
        <v/>
      </c>
      <c r="J142" s="113"/>
      <c r="K142" s="113"/>
      <c r="L142" s="113"/>
      <c r="M142" s="81"/>
      <c r="O142" s="72" t="str">
        <f t="shared" ref="O142:O205" si="36">LEFT(E142,3)</f>
        <v/>
      </c>
      <c r="P142" s="72" t="str">
        <f t="shared" ref="P142:P205" si="37">LEFT(E142,2)</f>
        <v/>
      </c>
      <c r="Q142" s="72" t="str">
        <f t="shared" ref="Q142:Q205" si="38">LEFT(C142,3)</f>
        <v/>
      </c>
      <c r="R142" s="72" t="str">
        <f t="shared" ref="R142:R205" si="39">MID(I142,2,2)</f>
        <v/>
      </c>
      <c r="AB142" t="s">
        <v>1989</v>
      </c>
      <c r="AC142" t="s">
        <v>1990</v>
      </c>
      <c r="AD142" s="72" t="s">
        <v>5141</v>
      </c>
      <c r="AE142" s="72" t="s">
        <v>5142</v>
      </c>
      <c r="AF142" s="72" t="s">
        <v>5167</v>
      </c>
      <c r="AG142" s="72" t="s">
        <v>5168</v>
      </c>
    </row>
    <row r="143" spans="1:33">
      <c r="A143" s="76" t="str">
        <f>IF(C143="","",VLOOKUP('OPĆI DIO'!$C$3,'OPĆI DIO'!$L$6:$U$138,10,FALSE))</f>
        <v/>
      </c>
      <c r="B143" s="76" t="str">
        <f>IF(C143="","",VLOOKUP('OPĆI DIO'!$C$3,'OPĆI DIO'!$L$6:$U$138,9,FALSE))</f>
        <v/>
      </c>
      <c r="C143" s="82"/>
      <c r="D143" s="77" t="str">
        <f t="shared" si="35"/>
        <v/>
      </c>
      <c r="E143" s="82"/>
      <c r="F143" s="77" t="str">
        <f t="shared" si="28"/>
        <v/>
      </c>
      <c r="G143" s="114"/>
      <c r="H143" s="77" t="str">
        <f t="shared" si="33"/>
        <v/>
      </c>
      <c r="I143" s="77" t="str">
        <f t="shared" si="34"/>
        <v/>
      </c>
      <c r="J143" s="113"/>
      <c r="K143" s="113"/>
      <c r="L143" s="113"/>
      <c r="M143" s="81"/>
      <c r="O143" s="72" t="str">
        <f t="shared" si="36"/>
        <v/>
      </c>
      <c r="P143" s="72" t="str">
        <f t="shared" si="37"/>
        <v/>
      </c>
      <c r="Q143" s="72" t="str">
        <f t="shared" si="38"/>
        <v/>
      </c>
      <c r="R143" s="72" t="str">
        <f t="shared" si="39"/>
        <v/>
      </c>
      <c r="AB143" t="s">
        <v>3471</v>
      </c>
      <c r="AC143" t="s">
        <v>3472</v>
      </c>
      <c r="AD143" s="72" t="s">
        <v>5155</v>
      </c>
      <c r="AE143" s="72" t="s">
        <v>5156</v>
      </c>
      <c r="AF143" s="72" t="s">
        <v>5165</v>
      </c>
      <c r="AG143" s="72" t="s">
        <v>5176</v>
      </c>
    </row>
    <row r="144" spans="1:33">
      <c r="A144" s="76" t="str">
        <f>IF(C144="","",VLOOKUP('OPĆI DIO'!$C$3,'OPĆI DIO'!$L$6:$U$138,10,FALSE))</f>
        <v/>
      </c>
      <c r="B144" s="76" t="str">
        <f>IF(C144="","",VLOOKUP('OPĆI DIO'!$C$3,'OPĆI DIO'!$L$6:$U$138,9,FALSE))</f>
        <v/>
      </c>
      <c r="C144" s="82"/>
      <c r="D144" s="77" t="str">
        <f t="shared" si="35"/>
        <v/>
      </c>
      <c r="E144" s="82"/>
      <c r="F144" s="77" t="str">
        <f t="shared" si="28"/>
        <v/>
      </c>
      <c r="G144" s="114"/>
      <c r="H144" s="77" t="str">
        <f t="shared" si="33"/>
        <v/>
      </c>
      <c r="I144" s="77" t="str">
        <f t="shared" si="34"/>
        <v/>
      </c>
      <c r="J144" s="113"/>
      <c r="K144" s="113"/>
      <c r="L144" s="113"/>
      <c r="M144" s="81"/>
      <c r="O144" s="72" t="str">
        <f t="shared" si="36"/>
        <v/>
      </c>
      <c r="P144" s="72" t="str">
        <f t="shared" si="37"/>
        <v/>
      </c>
      <c r="Q144" s="72" t="str">
        <f t="shared" si="38"/>
        <v/>
      </c>
      <c r="R144" s="72" t="str">
        <f t="shared" si="39"/>
        <v/>
      </c>
      <c r="AB144" t="s">
        <v>1994</v>
      </c>
      <c r="AC144" t="s">
        <v>1995</v>
      </c>
      <c r="AD144" s="72" t="s">
        <v>5155</v>
      </c>
      <c r="AE144" s="72" t="s">
        <v>5156</v>
      </c>
      <c r="AF144" s="72" t="s">
        <v>5165</v>
      </c>
      <c r="AG144" s="72" t="s">
        <v>5176</v>
      </c>
    </row>
    <row r="145" spans="1:33">
      <c r="A145" s="76" t="str">
        <f>IF(C145="","",VLOOKUP('OPĆI DIO'!$C$3,'OPĆI DIO'!$L$6:$U$138,10,FALSE))</f>
        <v/>
      </c>
      <c r="B145" s="76" t="str">
        <f>IF(C145="","",VLOOKUP('OPĆI DIO'!$C$3,'OPĆI DIO'!$L$6:$U$138,9,FALSE))</f>
        <v/>
      </c>
      <c r="C145" s="82"/>
      <c r="D145" s="77" t="str">
        <f t="shared" si="35"/>
        <v/>
      </c>
      <c r="E145" s="82"/>
      <c r="F145" s="77" t="str">
        <f t="shared" si="28"/>
        <v/>
      </c>
      <c r="G145" s="114"/>
      <c r="H145" s="77" t="str">
        <f t="shared" si="33"/>
        <v/>
      </c>
      <c r="I145" s="77" t="str">
        <f t="shared" si="34"/>
        <v/>
      </c>
      <c r="J145" s="113"/>
      <c r="K145" s="113"/>
      <c r="L145" s="113"/>
      <c r="M145" s="81"/>
      <c r="O145" s="72" t="str">
        <f t="shared" si="36"/>
        <v/>
      </c>
      <c r="P145" s="72" t="str">
        <f t="shared" si="37"/>
        <v/>
      </c>
      <c r="Q145" s="72" t="str">
        <f t="shared" si="38"/>
        <v/>
      </c>
      <c r="R145" s="72" t="str">
        <f t="shared" si="39"/>
        <v/>
      </c>
      <c r="AB145" t="s">
        <v>1994</v>
      </c>
      <c r="AC145" t="s">
        <v>1995</v>
      </c>
      <c r="AD145" s="72" t="s">
        <v>5143</v>
      </c>
      <c r="AE145" s="72" t="s">
        <v>5144</v>
      </c>
      <c r="AF145" s="72" t="s">
        <v>5165</v>
      </c>
      <c r="AG145" s="72" t="s">
        <v>5175</v>
      </c>
    </row>
    <row r="146" spans="1:33">
      <c r="A146" s="76" t="str">
        <f>IF(C146="","",VLOOKUP('OPĆI DIO'!$C$3,'OPĆI DIO'!$L$6:$U$138,10,FALSE))</f>
        <v/>
      </c>
      <c r="B146" s="76" t="str">
        <f>IF(C146="","",VLOOKUP('OPĆI DIO'!$C$3,'OPĆI DIO'!$L$6:$U$138,9,FALSE))</f>
        <v/>
      </c>
      <c r="C146" s="82"/>
      <c r="D146" s="77" t="str">
        <f t="shared" si="35"/>
        <v/>
      </c>
      <c r="E146" s="82"/>
      <c r="F146" s="77" t="str">
        <f t="shared" si="28"/>
        <v/>
      </c>
      <c r="G146" s="114"/>
      <c r="H146" s="77" t="str">
        <f t="shared" si="33"/>
        <v/>
      </c>
      <c r="I146" s="77" t="str">
        <f t="shared" si="34"/>
        <v/>
      </c>
      <c r="J146" s="113"/>
      <c r="K146" s="113"/>
      <c r="L146" s="113"/>
      <c r="M146" s="81"/>
      <c r="O146" s="72" t="str">
        <f t="shared" si="36"/>
        <v/>
      </c>
      <c r="P146" s="72" t="str">
        <f t="shared" si="37"/>
        <v/>
      </c>
      <c r="Q146" s="72" t="str">
        <f t="shared" si="38"/>
        <v/>
      </c>
      <c r="R146" s="72" t="str">
        <f t="shared" si="39"/>
        <v/>
      </c>
      <c r="AB146" t="s">
        <v>1996</v>
      </c>
      <c r="AC146" t="s">
        <v>3473</v>
      </c>
      <c r="AD146" s="72" t="s">
        <v>5143</v>
      </c>
      <c r="AE146" s="72" t="s">
        <v>5144</v>
      </c>
      <c r="AF146" s="72" t="s">
        <v>5165</v>
      </c>
      <c r="AG146" s="72" t="s">
        <v>5175</v>
      </c>
    </row>
    <row r="147" spans="1:33">
      <c r="A147" s="76" t="str">
        <f>IF(C147="","",VLOOKUP('OPĆI DIO'!$C$3,'OPĆI DIO'!$L$6:$U$138,10,FALSE))</f>
        <v/>
      </c>
      <c r="B147" s="76" t="str">
        <f>IF(C147="","",VLOOKUP('OPĆI DIO'!$C$3,'OPĆI DIO'!$L$6:$U$138,9,FALSE))</f>
        <v/>
      </c>
      <c r="C147" s="82"/>
      <c r="D147" s="77" t="str">
        <f t="shared" si="35"/>
        <v/>
      </c>
      <c r="E147" s="82"/>
      <c r="F147" s="77" t="str">
        <f t="shared" si="28"/>
        <v/>
      </c>
      <c r="G147" s="114"/>
      <c r="H147" s="77" t="str">
        <f t="shared" si="33"/>
        <v/>
      </c>
      <c r="I147" s="77" t="str">
        <f t="shared" si="34"/>
        <v/>
      </c>
      <c r="J147" s="113"/>
      <c r="K147" s="113"/>
      <c r="L147" s="113"/>
      <c r="M147" s="81"/>
      <c r="O147" s="72" t="str">
        <f t="shared" si="36"/>
        <v/>
      </c>
      <c r="P147" s="72" t="str">
        <f t="shared" si="37"/>
        <v/>
      </c>
      <c r="Q147" s="72" t="str">
        <f t="shared" si="38"/>
        <v/>
      </c>
      <c r="R147" s="72" t="str">
        <f t="shared" si="39"/>
        <v/>
      </c>
      <c r="AB147" t="s">
        <v>1997</v>
      </c>
      <c r="AC147" t="s">
        <v>3474</v>
      </c>
      <c r="AD147" s="72" t="s">
        <v>5151</v>
      </c>
      <c r="AE147" s="72" t="s">
        <v>5152</v>
      </c>
      <c r="AF147" s="72" t="s">
        <v>5165</v>
      </c>
      <c r="AG147" s="72" t="s">
        <v>5172</v>
      </c>
    </row>
    <row r="148" spans="1:33">
      <c r="A148" s="76" t="str">
        <f>IF(C148="","",VLOOKUP('OPĆI DIO'!$C$3,'OPĆI DIO'!$L$6:$U$138,10,FALSE))</f>
        <v/>
      </c>
      <c r="B148" s="76" t="str">
        <f>IF(C148="","",VLOOKUP('OPĆI DIO'!$C$3,'OPĆI DIO'!$L$6:$U$138,9,FALSE))</f>
        <v/>
      </c>
      <c r="C148" s="82"/>
      <c r="D148" s="77" t="str">
        <f t="shared" si="35"/>
        <v/>
      </c>
      <c r="E148" s="82"/>
      <c r="F148" s="77" t="str">
        <f t="shared" si="28"/>
        <v/>
      </c>
      <c r="G148" s="114"/>
      <c r="H148" s="77" t="str">
        <f t="shared" si="33"/>
        <v/>
      </c>
      <c r="I148" s="77" t="str">
        <f t="shared" si="34"/>
        <v/>
      </c>
      <c r="J148" s="113"/>
      <c r="K148" s="113"/>
      <c r="L148" s="113"/>
      <c r="M148" s="81"/>
      <c r="O148" s="72" t="str">
        <f t="shared" si="36"/>
        <v/>
      </c>
      <c r="P148" s="72" t="str">
        <f t="shared" si="37"/>
        <v/>
      </c>
      <c r="Q148" s="72" t="str">
        <f t="shared" si="38"/>
        <v/>
      </c>
      <c r="R148" s="72" t="str">
        <f t="shared" si="39"/>
        <v/>
      </c>
      <c r="AB148" t="s">
        <v>3475</v>
      </c>
      <c r="AC148" t="s">
        <v>3476</v>
      </c>
      <c r="AD148" s="72" t="s">
        <v>5141</v>
      </c>
      <c r="AE148" s="72" t="s">
        <v>5142</v>
      </c>
      <c r="AF148" s="72" t="s">
        <v>5167</v>
      </c>
      <c r="AG148" s="72" t="s">
        <v>5168</v>
      </c>
    </row>
    <row r="149" spans="1:33">
      <c r="A149" s="76" t="str">
        <f>IF(C149="","",VLOOKUP('OPĆI DIO'!$C$3,'OPĆI DIO'!$L$6:$U$138,10,FALSE))</f>
        <v/>
      </c>
      <c r="B149" s="76" t="str">
        <f>IF(C149="","",VLOOKUP('OPĆI DIO'!$C$3,'OPĆI DIO'!$L$6:$U$138,9,FALSE))</f>
        <v/>
      </c>
      <c r="C149" s="82"/>
      <c r="D149" s="77" t="str">
        <f t="shared" si="35"/>
        <v/>
      </c>
      <c r="E149" s="82"/>
      <c r="F149" s="77" t="str">
        <f t="shared" si="28"/>
        <v/>
      </c>
      <c r="G149" s="114"/>
      <c r="H149" s="77" t="str">
        <f t="shared" si="33"/>
        <v/>
      </c>
      <c r="I149" s="77" t="str">
        <f t="shared" si="34"/>
        <v/>
      </c>
      <c r="J149" s="113"/>
      <c r="K149" s="113"/>
      <c r="L149" s="113"/>
      <c r="M149" s="81"/>
      <c r="O149" s="72" t="str">
        <f t="shared" si="36"/>
        <v/>
      </c>
      <c r="P149" s="72" t="str">
        <f t="shared" si="37"/>
        <v/>
      </c>
      <c r="Q149" s="72" t="str">
        <f t="shared" si="38"/>
        <v/>
      </c>
      <c r="R149" s="72" t="str">
        <f t="shared" si="39"/>
        <v/>
      </c>
      <c r="AB149" t="s">
        <v>2000</v>
      </c>
      <c r="AC149" t="s">
        <v>2001</v>
      </c>
      <c r="AD149" s="72" t="s">
        <v>5139</v>
      </c>
      <c r="AE149" s="72" t="s">
        <v>5140</v>
      </c>
      <c r="AF149" s="72" t="s">
        <v>5165</v>
      </c>
      <c r="AG149" s="72" t="s">
        <v>5172</v>
      </c>
    </row>
    <row r="150" spans="1:33">
      <c r="A150" s="76" t="str">
        <f>IF(C150="","",VLOOKUP('OPĆI DIO'!$C$3,'OPĆI DIO'!$L$6:$U$138,10,FALSE))</f>
        <v/>
      </c>
      <c r="B150" s="76" t="str">
        <f>IF(C150="","",VLOOKUP('OPĆI DIO'!$C$3,'OPĆI DIO'!$L$6:$U$138,9,FALSE))</f>
        <v/>
      </c>
      <c r="C150" s="82"/>
      <c r="D150" s="77" t="str">
        <f t="shared" si="35"/>
        <v/>
      </c>
      <c r="E150" s="82"/>
      <c r="F150" s="77" t="str">
        <f t="shared" si="28"/>
        <v/>
      </c>
      <c r="G150" s="114"/>
      <c r="H150" s="77" t="str">
        <f t="shared" si="33"/>
        <v/>
      </c>
      <c r="I150" s="77" t="str">
        <f t="shared" si="34"/>
        <v/>
      </c>
      <c r="J150" s="113"/>
      <c r="K150" s="113"/>
      <c r="L150" s="113"/>
      <c r="M150" s="81"/>
      <c r="O150" s="72" t="str">
        <f t="shared" si="36"/>
        <v/>
      </c>
      <c r="P150" s="72" t="str">
        <f t="shared" si="37"/>
        <v/>
      </c>
      <c r="Q150" s="72" t="str">
        <f t="shared" si="38"/>
        <v/>
      </c>
      <c r="R150" s="72" t="str">
        <f t="shared" si="39"/>
        <v/>
      </c>
      <c r="AB150" t="s">
        <v>2002</v>
      </c>
      <c r="AC150" t="s">
        <v>2003</v>
      </c>
      <c r="AD150" s="72" t="s">
        <v>5159</v>
      </c>
      <c r="AE150" s="72" t="s">
        <v>5160</v>
      </c>
      <c r="AF150" s="72" t="s">
        <v>5165</v>
      </c>
      <c r="AG150" s="72" t="s">
        <v>5177</v>
      </c>
    </row>
    <row r="151" spans="1:33">
      <c r="A151" s="76" t="str">
        <f>IF(C151="","",VLOOKUP('OPĆI DIO'!$C$3,'OPĆI DIO'!$L$6:$U$138,10,FALSE))</f>
        <v/>
      </c>
      <c r="B151" s="76" t="str">
        <f>IF(C151="","",VLOOKUP('OPĆI DIO'!$C$3,'OPĆI DIO'!$L$6:$U$138,9,FALSE))</f>
        <v/>
      </c>
      <c r="C151" s="82"/>
      <c r="D151" s="77" t="str">
        <f t="shared" si="35"/>
        <v/>
      </c>
      <c r="E151" s="82"/>
      <c r="F151" s="77" t="str">
        <f t="shared" si="28"/>
        <v/>
      </c>
      <c r="G151" s="114"/>
      <c r="H151" s="77" t="str">
        <f t="shared" si="33"/>
        <v/>
      </c>
      <c r="I151" s="77" t="str">
        <f t="shared" si="34"/>
        <v/>
      </c>
      <c r="J151" s="113"/>
      <c r="K151" s="113"/>
      <c r="L151" s="113"/>
      <c r="M151" s="81"/>
      <c r="O151" s="72" t="str">
        <f t="shared" si="36"/>
        <v/>
      </c>
      <c r="P151" s="72" t="str">
        <f t="shared" si="37"/>
        <v/>
      </c>
      <c r="Q151" s="72" t="str">
        <f t="shared" si="38"/>
        <v/>
      </c>
      <c r="R151" s="72" t="str">
        <f t="shared" si="39"/>
        <v/>
      </c>
      <c r="AB151" t="s">
        <v>2005</v>
      </c>
      <c r="AC151" t="s">
        <v>2006</v>
      </c>
      <c r="AD151" s="72" t="s">
        <v>5139</v>
      </c>
      <c r="AE151" s="72" t="s">
        <v>5140</v>
      </c>
      <c r="AF151" s="72" t="s">
        <v>5165</v>
      </c>
      <c r="AG151" s="72" t="s">
        <v>5172</v>
      </c>
    </row>
    <row r="152" spans="1:33">
      <c r="A152" s="76" t="str">
        <f>IF(C152="","",VLOOKUP('OPĆI DIO'!$C$3,'OPĆI DIO'!$L$6:$U$138,10,FALSE))</f>
        <v/>
      </c>
      <c r="B152" s="76" t="str">
        <f>IF(C152="","",VLOOKUP('OPĆI DIO'!$C$3,'OPĆI DIO'!$L$6:$U$138,9,FALSE))</f>
        <v/>
      </c>
      <c r="C152" s="82"/>
      <c r="D152" s="77" t="str">
        <f t="shared" si="35"/>
        <v/>
      </c>
      <c r="E152" s="82"/>
      <c r="F152" s="77" t="str">
        <f t="shared" si="28"/>
        <v/>
      </c>
      <c r="G152" s="114"/>
      <c r="H152" s="77" t="str">
        <f t="shared" si="33"/>
        <v/>
      </c>
      <c r="I152" s="77" t="str">
        <f t="shared" si="34"/>
        <v/>
      </c>
      <c r="J152" s="113"/>
      <c r="K152" s="113"/>
      <c r="L152" s="113"/>
      <c r="M152" s="81"/>
      <c r="O152" s="72" t="str">
        <f t="shared" si="36"/>
        <v/>
      </c>
      <c r="P152" s="72" t="str">
        <f t="shared" si="37"/>
        <v/>
      </c>
      <c r="Q152" s="72" t="str">
        <f t="shared" si="38"/>
        <v/>
      </c>
      <c r="R152" s="72" t="str">
        <f t="shared" si="39"/>
        <v/>
      </c>
      <c r="AB152" t="s">
        <v>1653</v>
      </c>
      <c r="AC152" t="s">
        <v>1654</v>
      </c>
      <c r="AD152" s="72" t="s">
        <v>5155</v>
      </c>
      <c r="AE152" s="72" t="s">
        <v>5156</v>
      </c>
      <c r="AF152" s="72" t="s">
        <v>5165</v>
      </c>
      <c r="AG152" s="72" t="s">
        <v>5176</v>
      </c>
    </row>
    <row r="153" spans="1:33">
      <c r="A153" s="76" t="str">
        <f>IF(C153="","",VLOOKUP('OPĆI DIO'!$C$3,'OPĆI DIO'!$L$6:$U$138,10,FALSE))</f>
        <v/>
      </c>
      <c r="B153" s="76" t="str">
        <f>IF(C153="","",VLOOKUP('OPĆI DIO'!$C$3,'OPĆI DIO'!$L$6:$U$138,9,FALSE))</f>
        <v/>
      </c>
      <c r="C153" s="82"/>
      <c r="D153" s="77" t="str">
        <f t="shared" si="35"/>
        <v/>
      </c>
      <c r="E153" s="82"/>
      <c r="F153" s="77" t="str">
        <f t="shared" si="28"/>
        <v/>
      </c>
      <c r="G153" s="114"/>
      <c r="H153" s="77" t="str">
        <f t="shared" si="33"/>
        <v/>
      </c>
      <c r="I153" s="77" t="str">
        <f t="shared" si="34"/>
        <v/>
      </c>
      <c r="J153" s="113"/>
      <c r="K153" s="113"/>
      <c r="L153" s="113"/>
      <c r="M153" s="81"/>
      <c r="O153" s="72" t="str">
        <f t="shared" si="36"/>
        <v/>
      </c>
      <c r="P153" s="72" t="str">
        <f t="shared" si="37"/>
        <v/>
      </c>
      <c r="Q153" s="72" t="str">
        <f t="shared" si="38"/>
        <v/>
      </c>
      <c r="R153" s="72" t="str">
        <f t="shared" si="39"/>
        <v/>
      </c>
      <c r="AB153" t="s">
        <v>2007</v>
      </c>
      <c r="AC153" t="s">
        <v>1992</v>
      </c>
      <c r="AD153" s="72" t="s">
        <v>5143</v>
      </c>
      <c r="AE153" s="72" t="s">
        <v>5144</v>
      </c>
      <c r="AF153" s="72" t="s">
        <v>5165</v>
      </c>
      <c r="AG153" s="72" t="s">
        <v>5175</v>
      </c>
    </row>
    <row r="154" spans="1:33">
      <c r="A154" s="76" t="str">
        <f>IF(C154="","",VLOOKUP('OPĆI DIO'!$C$3,'OPĆI DIO'!$L$6:$U$138,10,FALSE))</f>
        <v/>
      </c>
      <c r="B154" s="76" t="str">
        <f>IF(C154="","",VLOOKUP('OPĆI DIO'!$C$3,'OPĆI DIO'!$L$6:$U$138,9,FALSE))</f>
        <v/>
      </c>
      <c r="C154" s="82"/>
      <c r="D154" s="77" t="str">
        <f t="shared" si="35"/>
        <v/>
      </c>
      <c r="E154" s="82"/>
      <c r="F154" s="77" t="str">
        <f t="shared" si="28"/>
        <v/>
      </c>
      <c r="G154" s="114"/>
      <c r="H154" s="77" t="str">
        <f t="shared" si="33"/>
        <v/>
      </c>
      <c r="I154" s="77" t="str">
        <f t="shared" si="34"/>
        <v/>
      </c>
      <c r="J154" s="113"/>
      <c r="K154" s="113"/>
      <c r="L154" s="113"/>
      <c r="M154" s="81"/>
      <c r="O154" s="72" t="str">
        <f t="shared" si="36"/>
        <v/>
      </c>
      <c r="P154" s="72" t="str">
        <f t="shared" si="37"/>
        <v/>
      </c>
      <c r="Q154" s="72" t="str">
        <f t="shared" si="38"/>
        <v/>
      </c>
      <c r="R154" s="72" t="str">
        <f t="shared" si="39"/>
        <v/>
      </c>
      <c r="AB154" t="s">
        <v>2008</v>
      </c>
      <c r="AC154" t="s">
        <v>3477</v>
      </c>
      <c r="AD154" s="72" t="s">
        <v>5139</v>
      </c>
      <c r="AE154" s="72" t="s">
        <v>5140</v>
      </c>
      <c r="AF154" s="72" t="s">
        <v>5165</v>
      </c>
      <c r="AG154" s="72" t="s">
        <v>5172</v>
      </c>
    </row>
    <row r="155" spans="1:33">
      <c r="A155" s="76" t="str">
        <f>IF(C155="","",VLOOKUP('OPĆI DIO'!$C$3,'OPĆI DIO'!$L$6:$U$138,10,FALSE))</f>
        <v/>
      </c>
      <c r="B155" s="76" t="str">
        <f>IF(C155="","",VLOOKUP('OPĆI DIO'!$C$3,'OPĆI DIO'!$L$6:$U$138,9,FALSE))</f>
        <v/>
      </c>
      <c r="C155" s="82"/>
      <c r="D155" s="77" t="str">
        <f t="shared" si="35"/>
        <v/>
      </c>
      <c r="E155" s="82"/>
      <c r="F155" s="77" t="str">
        <f t="shared" si="28"/>
        <v/>
      </c>
      <c r="G155" s="114"/>
      <c r="H155" s="77" t="str">
        <f t="shared" si="33"/>
        <v/>
      </c>
      <c r="I155" s="77" t="str">
        <f t="shared" si="34"/>
        <v/>
      </c>
      <c r="J155" s="113"/>
      <c r="K155" s="113"/>
      <c r="L155" s="113"/>
      <c r="M155" s="81"/>
      <c r="O155" s="72" t="str">
        <f t="shared" si="36"/>
        <v/>
      </c>
      <c r="P155" s="72" t="str">
        <f t="shared" si="37"/>
        <v/>
      </c>
      <c r="Q155" s="72" t="str">
        <f t="shared" si="38"/>
        <v/>
      </c>
      <c r="R155" s="72" t="str">
        <f t="shared" si="39"/>
        <v/>
      </c>
      <c r="AB155" t="s">
        <v>3478</v>
      </c>
      <c r="AC155" t="s">
        <v>3479</v>
      </c>
      <c r="AD155" s="72" t="s">
        <v>5141</v>
      </c>
      <c r="AE155" s="72" t="s">
        <v>5142</v>
      </c>
      <c r="AF155" s="72" t="s">
        <v>5167</v>
      </c>
      <c r="AG155" s="72" t="s">
        <v>5168</v>
      </c>
    </row>
    <row r="156" spans="1:33">
      <c r="A156" s="76" t="str">
        <f>IF(C156="","",VLOOKUP('OPĆI DIO'!$C$3,'OPĆI DIO'!$L$6:$U$138,10,FALSE))</f>
        <v/>
      </c>
      <c r="B156" s="76" t="str">
        <f>IF(C156="","",VLOOKUP('OPĆI DIO'!$C$3,'OPĆI DIO'!$L$6:$U$138,9,FALSE))</f>
        <v/>
      </c>
      <c r="C156" s="82"/>
      <c r="D156" s="77" t="str">
        <f t="shared" si="35"/>
        <v/>
      </c>
      <c r="E156" s="82"/>
      <c r="F156" s="77" t="str">
        <f t="shared" si="28"/>
        <v/>
      </c>
      <c r="G156" s="114"/>
      <c r="H156" s="77" t="str">
        <f t="shared" si="33"/>
        <v/>
      </c>
      <c r="I156" s="77" t="str">
        <f t="shared" si="34"/>
        <v/>
      </c>
      <c r="J156" s="113"/>
      <c r="K156" s="113"/>
      <c r="L156" s="113"/>
      <c r="M156" s="81"/>
      <c r="O156" s="72" t="str">
        <f t="shared" si="36"/>
        <v/>
      </c>
      <c r="P156" s="72" t="str">
        <f t="shared" si="37"/>
        <v/>
      </c>
      <c r="Q156" s="72" t="str">
        <f t="shared" si="38"/>
        <v/>
      </c>
      <c r="R156" s="72" t="str">
        <f t="shared" si="39"/>
        <v/>
      </c>
      <c r="AB156" t="s">
        <v>3480</v>
      </c>
      <c r="AC156" t="s">
        <v>3481</v>
      </c>
      <c r="AD156" s="72" t="s">
        <v>5143</v>
      </c>
      <c r="AE156" s="72" t="s">
        <v>5144</v>
      </c>
      <c r="AF156" s="72" t="s">
        <v>5165</v>
      </c>
      <c r="AG156" s="72" t="s">
        <v>5175</v>
      </c>
    </row>
    <row r="157" spans="1:33">
      <c r="A157" s="76" t="str">
        <f>IF(C157="","",VLOOKUP('OPĆI DIO'!$C$3,'OPĆI DIO'!$L$6:$U$138,10,FALSE))</f>
        <v/>
      </c>
      <c r="B157" s="76" t="str">
        <f>IF(C157="","",VLOOKUP('OPĆI DIO'!$C$3,'OPĆI DIO'!$L$6:$U$138,9,FALSE))</f>
        <v/>
      </c>
      <c r="C157" s="82"/>
      <c r="D157" s="77" t="str">
        <f t="shared" si="35"/>
        <v/>
      </c>
      <c r="E157" s="82"/>
      <c r="F157" s="77" t="str">
        <f t="shared" si="28"/>
        <v/>
      </c>
      <c r="G157" s="114"/>
      <c r="H157" s="77" t="str">
        <f t="shared" si="33"/>
        <v/>
      </c>
      <c r="I157" s="77" t="str">
        <f t="shared" si="34"/>
        <v/>
      </c>
      <c r="J157" s="113"/>
      <c r="K157" s="113"/>
      <c r="L157" s="113"/>
      <c r="M157" s="81"/>
      <c r="O157" s="72" t="str">
        <f t="shared" si="36"/>
        <v/>
      </c>
      <c r="P157" s="72" t="str">
        <f t="shared" si="37"/>
        <v/>
      </c>
      <c r="Q157" s="72" t="str">
        <f t="shared" si="38"/>
        <v/>
      </c>
      <c r="R157" s="72" t="str">
        <f t="shared" si="39"/>
        <v/>
      </c>
      <c r="AB157" t="s">
        <v>956</v>
      </c>
      <c r="AC157" t="s">
        <v>1001</v>
      </c>
      <c r="AD157" s="72" t="s">
        <v>5159</v>
      </c>
      <c r="AE157" s="72" t="s">
        <v>5160</v>
      </c>
      <c r="AF157" s="72" t="s">
        <v>5165</v>
      </c>
      <c r="AG157" s="72" t="s">
        <v>5177</v>
      </c>
    </row>
    <row r="158" spans="1:33">
      <c r="A158" s="76" t="str">
        <f>IF(C158="","",VLOOKUP('OPĆI DIO'!$C$3,'OPĆI DIO'!$L$6:$U$138,10,FALSE))</f>
        <v/>
      </c>
      <c r="B158" s="76" t="str">
        <f>IF(C158="","",VLOOKUP('OPĆI DIO'!$C$3,'OPĆI DIO'!$L$6:$U$138,9,FALSE))</f>
        <v/>
      </c>
      <c r="C158" s="82"/>
      <c r="D158" s="77" t="str">
        <f t="shared" si="35"/>
        <v/>
      </c>
      <c r="E158" s="82"/>
      <c r="F158" s="77" t="str">
        <f t="shared" si="28"/>
        <v/>
      </c>
      <c r="G158" s="114"/>
      <c r="H158" s="77" t="str">
        <f t="shared" si="33"/>
        <v/>
      </c>
      <c r="I158" s="77" t="str">
        <f t="shared" si="34"/>
        <v/>
      </c>
      <c r="J158" s="113"/>
      <c r="K158" s="113"/>
      <c r="L158" s="113"/>
      <c r="M158" s="81"/>
      <c r="O158" s="72" t="str">
        <f t="shared" si="36"/>
        <v/>
      </c>
      <c r="P158" s="72" t="str">
        <f t="shared" si="37"/>
        <v/>
      </c>
      <c r="Q158" s="72" t="str">
        <f t="shared" si="38"/>
        <v/>
      </c>
      <c r="R158" s="72" t="str">
        <f t="shared" si="39"/>
        <v/>
      </c>
      <c r="AB158" t="s">
        <v>3482</v>
      </c>
      <c r="AC158" t="s">
        <v>3483</v>
      </c>
      <c r="AD158" s="72" t="s">
        <v>5143</v>
      </c>
      <c r="AE158" s="72" t="s">
        <v>5144</v>
      </c>
      <c r="AF158" s="72" t="s">
        <v>5165</v>
      </c>
      <c r="AG158" s="72" t="s">
        <v>5175</v>
      </c>
    </row>
    <row r="159" spans="1:33">
      <c r="A159" s="76" t="str">
        <f>IF(C159="","",VLOOKUP('OPĆI DIO'!$C$3,'OPĆI DIO'!$L$6:$U$138,10,FALSE))</f>
        <v/>
      </c>
      <c r="B159" s="76" t="str">
        <f>IF(C159="","",VLOOKUP('OPĆI DIO'!$C$3,'OPĆI DIO'!$L$6:$U$138,9,FALSE))</f>
        <v/>
      </c>
      <c r="C159" s="82"/>
      <c r="D159" s="77" t="str">
        <f t="shared" si="35"/>
        <v/>
      </c>
      <c r="E159" s="82"/>
      <c r="F159" s="77" t="str">
        <f t="shared" si="28"/>
        <v/>
      </c>
      <c r="G159" s="114"/>
      <c r="H159" s="77" t="str">
        <f t="shared" si="33"/>
        <v/>
      </c>
      <c r="I159" s="77" t="str">
        <f t="shared" si="34"/>
        <v/>
      </c>
      <c r="J159" s="309"/>
      <c r="K159" s="309"/>
      <c r="L159" s="309"/>
      <c r="M159" s="81"/>
      <c r="O159" s="72" t="str">
        <f t="shared" si="36"/>
        <v/>
      </c>
      <c r="P159" s="72" t="str">
        <f t="shared" si="37"/>
        <v/>
      </c>
      <c r="Q159" s="72" t="str">
        <f t="shared" si="38"/>
        <v/>
      </c>
      <c r="R159" s="72" t="str">
        <f t="shared" si="39"/>
        <v/>
      </c>
      <c r="AB159" t="s">
        <v>48</v>
      </c>
      <c r="AC159" t="s">
        <v>49</v>
      </c>
      <c r="AD159" s="72" t="s">
        <v>5147</v>
      </c>
      <c r="AE159" s="72" t="s">
        <v>5148</v>
      </c>
      <c r="AF159" s="72" t="s">
        <v>5165</v>
      </c>
      <c r="AG159" s="72" t="s">
        <v>5173</v>
      </c>
    </row>
    <row r="160" spans="1:33">
      <c r="A160" s="76" t="str">
        <f>IF(C160="","",VLOOKUP('OPĆI DIO'!$C$3,'OPĆI DIO'!$L$6:$U$138,10,FALSE))</f>
        <v/>
      </c>
      <c r="B160" s="76" t="str">
        <f>IF(C160="","",VLOOKUP('OPĆI DIO'!$C$3,'OPĆI DIO'!$L$6:$U$138,9,FALSE))</f>
        <v/>
      </c>
      <c r="C160" s="82"/>
      <c r="D160" s="77" t="str">
        <f t="shared" si="35"/>
        <v/>
      </c>
      <c r="E160" s="82"/>
      <c r="F160" s="77" t="str">
        <f t="shared" si="28"/>
        <v/>
      </c>
      <c r="G160" s="114"/>
      <c r="H160" s="77" t="str">
        <f t="shared" si="33"/>
        <v/>
      </c>
      <c r="I160" s="77" t="str">
        <f t="shared" si="34"/>
        <v/>
      </c>
      <c r="J160" s="309"/>
      <c r="K160" s="309"/>
      <c r="L160" s="309"/>
      <c r="M160" s="81"/>
      <c r="N160" s="322">
        <f>SUM(J3:J154)</f>
        <v>5254516</v>
      </c>
      <c r="O160" s="72" t="str">
        <f t="shared" si="36"/>
        <v/>
      </c>
      <c r="P160" s="72" t="str">
        <f t="shared" si="37"/>
        <v/>
      </c>
      <c r="Q160" s="72" t="str">
        <f t="shared" si="38"/>
        <v/>
      </c>
      <c r="R160" s="72" t="str">
        <f t="shared" si="39"/>
        <v/>
      </c>
      <c r="AB160" t="s">
        <v>58</v>
      </c>
      <c r="AC160" t="s">
        <v>59</v>
      </c>
      <c r="AD160" s="72" t="s">
        <v>5147</v>
      </c>
      <c r="AE160" s="72" t="s">
        <v>5148</v>
      </c>
      <c r="AF160" s="72" t="s">
        <v>5165</v>
      </c>
      <c r="AG160" s="72" t="s">
        <v>5173</v>
      </c>
    </row>
    <row r="161" spans="1:33">
      <c r="A161" s="76" t="str">
        <f>IF(C161="","",VLOOKUP('OPĆI DIO'!$C$3,'OPĆI DIO'!$L$6:$U$138,10,FALSE))</f>
        <v/>
      </c>
      <c r="B161" s="76" t="str">
        <f>IF(C161="","",VLOOKUP('OPĆI DIO'!$C$3,'OPĆI DIO'!$L$6:$U$138,9,FALSE))</f>
        <v/>
      </c>
      <c r="C161" s="82"/>
      <c r="D161" s="77" t="str">
        <f t="shared" si="35"/>
        <v/>
      </c>
      <c r="E161" s="82"/>
      <c r="F161" s="77" t="str">
        <f t="shared" si="28"/>
        <v/>
      </c>
      <c r="G161" s="114"/>
      <c r="H161" s="77" t="str">
        <f t="shared" si="33"/>
        <v/>
      </c>
      <c r="I161" s="77" t="str">
        <f t="shared" si="34"/>
        <v/>
      </c>
      <c r="J161" s="309"/>
      <c r="K161" s="309"/>
      <c r="L161" s="309"/>
      <c r="M161" s="81"/>
      <c r="N161" s="322">
        <f>SUM('Unos rashoda P4'!H3:H113)</f>
        <v>3198263</v>
      </c>
      <c r="O161" s="72" t="str">
        <f t="shared" si="36"/>
        <v/>
      </c>
      <c r="P161" s="72" t="str">
        <f t="shared" si="37"/>
        <v/>
      </c>
      <c r="Q161" s="72" t="str">
        <f t="shared" si="38"/>
        <v/>
      </c>
      <c r="R161" s="72" t="str">
        <f t="shared" si="39"/>
        <v/>
      </c>
      <c r="AB161" t="s">
        <v>61</v>
      </c>
      <c r="AC161" t="s">
        <v>62</v>
      </c>
      <c r="AD161" s="72" t="s">
        <v>5147</v>
      </c>
      <c r="AE161" s="72" t="s">
        <v>5148</v>
      </c>
      <c r="AF161" s="72" t="s">
        <v>5165</v>
      </c>
      <c r="AG161" s="72" t="s">
        <v>5173</v>
      </c>
    </row>
    <row r="162" spans="1:33">
      <c r="A162" s="76" t="str">
        <f>IF(C162="","",VLOOKUP('OPĆI DIO'!$C$3,'OPĆI DIO'!$L$6:$U$138,10,FALSE))</f>
        <v/>
      </c>
      <c r="B162" s="76" t="str">
        <f>IF(C162="","",VLOOKUP('OPĆI DIO'!$C$3,'OPĆI DIO'!$L$6:$U$138,9,FALSE))</f>
        <v/>
      </c>
      <c r="C162" s="82"/>
      <c r="D162" s="77" t="str">
        <f t="shared" si="35"/>
        <v/>
      </c>
      <c r="E162" s="82"/>
      <c r="F162" s="77" t="str">
        <f t="shared" si="28"/>
        <v/>
      </c>
      <c r="G162" s="114"/>
      <c r="H162" s="77" t="str">
        <f t="shared" si="33"/>
        <v/>
      </c>
      <c r="I162" s="77" t="str">
        <f t="shared" si="34"/>
        <v/>
      </c>
      <c r="J162" s="309"/>
      <c r="K162" s="309"/>
      <c r="L162" s="309"/>
      <c r="M162" s="81"/>
      <c r="N162" s="322">
        <f>+N161+N160</f>
        <v>8452779</v>
      </c>
      <c r="O162" s="72" t="str">
        <f t="shared" si="36"/>
        <v/>
      </c>
      <c r="P162" s="72" t="str">
        <f t="shared" si="37"/>
        <v/>
      </c>
      <c r="Q162" s="72" t="str">
        <f t="shared" si="38"/>
        <v/>
      </c>
      <c r="R162" s="72" t="str">
        <f t="shared" si="39"/>
        <v/>
      </c>
      <c r="AB162" t="s">
        <v>63</v>
      </c>
      <c r="AC162" t="s">
        <v>64</v>
      </c>
      <c r="AD162" s="72" t="s">
        <v>5147</v>
      </c>
      <c r="AE162" s="72" t="s">
        <v>5148</v>
      </c>
      <c r="AF162" s="72" t="s">
        <v>5165</v>
      </c>
      <c r="AG162" s="72" t="s">
        <v>5173</v>
      </c>
    </row>
    <row r="163" spans="1:33">
      <c r="A163" s="76" t="str">
        <f>IF(C163="","",VLOOKUP('OPĆI DIO'!$C$3,'OPĆI DIO'!$L$6:$U$138,10,FALSE))</f>
        <v/>
      </c>
      <c r="B163" s="76" t="str">
        <f>IF(C163="","",VLOOKUP('OPĆI DIO'!$C$3,'OPĆI DIO'!$L$6:$U$138,9,FALSE))</f>
        <v/>
      </c>
      <c r="C163" s="82"/>
      <c r="D163" s="77" t="str">
        <f t="shared" si="35"/>
        <v/>
      </c>
      <c r="E163" s="82"/>
      <c r="F163" s="77" t="str">
        <f t="shared" si="28"/>
        <v/>
      </c>
      <c r="G163" s="114"/>
      <c r="H163" s="77" t="str">
        <f t="shared" si="33"/>
        <v/>
      </c>
      <c r="I163" s="77" t="str">
        <f t="shared" si="34"/>
        <v/>
      </c>
      <c r="J163" s="309"/>
      <c r="K163" s="309"/>
      <c r="L163" s="309"/>
      <c r="M163" s="81"/>
      <c r="N163" s="322">
        <f>+J156+'Unos rashoda P4'!H116</f>
        <v>0</v>
      </c>
      <c r="O163" s="72" t="str">
        <f t="shared" si="36"/>
        <v/>
      </c>
      <c r="P163" s="72" t="str">
        <f t="shared" si="37"/>
        <v/>
      </c>
      <c r="Q163" s="72" t="str">
        <f t="shared" si="38"/>
        <v/>
      </c>
      <c r="R163" s="72" t="str">
        <f t="shared" si="39"/>
        <v/>
      </c>
      <c r="AB163" t="s">
        <v>674</v>
      </c>
      <c r="AC163" t="s">
        <v>675</v>
      </c>
      <c r="AD163" s="72" t="s">
        <v>5147</v>
      </c>
      <c r="AE163" s="72" t="s">
        <v>5148</v>
      </c>
      <c r="AF163" s="72" t="s">
        <v>5165</v>
      </c>
      <c r="AG163" s="72" t="s">
        <v>5173</v>
      </c>
    </row>
    <row r="164" spans="1:33">
      <c r="A164" s="76" t="str">
        <f>IF(C164="","",VLOOKUP('OPĆI DIO'!$C$3,'OPĆI DIO'!$L$6:$U$138,10,FALSE))</f>
        <v/>
      </c>
      <c r="B164" s="76" t="str">
        <f>IF(C164="","",VLOOKUP('OPĆI DIO'!$C$3,'OPĆI DIO'!$L$6:$U$138,9,FALSE))</f>
        <v/>
      </c>
      <c r="C164" s="82"/>
      <c r="D164" s="77" t="str">
        <f t="shared" si="35"/>
        <v/>
      </c>
      <c r="E164" s="82"/>
      <c r="F164" s="77" t="str">
        <f t="shared" si="28"/>
        <v/>
      </c>
      <c r="G164" s="114"/>
      <c r="H164" s="77" t="str">
        <f t="shared" si="33"/>
        <v/>
      </c>
      <c r="I164" s="77" t="str">
        <f t="shared" si="34"/>
        <v/>
      </c>
      <c r="J164" s="309"/>
      <c r="K164" s="309"/>
      <c r="L164" s="309"/>
      <c r="M164" s="81"/>
      <c r="N164" s="322">
        <f>+N162+N163</f>
        <v>8452779</v>
      </c>
      <c r="O164" s="72" t="str">
        <f t="shared" si="36"/>
        <v/>
      </c>
      <c r="P164" s="72" t="str">
        <f t="shared" si="37"/>
        <v/>
      </c>
      <c r="Q164" s="72" t="str">
        <f t="shared" si="38"/>
        <v/>
      </c>
      <c r="R164" s="72" t="str">
        <f t="shared" si="39"/>
        <v/>
      </c>
      <c r="AB164" t="s">
        <v>68</v>
      </c>
      <c r="AC164" t="s">
        <v>69</v>
      </c>
      <c r="AD164" s="72" t="s">
        <v>5147</v>
      </c>
      <c r="AE164" s="72" t="s">
        <v>5148</v>
      </c>
      <c r="AF164" s="72" t="s">
        <v>5165</v>
      </c>
      <c r="AG164" s="72" t="s">
        <v>5173</v>
      </c>
    </row>
    <row r="165" spans="1:33">
      <c r="A165" s="76" t="str">
        <f>IF(C165="","",VLOOKUP('OPĆI DIO'!$C$3,'OPĆI DIO'!$L$6:$U$138,10,FALSE))</f>
        <v/>
      </c>
      <c r="B165" s="76" t="str">
        <f>IF(C165="","",VLOOKUP('OPĆI DIO'!$C$3,'OPĆI DIO'!$L$6:$U$138,9,FALSE))</f>
        <v/>
      </c>
      <c r="C165" s="82"/>
      <c r="D165" s="77" t="str">
        <f t="shared" si="35"/>
        <v/>
      </c>
      <c r="E165" s="82"/>
      <c r="F165" s="77" t="str">
        <f t="shared" si="28"/>
        <v/>
      </c>
      <c r="G165" s="114"/>
      <c r="H165" s="77" t="str">
        <f t="shared" si="33"/>
        <v/>
      </c>
      <c r="I165" s="77" t="str">
        <f t="shared" si="34"/>
        <v/>
      </c>
      <c r="J165" s="309"/>
      <c r="K165" s="309"/>
      <c r="L165" s="309"/>
      <c r="M165" s="81"/>
      <c r="O165" s="72" t="str">
        <f t="shared" si="36"/>
        <v/>
      </c>
      <c r="P165" s="72" t="str">
        <f t="shared" si="37"/>
        <v/>
      </c>
      <c r="Q165" s="72" t="str">
        <f t="shared" si="38"/>
        <v/>
      </c>
      <c r="R165" s="72" t="str">
        <f t="shared" si="39"/>
        <v/>
      </c>
      <c r="AB165" t="s">
        <v>70</v>
      </c>
      <c r="AC165" t="s">
        <v>71</v>
      </c>
      <c r="AD165" s="72" t="s">
        <v>5147</v>
      </c>
      <c r="AE165" s="72" t="s">
        <v>5148</v>
      </c>
      <c r="AF165" s="72" t="s">
        <v>5165</v>
      </c>
      <c r="AG165" s="72" t="s">
        <v>5173</v>
      </c>
    </row>
    <row r="166" spans="1:33">
      <c r="A166" s="76" t="str">
        <f>IF(C166="","",VLOOKUP('OPĆI DIO'!$C$3,'OPĆI DIO'!$L$6:$U$138,10,FALSE))</f>
        <v/>
      </c>
      <c r="B166" s="76" t="str">
        <f>IF(C166="","",VLOOKUP('OPĆI DIO'!$C$3,'OPĆI DIO'!$L$6:$U$138,9,FALSE))</f>
        <v/>
      </c>
      <c r="C166" s="82"/>
      <c r="D166" s="77" t="str">
        <f t="shared" si="35"/>
        <v/>
      </c>
      <c r="E166" s="82"/>
      <c r="F166" s="77" t="str">
        <f t="shared" ref="F166:F229" si="40">IFERROR(VLOOKUP(E166,$V$5:$X$139,2,FALSE),"")</f>
        <v/>
      </c>
      <c r="G166" s="114"/>
      <c r="H166" s="77" t="str">
        <f t="shared" si="33"/>
        <v/>
      </c>
      <c r="I166" s="77" t="str">
        <f t="shared" si="34"/>
        <v/>
      </c>
      <c r="J166" s="113"/>
      <c r="K166" s="113"/>
      <c r="L166" s="113"/>
      <c r="M166" s="81"/>
      <c r="O166" s="72" t="str">
        <f t="shared" si="36"/>
        <v/>
      </c>
      <c r="P166" s="72" t="str">
        <f t="shared" si="37"/>
        <v/>
      </c>
      <c r="Q166" s="72" t="str">
        <f t="shared" si="38"/>
        <v/>
      </c>
      <c r="R166" s="72" t="str">
        <f t="shared" si="39"/>
        <v/>
      </c>
      <c r="AB166" s="72" t="s">
        <v>72</v>
      </c>
      <c r="AC166" s="72" t="s">
        <v>73</v>
      </c>
      <c r="AD166" s="72" t="s">
        <v>5147</v>
      </c>
      <c r="AE166" s="72" t="s">
        <v>5148</v>
      </c>
      <c r="AF166" s="72" t="s">
        <v>5165</v>
      </c>
      <c r="AG166" s="72" t="s">
        <v>5173</v>
      </c>
    </row>
    <row r="167" spans="1:33">
      <c r="A167" s="76" t="str">
        <f>IF(C167="","",VLOOKUP('OPĆI DIO'!$C$3,'OPĆI DIO'!$L$6:$U$138,10,FALSE))</f>
        <v/>
      </c>
      <c r="B167" s="76" t="str">
        <f>IF(C167="","",VLOOKUP('OPĆI DIO'!$C$3,'OPĆI DIO'!$L$6:$U$138,9,FALSE))</f>
        <v/>
      </c>
      <c r="C167" s="82"/>
      <c r="D167" s="77" t="str">
        <f t="shared" si="35"/>
        <v/>
      </c>
      <c r="E167" s="82"/>
      <c r="F167" s="77" t="str">
        <f t="shared" si="40"/>
        <v/>
      </c>
      <c r="G167" s="114"/>
      <c r="H167" s="77" t="str">
        <f t="shared" si="33"/>
        <v/>
      </c>
      <c r="I167" s="77" t="str">
        <f t="shared" si="34"/>
        <v/>
      </c>
      <c r="J167" s="113"/>
      <c r="K167" s="113"/>
      <c r="L167" s="113"/>
      <c r="M167" s="81"/>
      <c r="N167" s="322"/>
      <c r="O167" s="72" t="str">
        <f t="shared" si="36"/>
        <v/>
      </c>
      <c r="P167" s="72" t="str">
        <f t="shared" si="37"/>
        <v/>
      </c>
      <c r="Q167" s="72" t="str">
        <f t="shared" si="38"/>
        <v/>
      </c>
      <c r="R167" s="72" t="str">
        <f t="shared" si="39"/>
        <v/>
      </c>
      <c r="AB167" s="72" t="s">
        <v>75</v>
      </c>
      <c r="AC167" s="72" t="s">
        <v>76</v>
      </c>
      <c r="AD167" s="72" t="s">
        <v>5147</v>
      </c>
      <c r="AE167" s="72" t="s">
        <v>5148</v>
      </c>
      <c r="AF167" s="72" t="s">
        <v>5165</v>
      </c>
      <c r="AG167" s="72" t="s">
        <v>5173</v>
      </c>
    </row>
    <row r="168" spans="1:33">
      <c r="A168" s="76" t="str">
        <f>IF(C168="","",VLOOKUP('OPĆI DIO'!$C$3,'OPĆI DIO'!$L$6:$U$138,10,FALSE))</f>
        <v/>
      </c>
      <c r="B168" s="76" t="str">
        <f>IF(C168="","",VLOOKUP('OPĆI DIO'!$C$3,'OPĆI DIO'!$L$6:$U$138,9,FALSE))</f>
        <v/>
      </c>
      <c r="C168" s="82"/>
      <c r="D168" s="77" t="str">
        <f t="shared" si="35"/>
        <v/>
      </c>
      <c r="E168" s="82"/>
      <c r="F168" s="77" t="str">
        <f t="shared" si="40"/>
        <v/>
      </c>
      <c r="G168" s="114"/>
      <c r="H168" s="77" t="str">
        <f t="shared" si="33"/>
        <v/>
      </c>
      <c r="I168" s="77" t="str">
        <f t="shared" si="34"/>
        <v/>
      </c>
      <c r="J168" s="113"/>
      <c r="K168" s="113"/>
      <c r="L168" s="113"/>
      <c r="M168" s="81"/>
      <c r="O168" s="72" t="str">
        <f t="shared" si="36"/>
        <v/>
      </c>
      <c r="P168" s="72" t="str">
        <f t="shared" si="37"/>
        <v/>
      </c>
      <c r="Q168" s="72" t="str">
        <f t="shared" si="38"/>
        <v/>
      </c>
      <c r="R168" s="72" t="str">
        <f t="shared" si="39"/>
        <v/>
      </c>
      <c r="AB168" s="72" t="s">
        <v>678</v>
      </c>
      <c r="AC168" s="72" t="s">
        <v>679</v>
      </c>
      <c r="AD168" s="72" t="s">
        <v>5147</v>
      </c>
      <c r="AE168" s="72" t="s">
        <v>5148</v>
      </c>
      <c r="AF168" s="72" t="s">
        <v>5165</v>
      </c>
      <c r="AG168" s="72" t="s">
        <v>5173</v>
      </c>
    </row>
    <row r="169" spans="1:33">
      <c r="A169" s="76" t="str">
        <f>IF(C169="","",VLOOKUP('OPĆI DIO'!$C$3,'OPĆI DIO'!$L$6:$U$138,10,FALSE))</f>
        <v/>
      </c>
      <c r="B169" s="76" t="str">
        <f>IF(C169="","",VLOOKUP('OPĆI DIO'!$C$3,'OPĆI DIO'!$L$6:$U$138,9,FALSE))</f>
        <v/>
      </c>
      <c r="C169" s="82"/>
      <c r="D169" s="77" t="str">
        <f t="shared" si="35"/>
        <v/>
      </c>
      <c r="E169" s="82"/>
      <c r="F169" s="77" t="str">
        <f t="shared" si="40"/>
        <v/>
      </c>
      <c r="G169" s="114"/>
      <c r="H169" s="77" t="str">
        <f t="shared" si="33"/>
        <v/>
      </c>
      <c r="I169" s="77" t="str">
        <f t="shared" si="34"/>
        <v/>
      </c>
      <c r="J169" s="113"/>
      <c r="K169" s="113"/>
      <c r="L169" s="113"/>
      <c r="M169" s="81"/>
      <c r="N169" s="322"/>
      <c r="O169" s="72" t="str">
        <f t="shared" si="36"/>
        <v/>
      </c>
      <c r="P169" s="72" t="str">
        <f t="shared" si="37"/>
        <v/>
      </c>
      <c r="Q169" s="72" t="str">
        <f t="shared" si="38"/>
        <v/>
      </c>
      <c r="R169" s="72" t="str">
        <f t="shared" si="39"/>
        <v/>
      </c>
      <c r="AB169" s="72" t="s">
        <v>1873</v>
      </c>
      <c r="AC169" s="72" t="s">
        <v>933</v>
      </c>
      <c r="AD169" s="72" t="s">
        <v>5147</v>
      </c>
      <c r="AE169" s="72" t="s">
        <v>5148</v>
      </c>
      <c r="AF169" s="72" t="s">
        <v>5165</v>
      </c>
      <c r="AG169" s="72" t="s">
        <v>5173</v>
      </c>
    </row>
    <row r="170" spans="1:33">
      <c r="A170" s="76" t="str">
        <f>IF(C170="","",VLOOKUP('OPĆI DIO'!$C$3,'OPĆI DIO'!$L$6:$U$138,10,FALSE))</f>
        <v/>
      </c>
      <c r="B170" s="76" t="str">
        <f>IF(C170="","",VLOOKUP('OPĆI DIO'!$C$3,'OPĆI DIO'!$L$6:$U$138,9,FALSE))</f>
        <v/>
      </c>
      <c r="C170" s="82"/>
      <c r="D170" s="77" t="str">
        <f t="shared" si="35"/>
        <v/>
      </c>
      <c r="E170" s="82"/>
      <c r="F170" s="77" t="str">
        <f t="shared" si="40"/>
        <v/>
      </c>
      <c r="G170" s="114"/>
      <c r="H170" s="77" t="str">
        <f t="shared" si="33"/>
        <v/>
      </c>
      <c r="I170" s="77" t="str">
        <f t="shared" si="34"/>
        <v/>
      </c>
      <c r="J170" s="113"/>
      <c r="K170" s="113"/>
      <c r="L170" s="113"/>
      <c r="M170" s="81"/>
      <c r="O170" s="72" t="str">
        <f t="shared" si="36"/>
        <v/>
      </c>
      <c r="P170" s="72" t="str">
        <f t="shared" si="37"/>
        <v/>
      </c>
      <c r="Q170" s="72" t="str">
        <f t="shared" si="38"/>
        <v/>
      </c>
      <c r="R170" s="72" t="str">
        <f t="shared" si="39"/>
        <v/>
      </c>
      <c r="AB170" s="72" t="s">
        <v>934</v>
      </c>
      <c r="AC170" s="72" t="s">
        <v>935</v>
      </c>
      <c r="AD170" s="72" t="s">
        <v>5147</v>
      </c>
      <c r="AE170" s="72" t="s">
        <v>5148</v>
      </c>
      <c r="AF170" s="72" t="s">
        <v>5165</v>
      </c>
      <c r="AG170" s="72" t="s">
        <v>5173</v>
      </c>
    </row>
    <row r="171" spans="1:33">
      <c r="A171" s="76" t="str">
        <f>IF(C171="","",VLOOKUP('OPĆI DIO'!$C$3,'OPĆI DIO'!$L$6:$U$138,10,FALSE))</f>
        <v/>
      </c>
      <c r="B171" s="76" t="str">
        <f>IF(C171="","",VLOOKUP('OPĆI DIO'!$C$3,'OPĆI DIO'!$L$6:$U$138,9,FALSE))</f>
        <v/>
      </c>
      <c r="C171" s="82"/>
      <c r="D171" s="77" t="str">
        <f t="shared" si="35"/>
        <v/>
      </c>
      <c r="E171" s="82"/>
      <c r="F171" s="77" t="str">
        <f t="shared" si="40"/>
        <v/>
      </c>
      <c r="G171" s="114"/>
      <c r="H171" s="77" t="str">
        <f t="shared" si="33"/>
        <v/>
      </c>
      <c r="I171" s="77" t="str">
        <f t="shared" si="34"/>
        <v/>
      </c>
      <c r="J171" s="113"/>
      <c r="K171" s="113"/>
      <c r="L171" s="113"/>
      <c r="M171" s="81"/>
      <c r="O171" s="72" t="str">
        <f t="shared" si="36"/>
        <v/>
      </c>
      <c r="P171" s="72" t="str">
        <f t="shared" si="37"/>
        <v/>
      </c>
      <c r="Q171" s="72" t="str">
        <f t="shared" si="38"/>
        <v/>
      </c>
      <c r="R171" s="72" t="str">
        <f t="shared" si="39"/>
        <v/>
      </c>
      <c r="AB171" s="72" t="s">
        <v>680</v>
      </c>
      <c r="AC171" s="72" t="s">
        <v>681</v>
      </c>
      <c r="AD171" s="72" t="s">
        <v>5147</v>
      </c>
      <c r="AE171" s="72" t="s">
        <v>5148</v>
      </c>
      <c r="AF171" s="72" t="s">
        <v>5165</v>
      </c>
      <c r="AG171" s="72" t="s">
        <v>5173</v>
      </c>
    </row>
    <row r="172" spans="1:33">
      <c r="A172" s="76" t="str">
        <f>IF(C172="","",VLOOKUP('OPĆI DIO'!$C$3,'OPĆI DIO'!$L$6:$U$138,10,FALSE))</f>
        <v/>
      </c>
      <c r="B172" s="76" t="str">
        <f>IF(C172="","",VLOOKUP('OPĆI DIO'!$C$3,'OPĆI DIO'!$L$6:$U$138,9,FALSE))</f>
        <v/>
      </c>
      <c r="C172" s="82"/>
      <c r="D172" s="77" t="str">
        <f t="shared" si="35"/>
        <v/>
      </c>
      <c r="E172" s="82"/>
      <c r="F172" s="77" t="str">
        <f t="shared" si="40"/>
        <v/>
      </c>
      <c r="G172" s="114"/>
      <c r="H172" s="77" t="str">
        <f t="shared" si="33"/>
        <v/>
      </c>
      <c r="I172" s="77" t="str">
        <f t="shared" si="34"/>
        <v/>
      </c>
      <c r="J172" s="113"/>
      <c r="K172" s="113"/>
      <c r="L172" s="113"/>
      <c r="M172" s="81"/>
      <c r="O172" s="72" t="str">
        <f t="shared" si="36"/>
        <v/>
      </c>
      <c r="P172" s="72" t="str">
        <f t="shared" si="37"/>
        <v/>
      </c>
      <c r="Q172" s="72" t="str">
        <f t="shared" si="38"/>
        <v/>
      </c>
      <c r="R172" s="72" t="str">
        <f t="shared" si="39"/>
        <v/>
      </c>
      <c r="AB172" s="72" t="s">
        <v>672</v>
      </c>
      <c r="AC172" s="72" t="s">
        <v>673</v>
      </c>
      <c r="AD172" s="72" t="s">
        <v>5147</v>
      </c>
      <c r="AE172" s="72" t="s">
        <v>5148</v>
      </c>
      <c r="AF172" s="72" t="s">
        <v>5165</v>
      </c>
      <c r="AG172" s="72" t="s">
        <v>5173</v>
      </c>
    </row>
    <row r="173" spans="1:33">
      <c r="A173" s="76" t="str">
        <f>IF(C173="","",VLOOKUP('OPĆI DIO'!$C$3,'OPĆI DIO'!$L$6:$U$138,10,FALSE))</f>
        <v/>
      </c>
      <c r="B173" s="76" t="str">
        <f>IF(C173="","",VLOOKUP('OPĆI DIO'!$C$3,'OPĆI DIO'!$L$6:$U$138,9,FALSE))</f>
        <v/>
      </c>
      <c r="C173" s="82"/>
      <c r="D173" s="77" t="str">
        <f t="shared" si="35"/>
        <v/>
      </c>
      <c r="E173" s="82"/>
      <c r="F173" s="77" t="str">
        <f t="shared" si="40"/>
        <v/>
      </c>
      <c r="G173" s="114"/>
      <c r="H173" s="77" t="str">
        <f t="shared" si="33"/>
        <v/>
      </c>
      <c r="I173" s="77" t="str">
        <f t="shared" si="34"/>
        <v/>
      </c>
      <c r="J173" s="113"/>
      <c r="K173" s="113"/>
      <c r="L173" s="113"/>
      <c r="M173" s="81"/>
      <c r="O173" s="72" t="str">
        <f t="shared" si="36"/>
        <v/>
      </c>
      <c r="P173" s="72" t="str">
        <f t="shared" si="37"/>
        <v/>
      </c>
      <c r="Q173" s="72" t="str">
        <f t="shared" si="38"/>
        <v/>
      </c>
      <c r="R173" s="72" t="str">
        <f t="shared" si="39"/>
        <v/>
      </c>
      <c r="AB173" s="72" t="s">
        <v>92</v>
      </c>
      <c r="AC173" s="72" t="s">
        <v>1737</v>
      </c>
      <c r="AD173" s="72" t="s">
        <v>5147</v>
      </c>
      <c r="AE173" s="72" t="s">
        <v>5148</v>
      </c>
      <c r="AF173" s="72" t="s">
        <v>5165</v>
      </c>
      <c r="AG173" s="72" t="s">
        <v>5173</v>
      </c>
    </row>
    <row r="174" spans="1:33">
      <c r="A174" s="76" t="str">
        <f>IF(C174="","",VLOOKUP('OPĆI DIO'!$C$3,'OPĆI DIO'!$L$6:$U$138,10,FALSE))</f>
        <v/>
      </c>
      <c r="B174" s="76" t="str">
        <f>IF(C174="","",VLOOKUP('OPĆI DIO'!$C$3,'OPĆI DIO'!$L$6:$U$138,9,FALSE))</f>
        <v/>
      </c>
      <c r="C174" s="82"/>
      <c r="D174" s="77" t="str">
        <f t="shared" si="35"/>
        <v/>
      </c>
      <c r="E174" s="82"/>
      <c r="F174" s="77" t="str">
        <f t="shared" si="40"/>
        <v/>
      </c>
      <c r="G174" s="114"/>
      <c r="H174" s="77" t="str">
        <f t="shared" si="33"/>
        <v/>
      </c>
      <c r="I174" s="77" t="str">
        <f t="shared" si="34"/>
        <v/>
      </c>
      <c r="J174" s="113"/>
      <c r="K174" s="113"/>
      <c r="L174" s="113"/>
      <c r="M174" s="81"/>
      <c r="O174" s="72" t="str">
        <f t="shared" si="36"/>
        <v/>
      </c>
      <c r="P174" s="72" t="str">
        <f t="shared" si="37"/>
        <v/>
      </c>
      <c r="Q174" s="72" t="str">
        <f t="shared" si="38"/>
        <v/>
      </c>
      <c r="R174" s="72" t="str">
        <f t="shared" si="39"/>
        <v/>
      </c>
      <c r="AB174" s="72" t="s">
        <v>117</v>
      </c>
      <c r="AC174" s="72" t="s">
        <v>1738</v>
      </c>
      <c r="AD174" s="72" t="s">
        <v>5147</v>
      </c>
      <c r="AE174" s="72" t="s">
        <v>5148</v>
      </c>
      <c r="AF174" s="72" t="s">
        <v>5165</v>
      </c>
      <c r="AG174" s="72" t="s">
        <v>5173</v>
      </c>
    </row>
    <row r="175" spans="1:33">
      <c r="A175" s="76" t="str">
        <f>IF(C175="","",VLOOKUP('OPĆI DIO'!$C$3,'OPĆI DIO'!$L$6:$U$138,10,FALSE))</f>
        <v/>
      </c>
      <c r="B175" s="76" t="str">
        <f>IF(C175="","",VLOOKUP('OPĆI DIO'!$C$3,'OPĆI DIO'!$L$6:$U$138,9,FALSE))</f>
        <v/>
      </c>
      <c r="C175" s="82"/>
      <c r="D175" s="77" t="str">
        <f t="shared" si="35"/>
        <v/>
      </c>
      <c r="E175" s="82"/>
      <c r="F175" s="77" t="str">
        <f t="shared" si="40"/>
        <v/>
      </c>
      <c r="G175" s="114"/>
      <c r="H175" s="77" t="str">
        <f t="shared" si="33"/>
        <v/>
      </c>
      <c r="I175" s="77" t="str">
        <f t="shared" si="34"/>
        <v/>
      </c>
      <c r="J175" s="113"/>
      <c r="K175" s="113"/>
      <c r="L175" s="113"/>
      <c r="M175" s="81"/>
      <c r="O175" s="72" t="str">
        <f t="shared" si="36"/>
        <v/>
      </c>
      <c r="P175" s="72" t="str">
        <f t="shared" si="37"/>
        <v/>
      </c>
      <c r="Q175" s="72" t="str">
        <f t="shared" si="38"/>
        <v/>
      </c>
      <c r="R175" s="72" t="str">
        <f t="shared" si="39"/>
        <v/>
      </c>
      <c r="AB175" s="72" t="s">
        <v>1908</v>
      </c>
      <c r="AC175" s="72" t="s">
        <v>1909</v>
      </c>
      <c r="AD175" s="72" t="s">
        <v>5147</v>
      </c>
      <c r="AE175" s="72" t="s">
        <v>5148</v>
      </c>
      <c r="AF175" s="72" t="s">
        <v>5165</v>
      </c>
      <c r="AG175" s="72" t="s">
        <v>5173</v>
      </c>
    </row>
    <row r="176" spans="1:33">
      <c r="A176" s="76" t="str">
        <f>IF(C176="","",VLOOKUP('OPĆI DIO'!$C$3,'OPĆI DIO'!$L$6:$U$138,10,FALSE))</f>
        <v/>
      </c>
      <c r="B176" s="76" t="str">
        <f>IF(C176="","",VLOOKUP('OPĆI DIO'!$C$3,'OPĆI DIO'!$L$6:$U$138,9,FALSE))</f>
        <v/>
      </c>
      <c r="C176" s="82"/>
      <c r="D176" s="77" t="str">
        <f t="shared" si="35"/>
        <v/>
      </c>
      <c r="E176" s="82"/>
      <c r="F176" s="77" t="str">
        <f t="shared" si="40"/>
        <v/>
      </c>
      <c r="G176" s="114"/>
      <c r="H176" s="77" t="str">
        <f t="shared" si="33"/>
        <v/>
      </c>
      <c r="I176" s="77" t="str">
        <f t="shared" si="34"/>
        <v/>
      </c>
      <c r="J176" s="113"/>
      <c r="K176" s="113"/>
      <c r="L176" s="113"/>
      <c r="M176" s="81"/>
      <c r="O176" s="72" t="str">
        <f t="shared" si="36"/>
        <v/>
      </c>
      <c r="P176" s="72" t="str">
        <f t="shared" si="37"/>
        <v/>
      </c>
      <c r="Q176" s="72" t="str">
        <f t="shared" si="38"/>
        <v/>
      </c>
      <c r="R176" s="72" t="str">
        <f t="shared" si="39"/>
        <v/>
      </c>
      <c r="AB176" s="72" t="s">
        <v>124</v>
      </c>
      <c r="AC176" s="72" t="s">
        <v>1739</v>
      </c>
      <c r="AD176" s="72" t="s">
        <v>5147</v>
      </c>
      <c r="AE176" s="72" t="s">
        <v>5148</v>
      </c>
      <c r="AF176" s="72" t="s">
        <v>5165</v>
      </c>
      <c r="AG176" s="72" t="s">
        <v>5173</v>
      </c>
    </row>
    <row r="177" spans="1:33">
      <c r="A177" s="76" t="str">
        <f>IF(C177="","",VLOOKUP('OPĆI DIO'!$C$3,'OPĆI DIO'!$L$6:$U$138,10,FALSE))</f>
        <v/>
      </c>
      <c r="B177" s="76" t="str">
        <f>IF(C177="","",VLOOKUP('OPĆI DIO'!$C$3,'OPĆI DIO'!$L$6:$U$138,9,FALSE))</f>
        <v/>
      </c>
      <c r="C177" s="82"/>
      <c r="D177" s="77" t="str">
        <f t="shared" si="35"/>
        <v/>
      </c>
      <c r="E177" s="82"/>
      <c r="F177" s="77" t="str">
        <f t="shared" si="40"/>
        <v/>
      </c>
      <c r="G177" s="114"/>
      <c r="H177" s="77" t="str">
        <f t="shared" si="33"/>
        <v/>
      </c>
      <c r="I177" s="77" t="str">
        <f t="shared" si="34"/>
        <v/>
      </c>
      <c r="J177" s="113"/>
      <c r="K177" s="113"/>
      <c r="L177" s="113"/>
      <c r="M177" s="81"/>
      <c r="O177" s="72" t="str">
        <f t="shared" si="36"/>
        <v/>
      </c>
      <c r="P177" s="72" t="str">
        <f t="shared" si="37"/>
        <v/>
      </c>
      <c r="Q177" s="72" t="str">
        <f t="shared" si="38"/>
        <v/>
      </c>
      <c r="R177" s="72" t="str">
        <f t="shared" si="39"/>
        <v/>
      </c>
      <c r="AB177" s="72" t="s">
        <v>130</v>
      </c>
      <c r="AC177" s="72" t="s">
        <v>1740</v>
      </c>
      <c r="AD177" s="72" t="s">
        <v>5147</v>
      </c>
      <c r="AE177" s="72" t="s">
        <v>5148</v>
      </c>
      <c r="AF177" s="72" t="s">
        <v>5165</v>
      </c>
      <c r="AG177" s="72" t="s">
        <v>5173</v>
      </c>
    </row>
    <row r="178" spans="1:33">
      <c r="A178" s="76" t="str">
        <f>IF(C178="","",VLOOKUP('OPĆI DIO'!$C$3,'OPĆI DIO'!$L$6:$U$138,10,FALSE))</f>
        <v/>
      </c>
      <c r="B178" s="76" t="str">
        <f>IF(C178="","",VLOOKUP('OPĆI DIO'!$C$3,'OPĆI DIO'!$L$6:$U$138,9,FALSE))</f>
        <v/>
      </c>
      <c r="C178" s="82"/>
      <c r="D178" s="77" t="str">
        <f t="shared" si="35"/>
        <v/>
      </c>
      <c r="E178" s="82"/>
      <c r="F178" s="77" t="str">
        <f t="shared" si="40"/>
        <v/>
      </c>
      <c r="G178" s="114"/>
      <c r="H178" s="77" t="str">
        <f t="shared" si="33"/>
        <v/>
      </c>
      <c r="I178" s="77" t="str">
        <f t="shared" si="34"/>
        <v/>
      </c>
      <c r="J178" s="113"/>
      <c r="K178" s="113"/>
      <c r="L178" s="113"/>
      <c r="M178" s="81"/>
      <c r="O178" s="72" t="str">
        <f t="shared" si="36"/>
        <v/>
      </c>
      <c r="P178" s="72" t="str">
        <f t="shared" si="37"/>
        <v/>
      </c>
      <c r="Q178" s="72" t="str">
        <f t="shared" si="38"/>
        <v/>
      </c>
      <c r="R178" s="72" t="str">
        <f t="shared" si="39"/>
        <v/>
      </c>
      <c r="AB178" s="72" t="s">
        <v>132</v>
      </c>
      <c r="AC178" s="72" t="s">
        <v>1741</v>
      </c>
      <c r="AD178" s="72" t="s">
        <v>5147</v>
      </c>
      <c r="AE178" s="72" t="s">
        <v>5148</v>
      </c>
      <c r="AF178" s="72" t="s">
        <v>5165</v>
      </c>
      <c r="AG178" s="72" t="s">
        <v>5173</v>
      </c>
    </row>
    <row r="179" spans="1:33">
      <c r="A179" s="76" t="str">
        <f>IF(C179="","",VLOOKUP('OPĆI DIO'!$C$3,'OPĆI DIO'!$L$6:$U$138,10,FALSE))</f>
        <v/>
      </c>
      <c r="B179" s="76" t="str">
        <f>IF(C179="","",VLOOKUP('OPĆI DIO'!$C$3,'OPĆI DIO'!$L$6:$U$138,9,FALSE))</f>
        <v/>
      </c>
      <c r="C179" s="82"/>
      <c r="D179" s="77" t="str">
        <f t="shared" si="35"/>
        <v/>
      </c>
      <c r="E179" s="82"/>
      <c r="F179" s="77" t="str">
        <f t="shared" si="40"/>
        <v/>
      </c>
      <c r="G179" s="114"/>
      <c r="H179" s="77" t="str">
        <f t="shared" si="33"/>
        <v/>
      </c>
      <c r="I179" s="77" t="str">
        <f t="shared" si="34"/>
        <v/>
      </c>
      <c r="J179" s="113"/>
      <c r="K179" s="113"/>
      <c r="L179" s="113"/>
      <c r="M179" s="81"/>
      <c r="O179" s="72" t="str">
        <f t="shared" si="36"/>
        <v/>
      </c>
      <c r="P179" s="72" t="str">
        <f t="shared" si="37"/>
        <v/>
      </c>
      <c r="Q179" s="72" t="str">
        <f t="shared" si="38"/>
        <v/>
      </c>
      <c r="R179" s="72" t="str">
        <f t="shared" si="39"/>
        <v/>
      </c>
      <c r="AB179" s="72" t="s">
        <v>134</v>
      </c>
      <c r="AC179" s="72" t="s">
        <v>1910</v>
      </c>
      <c r="AD179" s="72" t="s">
        <v>5147</v>
      </c>
      <c r="AE179" s="72" t="s">
        <v>5148</v>
      </c>
      <c r="AF179" s="72" t="s">
        <v>5165</v>
      </c>
      <c r="AG179" s="72" t="s">
        <v>5173</v>
      </c>
    </row>
    <row r="180" spans="1:33">
      <c r="A180" s="76" t="str">
        <f>IF(C180="","",VLOOKUP('OPĆI DIO'!$C$3,'OPĆI DIO'!$L$6:$U$138,10,FALSE))</f>
        <v/>
      </c>
      <c r="B180" s="76" t="str">
        <f>IF(C180="","",VLOOKUP('OPĆI DIO'!$C$3,'OPĆI DIO'!$L$6:$U$138,9,FALSE))</f>
        <v/>
      </c>
      <c r="C180" s="82"/>
      <c r="D180" s="77" t="str">
        <f t="shared" si="35"/>
        <v/>
      </c>
      <c r="E180" s="82"/>
      <c r="F180" s="77" t="str">
        <f t="shared" si="40"/>
        <v/>
      </c>
      <c r="G180" s="114"/>
      <c r="H180" s="77" t="str">
        <f t="shared" si="33"/>
        <v/>
      </c>
      <c r="I180" s="77" t="str">
        <f t="shared" si="34"/>
        <v/>
      </c>
      <c r="J180" s="113"/>
      <c r="K180" s="113"/>
      <c r="L180" s="113"/>
      <c r="M180" s="81"/>
      <c r="O180" s="72" t="str">
        <f t="shared" si="36"/>
        <v/>
      </c>
      <c r="P180" s="72" t="str">
        <f t="shared" si="37"/>
        <v/>
      </c>
      <c r="Q180" s="72" t="str">
        <f t="shared" si="38"/>
        <v/>
      </c>
      <c r="R180" s="72" t="str">
        <f t="shared" si="39"/>
        <v/>
      </c>
      <c r="AB180" s="72" t="s">
        <v>138</v>
      </c>
      <c r="AC180" s="72" t="s">
        <v>1911</v>
      </c>
      <c r="AD180" s="72" t="s">
        <v>5147</v>
      </c>
      <c r="AE180" s="72" t="s">
        <v>5148</v>
      </c>
      <c r="AF180" s="72" t="s">
        <v>5165</v>
      </c>
      <c r="AG180" s="72" t="s">
        <v>5173</v>
      </c>
    </row>
    <row r="181" spans="1:33">
      <c r="A181" s="76" t="str">
        <f>IF(C181="","",VLOOKUP('OPĆI DIO'!$C$3,'OPĆI DIO'!$L$6:$U$138,10,FALSE))</f>
        <v/>
      </c>
      <c r="B181" s="76" t="str">
        <f>IF(C181="","",VLOOKUP('OPĆI DIO'!$C$3,'OPĆI DIO'!$L$6:$U$138,9,FALSE))</f>
        <v/>
      </c>
      <c r="C181" s="82"/>
      <c r="D181" s="77" t="str">
        <f t="shared" si="35"/>
        <v/>
      </c>
      <c r="E181" s="82"/>
      <c r="F181" s="77" t="str">
        <f t="shared" si="40"/>
        <v/>
      </c>
      <c r="G181" s="114"/>
      <c r="H181" s="77" t="str">
        <f t="shared" si="33"/>
        <v/>
      </c>
      <c r="I181" s="77" t="str">
        <f t="shared" si="34"/>
        <v/>
      </c>
      <c r="J181" s="113"/>
      <c r="K181" s="113"/>
      <c r="L181" s="113"/>
      <c r="M181" s="81"/>
      <c r="O181" s="72" t="str">
        <f t="shared" si="36"/>
        <v/>
      </c>
      <c r="P181" s="72" t="str">
        <f t="shared" si="37"/>
        <v/>
      </c>
      <c r="Q181" s="72" t="str">
        <f t="shared" si="38"/>
        <v/>
      </c>
      <c r="R181" s="72" t="str">
        <f t="shared" si="39"/>
        <v/>
      </c>
      <c r="AB181" s="72" t="s">
        <v>1655</v>
      </c>
      <c r="AC181" s="72" t="s">
        <v>1656</v>
      </c>
      <c r="AD181" s="72" t="s">
        <v>5147</v>
      </c>
      <c r="AE181" s="72" t="s">
        <v>5148</v>
      </c>
      <c r="AF181" s="72" t="s">
        <v>5165</v>
      </c>
      <c r="AG181" s="72" t="s">
        <v>5173</v>
      </c>
    </row>
    <row r="182" spans="1:33">
      <c r="A182" s="76" t="str">
        <f>IF(C182="","",VLOOKUP('OPĆI DIO'!$C$3,'OPĆI DIO'!$L$6:$U$138,10,FALSE))</f>
        <v/>
      </c>
      <c r="B182" s="76" t="str">
        <f>IF(C182="","",VLOOKUP('OPĆI DIO'!$C$3,'OPĆI DIO'!$L$6:$U$138,9,FALSE))</f>
        <v/>
      </c>
      <c r="C182" s="82"/>
      <c r="D182" s="77" t="str">
        <f t="shared" si="35"/>
        <v/>
      </c>
      <c r="E182" s="82"/>
      <c r="F182" s="77" t="str">
        <f t="shared" si="40"/>
        <v/>
      </c>
      <c r="G182" s="114"/>
      <c r="H182" s="77" t="str">
        <f t="shared" si="33"/>
        <v/>
      </c>
      <c r="I182" s="77" t="str">
        <f t="shared" si="34"/>
        <v/>
      </c>
      <c r="J182" s="113"/>
      <c r="K182" s="113"/>
      <c r="L182" s="113"/>
      <c r="M182" s="81"/>
      <c r="O182" s="72" t="str">
        <f t="shared" si="36"/>
        <v/>
      </c>
      <c r="P182" s="72" t="str">
        <f t="shared" si="37"/>
        <v/>
      </c>
      <c r="Q182" s="72" t="str">
        <f t="shared" si="38"/>
        <v/>
      </c>
      <c r="R182" s="72" t="str">
        <f t="shared" si="39"/>
        <v/>
      </c>
      <c r="AB182" s="72" t="s">
        <v>142</v>
      </c>
      <c r="AC182" s="72" t="s">
        <v>143</v>
      </c>
      <c r="AD182" s="72" t="s">
        <v>5147</v>
      </c>
      <c r="AE182" s="72" t="s">
        <v>5148</v>
      </c>
      <c r="AF182" s="72" t="s">
        <v>5165</v>
      </c>
      <c r="AG182" s="72" t="s">
        <v>5173</v>
      </c>
    </row>
    <row r="183" spans="1:33">
      <c r="A183" s="76" t="str">
        <f>IF(C183="","",VLOOKUP('OPĆI DIO'!$C$3,'OPĆI DIO'!$L$6:$U$138,10,FALSE))</f>
        <v/>
      </c>
      <c r="B183" s="76" t="str">
        <f>IF(C183="","",VLOOKUP('OPĆI DIO'!$C$3,'OPĆI DIO'!$L$6:$U$138,9,FALSE))</f>
        <v/>
      </c>
      <c r="C183" s="82"/>
      <c r="D183" s="77" t="str">
        <f t="shared" si="35"/>
        <v/>
      </c>
      <c r="E183" s="82"/>
      <c r="F183" s="77" t="str">
        <f t="shared" si="40"/>
        <v/>
      </c>
      <c r="G183" s="114"/>
      <c r="H183" s="77" t="str">
        <f t="shared" si="33"/>
        <v/>
      </c>
      <c r="I183" s="77" t="str">
        <f t="shared" si="34"/>
        <v/>
      </c>
      <c r="J183" s="113"/>
      <c r="K183" s="113"/>
      <c r="L183" s="113"/>
      <c r="M183" s="81"/>
      <c r="O183" s="72" t="str">
        <f t="shared" si="36"/>
        <v/>
      </c>
      <c r="P183" s="72" t="str">
        <f t="shared" si="37"/>
        <v/>
      </c>
      <c r="Q183" s="72" t="str">
        <f t="shared" si="38"/>
        <v/>
      </c>
      <c r="R183" s="72" t="str">
        <f t="shared" si="39"/>
        <v/>
      </c>
      <c r="AB183" s="72" t="s">
        <v>142</v>
      </c>
      <c r="AC183" s="72" t="s">
        <v>143</v>
      </c>
      <c r="AD183" s="72" t="s">
        <v>5157</v>
      </c>
      <c r="AE183" s="72" t="s">
        <v>5158</v>
      </c>
      <c r="AF183" s="72" t="s">
        <v>5165</v>
      </c>
      <c r="AG183" s="72" t="s">
        <v>5178</v>
      </c>
    </row>
    <row r="184" spans="1:33">
      <c r="A184" s="76" t="str">
        <f>IF(C184="","",VLOOKUP('OPĆI DIO'!$C$3,'OPĆI DIO'!$L$6:$U$138,10,FALSE))</f>
        <v/>
      </c>
      <c r="B184" s="76" t="str">
        <f>IF(C184="","",VLOOKUP('OPĆI DIO'!$C$3,'OPĆI DIO'!$L$6:$U$138,9,FALSE))</f>
        <v/>
      </c>
      <c r="C184" s="82"/>
      <c r="D184" s="77" t="str">
        <f t="shared" si="35"/>
        <v/>
      </c>
      <c r="E184" s="82"/>
      <c r="F184" s="77" t="str">
        <f t="shared" si="40"/>
        <v/>
      </c>
      <c r="G184" s="114"/>
      <c r="H184" s="77" t="str">
        <f t="shared" si="33"/>
        <v/>
      </c>
      <c r="I184" s="77" t="str">
        <f t="shared" si="34"/>
        <v/>
      </c>
      <c r="J184" s="113"/>
      <c r="K184" s="113"/>
      <c r="L184" s="113"/>
      <c r="M184" s="81"/>
      <c r="O184" s="72" t="str">
        <f t="shared" si="36"/>
        <v/>
      </c>
      <c r="P184" s="72" t="str">
        <f t="shared" si="37"/>
        <v/>
      </c>
      <c r="Q184" s="72" t="str">
        <f t="shared" si="38"/>
        <v/>
      </c>
      <c r="R184" s="72" t="str">
        <f t="shared" si="39"/>
        <v/>
      </c>
      <c r="AB184" s="72" t="s">
        <v>144</v>
      </c>
      <c r="AC184" s="72" t="s">
        <v>1742</v>
      </c>
      <c r="AD184" s="72" t="s">
        <v>5147</v>
      </c>
      <c r="AE184" s="72" t="s">
        <v>5148</v>
      </c>
      <c r="AF184" s="72" t="s">
        <v>5165</v>
      </c>
      <c r="AG184" s="72" t="s">
        <v>5173</v>
      </c>
    </row>
    <row r="185" spans="1:33">
      <c r="A185" s="76" t="str">
        <f>IF(C185="","",VLOOKUP('OPĆI DIO'!$C$3,'OPĆI DIO'!$L$6:$U$138,10,FALSE))</f>
        <v/>
      </c>
      <c r="B185" s="76" t="str">
        <f>IF(C185="","",VLOOKUP('OPĆI DIO'!$C$3,'OPĆI DIO'!$L$6:$U$138,9,FALSE))</f>
        <v/>
      </c>
      <c r="C185" s="82"/>
      <c r="D185" s="77" t="str">
        <f t="shared" si="35"/>
        <v/>
      </c>
      <c r="E185" s="82"/>
      <c r="F185" s="77" t="str">
        <f t="shared" si="40"/>
        <v/>
      </c>
      <c r="G185" s="114"/>
      <c r="H185" s="77" t="str">
        <f t="shared" si="33"/>
        <v/>
      </c>
      <c r="I185" s="77" t="str">
        <f t="shared" si="34"/>
        <v/>
      </c>
      <c r="J185" s="113"/>
      <c r="K185" s="113"/>
      <c r="L185" s="113"/>
      <c r="M185" s="81"/>
      <c r="O185" s="72" t="str">
        <f t="shared" si="36"/>
        <v/>
      </c>
      <c r="P185" s="72" t="str">
        <f t="shared" si="37"/>
        <v/>
      </c>
      <c r="Q185" s="72" t="str">
        <f t="shared" si="38"/>
        <v/>
      </c>
      <c r="R185" s="72" t="str">
        <f t="shared" si="39"/>
        <v/>
      </c>
      <c r="AB185" s="72" t="s">
        <v>145</v>
      </c>
      <c r="AC185" s="72" t="s">
        <v>1234</v>
      </c>
      <c r="AD185" s="72" t="s">
        <v>5147</v>
      </c>
      <c r="AE185" s="72" t="s">
        <v>5148</v>
      </c>
      <c r="AF185" s="72" t="s">
        <v>5165</v>
      </c>
      <c r="AG185" s="72" t="s">
        <v>5173</v>
      </c>
    </row>
    <row r="186" spans="1:33">
      <c r="A186" s="76" t="str">
        <f>IF(C186="","",VLOOKUP('OPĆI DIO'!$C$3,'OPĆI DIO'!$L$6:$U$138,10,FALSE))</f>
        <v/>
      </c>
      <c r="B186" s="76" t="str">
        <f>IF(C186="","",VLOOKUP('OPĆI DIO'!$C$3,'OPĆI DIO'!$L$6:$U$138,9,FALSE))</f>
        <v/>
      </c>
      <c r="C186" s="82"/>
      <c r="D186" s="77" t="str">
        <f t="shared" si="35"/>
        <v/>
      </c>
      <c r="E186" s="82"/>
      <c r="F186" s="77" t="str">
        <f t="shared" si="40"/>
        <v/>
      </c>
      <c r="G186" s="114"/>
      <c r="H186" s="77" t="str">
        <f t="shared" si="33"/>
        <v/>
      </c>
      <c r="I186" s="77" t="str">
        <f t="shared" si="34"/>
        <v/>
      </c>
      <c r="J186" s="113"/>
      <c r="K186" s="113"/>
      <c r="L186" s="113"/>
      <c r="M186" s="81"/>
      <c r="O186" s="72" t="str">
        <f t="shared" si="36"/>
        <v/>
      </c>
      <c r="P186" s="72" t="str">
        <f t="shared" si="37"/>
        <v/>
      </c>
      <c r="Q186" s="72" t="str">
        <f t="shared" si="38"/>
        <v/>
      </c>
      <c r="R186" s="72" t="str">
        <f t="shared" si="39"/>
        <v/>
      </c>
      <c r="AB186" s="72" t="s">
        <v>174</v>
      </c>
      <c r="AC186" s="72" t="s">
        <v>1235</v>
      </c>
      <c r="AD186" s="72" t="s">
        <v>5147</v>
      </c>
      <c r="AE186" s="72" t="s">
        <v>5148</v>
      </c>
      <c r="AF186" s="72" t="s">
        <v>5165</v>
      </c>
      <c r="AG186" s="72" t="s">
        <v>5173</v>
      </c>
    </row>
    <row r="187" spans="1:33">
      <c r="A187" s="76" t="str">
        <f>IF(C187="","",VLOOKUP('OPĆI DIO'!$C$3,'OPĆI DIO'!$L$6:$U$138,10,FALSE))</f>
        <v/>
      </c>
      <c r="B187" s="76" t="str">
        <f>IF(C187="","",VLOOKUP('OPĆI DIO'!$C$3,'OPĆI DIO'!$L$6:$U$138,9,FALSE))</f>
        <v/>
      </c>
      <c r="C187" s="82"/>
      <c r="D187" s="77" t="str">
        <f t="shared" si="35"/>
        <v/>
      </c>
      <c r="E187" s="82"/>
      <c r="F187" s="77" t="str">
        <f t="shared" si="40"/>
        <v/>
      </c>
      <c r="G187" s="114"/>
      <c r="H187" s="77" t="str">
        <f t="shared" si="33"/>
        <v/>
      </c>
      <c r="I187" s="77" t="str">
        <f t="shared" si="34"/>
        <v/>
      </c>
      <c r="J187" s="113"/>
      <c r="K187" s="113"/>
      <c r="L187" s="113"/>
      <c r="M187" s="81"/>
      <c r="O187" s="72" t="str">
        <f t="shared" si="36"/>
        <v/>
      </c>
      <c r="P187" s="72" t="str">
        <f t="shared" si="37"/>
        <v/>
      </c>
      <c r="Q187" s="72" t="str">
        <f t="shared" si="38"/>
        <v/>
      </c>
      <c r="R187" s="72" t="str">
        <f t="shared" si="39"/>
        <v/>
      </c>
      <c r="AB187" s="72" t="s">
        <v>177</v>
      </c>
      <c r="AC187" s="72" t="s">
        <v>1236</v>
      </c>
      <c r="AD187" s="72" t="s">
        <v>5147</v>
      </c>
      <c r="AE187" s="72" t="s">
        <v>5148</v>
      </c>
      <c r="AF187" s="72" t="s">
        <v>5165</v>
      </c>
      <c r="AG187" s="72" t="s">
        <v>5173</v>
      </c>
    </row>
    <row r="188" spans="1:33">
      <c r="A188" s="76" t="str">
        <f>IF(C188="","",VLOOKUP('OPĆI DIO'!$C$3,'OPĆI DIO'!$L$6:$U$138,10,FALSE))</f>
        <v/>
      </c>
      <c r="B188" s="76" t="str">
        <f>IF(C188="","",VLOOKUP('OPĆI DIO'!$C$3,'OPĆI DIO'!$L$6:$U$138,9,FALSE))</f>
        <v/>
      </c>
      <c r="C188" s="82"/>
      <c r="D188" s="77" t="str">
        <f t="shared" si="35"/>
        <v/>
      </c>
      <c r="E188" s="82"/>
      <c r="F188" s="77" t="str">
        <f t="shared" si="40"/>
        <v/>
      </c>
      <c r="G188" s="114"/>
      <c r="H188" s="77" t="str">
        <f t="shared" si="33"/>
        <v/>
      </c>
      <c r="I188" s="77" t="str">
        <f t="shared" si="34"/>
        <v/>
      </c>
      <c r="J188" s="113"/>
      <c r="K188" s="113"/>
      <c r="L188" s="113"/>
      <c r="M188" s="81"/>
      <c r="O188" s="72" t="str">
        <f t="shared" si="36"/>
        <v/>
      </c>
      <c r="P188" s="72" t="str">
        <f t="shared" si="37"/>
        <v/>
      </c>
      <c r="Q188" s="72" t="str">
        <f t="shared" si="38"/>
        <v/>
      </c>
      <c r="R188" s="72" t="str">
        <f t="shared" si="39"/>
        <v/>
      </c>
      <c r="AB188" s="72" t="s">
        <v>180</v>
      </c>
      <c r="AC188" s="72" t="s">
        <v>1237</v>
      </c>
      <c r="AD188" s="72" t="s">
        <v>5147</v>
      </c>
      <c r="AE188" s="72" t="s">
        <v>5148</v>
      </c>
      <c r="AF188" s="72" t="s">
        <v>5165</v>
      </c>
      <c r="AG188" s="72" t="s">
        <v>5173</v>
      </c>
    </row>
    <row r="189" spans="1:33">
      <c r="A189" s="76" t="str">
        <f>IF(C189="","",VLOOKUP('OPĆI DIO'!$C$3,'OPĆI DIO'!$L$6:$U$138,10,FALSE))</f>
        <v/>
      </c>
      <c r="B189" s="76" t="str">
        <f>IF(C189="","",VLOOKUP('OPĆI DIO'!$C$3,'OPĆI DIO'!$L$6:$U$138,9,FALSE))</f>
        <v/>
      </c>
      <c r="C189" s="82"/>
      <c r="D189" s="77" t="str">
        <f t="shared" si="35"/>
        <v/>
      </c>
      <c r="E189" s="82"/>
      <c r="F189" s="77" t="str">
        <f t="shared" si="40"/>
        <v/>
      </c>
      <c r="G189" s="114"/>
      <c r="H189" s="77" t="str">
        <f t="shared" si="33"/>
        <v/>
      </c>
      <c r="I189" s="77" t="str">
        <f t="shared" si="34"/>
        <v/>
      </c>
      <c r="J189" s="113"/>
      <c r="K189" s="113"/>
      <c r="L189" s="113"/>
      <c r="M189" s="81"/>
      <c r="O189" s="72" t="str">
        <f t="shared" si="36"/>
        <v/>
      </c>
      <c r="P189" s="72" t="str">
        <f t="shared" si="37"/>
        <v/>
      </c>
      <c r="Q189" s="72" t="str">
        <f t="shared" si="38"/>
        <v/>
      </c>
      <c r="R189" s="72" t="str">
        <f t="shared" si="39"/>
        <v/>
      </c>
      <c r="AB189" s="72" t="s">
        <v>184</v>
      </c>
      <c r="AC189" s="72" t="s">
        <v>1238</v>
      </c>
      <c r="AD189" s="72" t="s">
        <v>5147</v>
      </c>
      <c r="AE189" s="72" t="s">
        <v>5148</v>
      </c>
      <c r="AF189" s="72" t="s">
        <v>5165</v>
      </c>
      <c r="AG189" s="72" t="s">
        <v>5173</v>
      </c>
    </row>
    <row r="190" spans="1:33">
      <c r="A190" s="76" t="str">
        <f>IF(C190="","",VLOOKUP('OPĆI DIO'!$C$3,'OPĆI DIO'!$L$6:$U$138,10,FALSE))</f>
        <v/>
      </c>
      <c r="B190" s="76" t="str">
        <f>IF(C190="","",VLOOKUP('OPĆI DIO'!$C$3,'OPĆI DIO'!$L$6:$U$138,9,FALSE))</f>
        <v/>
      </c>
      <c r="C190" s="82"/>
      <c r="D190" s="77" t="str">
        <f t="shared" si="35"/>
        <v/>
      </c>
      <c r="E190" s="82"/>
      <c r="F190" s="77" t="str">
        <f t="shared" si="40"/>
        <v/>
      </c>
      <c r="G190" s="114"/>
      <c r="H190" s="77" t="str">
        <f t="shared" si="33"/>
        <v/>
      </c>
      <c r="I190" s="77" t="str">
        <f t="shared" si="34"/>
        <v/>
      </c>
      <c r="J190" s="113"/>
      <c r="K190" s="113"/>
      <c r="L190" s="113"/>
      <c r="M190" s="81"/>
      <c r="O190" s="72" t="str">
        <f t="shared" si="36"/>
        <v/>
      </c>
      <c r="P190" s="72" t="str">
        <f t="shared" si="37"/>
        <v/>
      </c>
      <c r="Q190" s="72" t="str">
        <f t="shared" si="38"/>
        <v/>
      </c>
      <c r="R190" s="72" t="str">
        <f t="shared" si="39"/>
        <v/>
      </c>
      <c r="AB190" s="72" t="s">
        <v>185</v>
      </c>
      <c r="AC190" s="72" t="s">
        <v>1239</v>
      </c>
      <c r="AD190" s="72" t="s">
        <v>5147</v>
      </c>
      <c r="AE190" s="72" t="s">
        <v>5148</v>
      </c>
      <c r="AF190" s="72" t="s">
        <v>5165</v>
      </c>
      <c r="AG190" s="72" t="s">
        <v>5173</v>
      </c>
    </row>
    <row r="191" spans="1:33">
      <c r="A191" s="76" t="str">
        <f>IF(C191="","",VLOOKUP('OPĆI DIO'!$C$3,'OPĆI DIO'!$L$6:$U$138,10,FALSE))</f>
        <v/>
      </c>
      <c r="B191" s="76" t="str">
        <f>IF(C191="","",VLOOKUP('OPĆI DIO'!$C$3,'OPĆI DIO'!$L$6:$U$138,9,FALSE))</f>
        <v/>
      </c>
      <c r="C191" s="82"/>
      <c r="D191" s="77" t="str">
        <f t="shared" si="35"/>
        <v/>
      </c>
      <c r="E191" s="82"/>
      <c r="F191" s="77" t="str">
        <f t="shared" si="40"/>
        <v/>
      </c>
      <c r="G191" s="114"/>
      <c r="H191" s="77" t="str">
        <f t="shared" si="33"/>
        <v/>
      </c>
      <c r="I191" s="77" t="str">
        <f t="shared" si="34"/>
        <v/>
      </c>
      <c r="J191" s="113"/>
      <c r="K191" s="113"/>
      <c r="L191" s="113"/>
      <c r="M191" s="81"/>
      <c r="O191" s="72" t="str">
        <f t="shared" si="36"/>
        <v/>
      </c>
      <c r="P191" s="72" t="str">
        <f t="shared" si="37"/>
        <v/>
      </c>
      <c r="Q191" s="72" t="str">
        <f t="shared" si="38"/>
        <v/>
      </c>
      <c r="R191" s="72" t="str">
        <f t="shared" si="39"/>
        <v/>
      </c>
      <c r="AB191" s="72" t="s">
        <v>187</v>
      </c>
      <c r="AC191" s="72" t="s">
        <v>1240</v>
      </c>
      <c r="AD191" s="72" t="s">
        <v>5147</v>
      </c>
      <c r="AE191" s="72" t="s">
        <v>5148</v>
      </c>
      <c r="AF191" s="72" t="s">
        <v>5165</v>
      </c>
      <c r="AG191" s="72" t="s">
        <v>5173</v>
      </c>
    </row>
    <row r="192" spans="1:33">
      <c r="A192" s="76" t="str">
        <f>IF(C192="","",VLOOKUP('OPĆI DIO'!$C$3,'OPĆI DIO'!$L$6:$U$138,10,FALSE))</f>
        <v/>
      </c>
      <c r="B192" s="76" t="str">
        <f>IF(C192="","",VLOOKUP('OPĆI DIO'!$C$3,'OPĆI DIO'!$L$6:$U$138,9,FALSE))</f>
        <v/>
      </c>
      <c r="C192" s="82"/>
      <c r="D192" s="77" t="str">
        <f t="shared" si="35"/>
        <v/>
      </c>
      <c r="E192" s="82"/>
      <c r="F192" s="77" t="str">
        <f t="shared" si="40"/>
        <v/>
      </c>
      <c r="G192" s="114"/>
      <c r="H192" s="77" t="str">
        <f t="shared" si="33"/>
        <v/>
      </c>
      <c r="I192" s="77" t="str">
        <f t="shared" si="34"/>
        <v/>
      </c>
      <c r="J192" s="113"/>
      <c r="K192" s="113"/>
      <c r="L192" s="113"/>
      <c r="M192" s="81"/>
      <c r="O192" s="72" t="str">
        <f t="shared" si="36"/>
        <v/>
      </c>
      <c r="P192" s="72" t="str">
        <f t="shared" si="37"/>
        <v/>
      </c>
      <c r="Q192" s="72" t="str">
        <f t="shared" si="38"/>
        <v/>
      </c>
      <c r="R192" s="72" t="str">
        <f t="shared" si="39"/>
        <v/>
      </c>
      <c r="AB192" s="72" t="s">
        <v>193</v>
      </c>
      <c r="AC192" s="72" t="s">
        <v>1241</v>
      </c>
      <c r="AD192" s="72" t="s">
        <v>5147</v>
      </c>
      <c r="AE192" s="72" t="s">
        <v>5148</v>
      </c>
      <c r="AF192" s="72" t="s">
        <v>5165</v>
      </c>
      <c r="AG192" s="72" t="s">
        <v>5173</v>
      </c>
    </row>
    <row r="193" spans="1:33">
      <c r="A193" s="76" t="str">
        <f>IF(C193="","",VLOOKUP('OPĆI DIO'!$C$3,'OPĆI DIO'!$L$6:$U$138,10,FALSE))</f>
        <v/>
      </c>
      <c r="B193" s="76" t="str">
        <f>IF(C193="","",VLOOKUP('OPĆI DIO'!$C$3,'OPĆI DIO'!$L$6:$U$138,9,FALSE))</f>
        <v/>
      </c>
      <c r="C193" s="82"/>
      <c r="D193" s="77" t="str">
        <f t="shared" si="35"/>
        <v/>
      </c>
      <c r="E193" s="82"/>
      <c r="F193" s="77" t="str">
        <f t="shared" si="40"/>
        <v/>
      </c>
      <c r="G193" s="114"/>
      <c r="H193" s="77" t="str">
        <f t="shared" si="33"/>
        <v/>
      </c>
      <c r="I193" s="77" t="str">
        <f t="shared" si="34"/>
        <v/>
      </c>
      <c r="J193" s="113"/>
      <c r="K193" s="113"/>
      <c r="L193" s="113"/>
      <c r="M193" s="81"/>
      <c r="O193" s="72" t="str">
        <f t="shared" si="36"/>
        <v/>
      </c>
      <c r="P193" s="72" t="str">
        <f t="shared" si="37"/>
        <v/>
      </c>
      <c r="Q193" s="72" t="str">
        <f t="shared" si="38"/>
        <v/>
      </c>
      <c r="R193" s="72" t="str">
        <f t="shared" si="39"/>
        <v/>
      </c>
      <c r="AB193" s="72" t="s">
        <v>194</v>
      </c>
      <c r="AC193" s="72" t="s">
        <v>1242</v>
      </c>
      <c r="AD193" s="72" t="s">
        <v>5147</v>
      </c>
      <c r="AE193" s="72" t="s">
        <v>5148</v>
      </c>
      <c r="AF193" s="72" t="s">
        <v>5165</v>
      </c>
      <c r="AG193" s="72" t="s">
        <v>5173</v>
      </c>
    </row>
    <row r="194" spans="1:33">
      <c r="A194" s="76" t="str">
        <f>IF(C194="","",VLOOKUP('OPĆI DIO'!$C$3,'OPĆI DIO'!$L$6:$U$138,10,FALSE))</f>
        <v/>
      </c>
      <c r="B194" s="76" t="str">
        <f>IF(C194="","",VLOOKUP('OPĆI DIO'!$C$3,'OPĆI DIO'!$L$6:$U$138,9,FALSE))</f>
        <v/>
      </c>
      <c r="C194" s="82"/>
      <c r="D194" s="77" t="str">
        <f t="shared" si="35"/>
        <v/>
      </c>
      <c r="E194" s="82"/>
      <c r="F194" s="77" t="str">
        <f t="shared" si="40"/>
        <v/>
      </c>
      <c r="G194" s="114"/>
      <c r="H194" s="77" t="str">
        <f t="shared" si="33"/>
        <v/>
      </c>
      <c r="I194" s="77" t="str">
        <f t="shared" si="34"/>
        <v/>
      </c>
      <c r="J194" s="113"/>
      <c r="K194" s="113"/>
      <c r="L194" s="113"/>
      <c r="M194" s="81"/>
      <c r="O194" s="72" t="str">
        <f t="shared" si="36"/>
        <v/>
      </c>
      <c r="P194" s="72" t="str">
        <f t="shared" si="37"/>
        <v/>
      </c>
      <c r="Q194" s="72" t="str">
        <f t="shared" si="38"/>
        <v/>
      </c>
      <c r="R194" s="72" t="str">
        <f t="shared" si="39"/>
        <v/>
      </c>
      <c r="AB194" s="72" t="s">
        <v>1912</v>
      </c>
      <c r="AC194" s="72" t="s">
        <v>1913</v>
      </c>
      <c r="AD194" s="72" t="s">
        <v>5147</v>
      </c>
      <c r="AE194" s="72" t="s">
        <v>5148</v>
      </c>
      <c r="AF194" s="72" t="s">
        <v>5165</v>
      </c>
      <c r="AG194" s="72" t="s">
        <v>5173</v>
      </c>
    </row>
    <row r="195" spans="1:33">
      <c r="A195" s="76" t="str">
        <f>IF(C195="","",VLOOKUP('OPĆI DIO'!$C$3,'OPĆI DIO'!$L$6:$U$138,10,FALSE))</f>
        <v/>
      </c>
      <c r="B195" s="76" t="str">
        <f>IF(C195="","",VLOOKUP('OPĆI DIO'!$C$3,'OPĆI DIO'!$L$6:$U$138,9,FALSE))</f>
        <v/>
      </c>
      <c r="C195" s="82"/>
      <c r="D195" s="77" t="str">
        <f t="shared" si="35"/>
        <v/>
      </c>
      <c r="E195" s="82"/>
      <c r="F195" s="77" t="str">
        <f t="shared" si="40"/>
        <v/>
      </c>
      <c r="G195" s="114"/>
      <c r="H195" s="77" t="str">
        <f t="shared" ref="H195:H258" si="41">IFERROR(VLOOKUP(G195,$AB$6:$AC$337,2,FALSE),"")</f>
        <v/>
      </c>
      <c r="I195" s="77" t="str">
        <f t="shared" ref="I195:I258" si="42">IFERROR(VLOOKUP(G195,$AB$6:$AF$337,3,FALSE),"")</f>
        <v/>
      </c>
      <c r="J195" s="113"/>
      <c r="K195" s="113"/>
      <c r="L195" s="113"/>
      <c r="M195" s="81"/>
      <c r="O195" s="72" t="str">
        <f t="shared" si="36"/>
        <v/>
      </c>
      <c r="P195" s="72" t="str">
        <f t="shared" si="37"/>
        <v/>
      </c>
      <c r="Q195" s="72" t="str">
        <f t="shared" si="38"/>
        <v/>
      </c>
      <c r="R195" s="72" t="str">
        <f t="shared" si="39"/>
        <v/>
      </c>
      <c r="AB195" s="72" t="s">
        <v>670</v>
      </c>
      <c r="AC195" s="72" t="s">
        <v>671</v>
      </c>
      <c r="AD195" s="72" t="s">
        <v>5147</v>
      </c>
      <c r="AE195" s="72" t="s">
        <v>5148</v>
      </c>
      <c r="AF195" s="72" t="s">
        <v>5165</v>
      </c>
      <c r="AG195" s="72" t="s">
        <v>5173</v>
      </c>
    </row>
    <row r="196" spans="1:33">
      <c r="A196" s="76" t="str">
        <f>IF(C196="","",VLOOKUP('OPĆI DIO'!$C$3,'OPĆI DIO'!$L$6:$U$138,10,FALSE))</f>
        <v/>
      </c>
      <c r="B196" s="76" t="str">
        <f>IF(C196="","",VLOOKUP('OPĆI DIO'!$C$3,'OPĆI DIO'!$L$6:$U$138,9,FALSE))</f>
        <v/>
      </c>
      <c r="C196" s="82"/>
      <c r="D196" s="77" t="str">
        <f t="shared" si="35"/>
        <v/>
      </c>
      <c r="E196" s="82"/>
      <c r="F196" s="77" t="str">
        <f t="shared" si="40"/>
        <v/>
      </c>
      <c r="G196" s="114"/>
      <c r="H196" s="77" t="str">
        <f t="shared" si="41"/>
        <v/>
      </c>
      <c r="I196" s="77" t="str">
        <f t="shared" si="42"/>
        <v/>
      </c>
      <c r="J196" s="113"/>
      <c r="K196" s="113"/>
      <c r="L196" s="113"/>
      <c r="M196" s="81"/>
      <c r="O196" s="72" t="str">
        <f t="shared" si="36"/>
        <v/>
      </c>
      <c r="P196" s="72" t="str">
        <f t="shared" si="37"/>
        <v/>
      </c>
      <c r="Q196" s="72" t="str">
        <f t="shared" si="38"/>
        <v/>
      </c>
      <c r="R196" s="72" t="str">
        <f t="shared" si="39"/>
        <v/>
      </c>
      <c r="AB196" s="72" t="s">
        <v>1657</v>
      </c>
      <c r="AC196" s="72" t="s">
        <v>1914</v>
      </c>
      <c r="AD196" s="72" t="s">
        <v>5147</v>
      </c>
      <c r="AE196" s="72" t="s">
        <v>5148</v>
      </c>
      <c r="AF196" s="72" t="s">
        <v>5165</v>
      </c>
      <c r="AG196" s="72" t="s">
        <v>5173</v>
      </c>
    </row>
    <row r="197" spans="1:33">
      <c r="A197" s="76" t="str">
        <f>IF(C197="","",VLOOKUP('OPĆI DIO'!$C$3,'OPĆI DIO'!$L$6:$U$138,10,FALSE))</f>
        <v/>
      </c>
      <c r="B197" s="76" t="str">
        <f>IF(C197="","",VLOOKUP('OPĆI DIO'!$C$3,'OPĆI DIO'!$L$6:$U$138,9,FALSE))</f>
        <v/>
      </c>
      <c r="C197" s="82"/>
      <c r="D197" s="77" t="str">
        <f t="shared" si="35"/>
        <v/>
      </c>
      <c r="E197" s="82"/>
      <c r="F197" s="77" t="str">
        <f t="shared" si="40"/>
        <v/>
      </c>
      <c r="G197" s="114"/>
      <c r="H197" s="77" t="str">
        <f t="shared" si="41"/>
        <v/>
      </c>
      <c r="I197" s="77" t="str">
        <f t="shared" si="42"/>
        <v/>
      </c>
      <c r="J197" s="113"/>
      <c r="K197" s="113"/>
      <c r="L197" s="113"/>
      <c r="M197" s="81"/>
      <c r="O197" s="72" t="str">
        <f t="shared" si="36"/>
        <v/>
      </c>
      <c r="P197" s="72" t="str">
        <f t="shared" si="37"/>
        <v/>
      </c>
      <c r="Q197" s="72" t="str">
        <f t="shared" si="38"/>
        <v/>
      </c>
      <c r="R197" s="72" t="str">
        <f t="shared" si="39"/>
        <v/>
      </c>
      <c r="AB197" s="72" t="s">
        <v>1744</v>
      </c>
      <c r="AC197" s="72" t="s">
        <v>1915</v>
      </c>
      <c r="AD197" s="72" t="s">
        <v>5147</v>
      </c>
      <c r="AE197" s="72" t="s">
        <v>5148</v>
      </c>
      <c r="AF197" s="72" t="s">
        <v>5165</v>
      </c>
      <c r="AG197" s="72" t="s">
        <v>5173</v>
      </c>
    </row>
    <row r="198" spans="1:33">
      <c r="A198" s="76" t="str">
        <f>IF(C198="","",VLOOKUP('OPĆI DIO'!$C$3,'OPĆI DIO'!$L$6:$U$138,10,FALSE))</f>
        <v/>
      </c>
      <c r="B198" s="76" t="str">
        <f>IF(C198="","",VLOOKUP('OPĆI DIO'!$C$3,'OPĆI DIO'!$L$6:$U$138,9,FALSE))</f>
        <v/>
      </c>
      <c r="C198" s="82"/>
      <c r="D198" s="77" t="str">
        <f t="shared" si="35"/>
        <v/>
      </c>
      <c r="E198" s="82"/>
      <c r="F198" s="77" t="str">
        <f t="shared" si="40"/>
        <v/>
      </c>
      <c r="G198" s="114"/>
      <c r="H198" s="77" t="str">
        <f t="shared" si="41"/>
        <v/>
      </c>
      <c r="I198" s="77" t="str">
        <f t="shared" si="42"/>
        <v/>
      </c>
      <c r="J198" s="113"/>
      <c r="K198" s="113"/>
      <c r="L198" s="113"/>
      <c r="M198" s="81"/>
      <c r="O198" s="72" t="str">
        <f t="shared" si="36"/>
        <v/>
      </c>
      <c r="P198" s="72" t="str">
        <f t="shared" si="37"/>
        <v/>
      </c>
      <c r="Q198" s="72" t="str">
        <f t="shared" si="38"/>
        <v/>
      </c>
      <c r="R198" s="72" t="str">
        <f t="shared" si="39"/>
        <v/>
      </c>
      <c r="AB198" s="72" t="s">
        <v>1916</v>
      </c>
      <c r="AC198" s="72" t="s">
        <v>1917</v>
      </c>
      <c r="AD198" s="72" t="s">
        <v>5147</v>
      </c>
      <c r="AE198" s="72" t="s">
        <v>5148</v>
      </c>
      <c r="AF198" s="72" t="s">
        <v>5165</v>
      </c>
      <c r="AG198" s="72" t="s">
        <v>5173</v>
      </c>
    </row>
    <row r="199" spans="1:33">
      <c r="A199" s="76" t="str">
        <f>IF(C199="","",VLOOKUP('OPĆI DIO'!$C$3,'OPĆI DIO'!$L$6:$U$138,10,FALSE))</f>
        <v/>
      </c>
      <c r="B199" s="76" t="str">
        <f>IF(C199="","",VLOOKUP('OPĆI DIO'!$C$3,'OPĆI DIO'!$L$6:$U$138,9,FALSE))</f>
        <v/>
      </c>
      <c r="C199" s="82"/>
      <c r="D199" s="77" t="str">
        <f t="shared" si="35"/>
        <v/>
      </c>
      <c r="E199" s="82"/>
      <c r="F199" s="77" t="str">
        <f t="shared" si="40"/>
        <v/>
      </c>
      <c r="G199" s="114"/>
      <c r="H199" s="77" t="str">
        <f t="shared" si="41"/>
        <v/>
      </c>
      <c r="I199" s="77" t="str">
        <f t="shared" si="42"/>
        <v/>
      </c>
      <c r="J199" s="113"/>
      <c r="K199" s="113"/>
      <c r="L199" s="113"/>
      <c r="M199" s="81"/>
      <c r="O199" s="72" t="str">
        <f t="shared" si="36"/>
        <v/>
      </c>
      <c r="P199" s="72" t="str">
        <f t="shared" si="37"/>
        <v/>
      </c>
      <c r="Q199" s="72" t="str">
        <f t="shared" si="38"/>
        <v/>
      </c>
      <c r="R199" s="72" t="str">
        <f t="shared" si="39"/>
        <v/>
      </c>
      <c r="AB199" s="72" t="s">
        <v>1918</v>
      </c>
      <c r="AC199" s="72" t="s">
        <v>1919</v>
      </c>
      <c r="AD199" s="72" t="s">
        <v>5147</v>
      </c>
      <c r="AE199" s="72" t="s">
        <v>5148</v>
      </c>
      <c r="AF199" s="72" t="s">
        <v>5165</v>
      </c>
      <c r="AG199" s="72" t="s">
        <v>5173</v>
      </c>
    </row>
    <row r="200" spans="1:33">
      <c r="A200" s="76" t="str">
        <f>IF(C200="","",VLOOKUP('OPĆI DIO'!$C$3,'OPĆI DIO'!$L$6:$U$138,10,FALSE))</f>
        <v/>
      </c>
      <c r="B200" s="76" t="str">
        <f>IF(C200="","",VLOOKUP('OPĆI DIO'!$C$3,'OPĆI DIO'!$L$6:$U$138,9,FALSE))</f>
        <v/>
      </c>
      <c r="C200" s="82"/>
      <c r="D200" s="77" t="str">
        <f t="shared" si="35"/>
        <v/>
      </c>
      <c r="E200" s="82"/>
      <c r="F200" s="77" t="str">
        <f t="shared" si="40"/>
        <v/>
      </c>
      <c r="G200" s="114"/>
      <c r="H200" s="77" t="str">
        <f t="shared" si="41"/>
        <v/>
      </c>
      <c r="I200" s="77" t="str">
        <f t="shared" si="42"/>
        <v/>
      </c>
      <c r="J200" s="113"/>
      <c r="K200" s="113"/>
      <c r="L200" s="113"/>
      <c r="M200" s="81"/>
      <c r="O200" s="72" t="str">
        <f t="shared" si="36"/>
        <v/>
      </c>
      <c r="P200" s="72" t="str">
        <f t="shared" si="37"/>
        <v/>
      </c>
      <c r="Q200" s="72" t="str">
        <f t="shared" si="38"/>
        <v/>
      </c>
      <c r="R200" s="72" t="str">
        <f t="shared" si="39"/>
        <v/>
      </c>
      <c r="AB200" s="72" t="s">
        <v>3484</v>
      </c>
      <c r="AC200" s="72" t="s">
        <v>3485</v>
      </c>
      <c r="AD200" s="72" t="s">
        <v>5147</v>
      </c>
      <c r="AE200" s="72" t="s">
        <v>5148</v>
      </c>
      <c r="AF200" s="72" t="s">
        <v>5165</v>
      </c>
      <c r="AG200" s="72" t="s">
        <v>5173</v>
      </c>
    </row>
    <row r="201" spans="1:33">
      <c r="A201" s="76" t="str">
        <f>IF(C201="","",VLOOKUP('OPĆI DIO'!$C$3,'OPĆI DIO'!$L$6:$U$138,10,FALSE))</f>
        <v/>
      </c>
      <c r="B201" s="76" t="str">
        <f>IF(C201="","",VLOOKUP('OPĆI DIO'!$C$3,'OPĆI DIO'!$L$6:$U$138,9,FALSE))</f>
        <v/>
      </c>
      <c r="C201" s="82"/>
      <c r="D201" s="77" t="str">
        <f t="shared" si="35"/>
        <v/>
      </c>
      <c r="E201" s="82"/>
      <c r="F201" s="77" t="str">
        <f t="shared" si="40"/>
        <v/>
      </c>
      <c r="G201" s="114"/>
      <c r="H201" s="77" t="str">
        <f t="shared" si="41"/>
        <v/>
      </c>
      <c r="I201" s="77" t="str">
        <f t="shared" si="42"/>
        <v/>
      </c>
      <c r="J201" s="113"/>
      <c r="K201" s="113"/>
      <c r="L201" s="113"/>
      <c r="M201" s="81"/>
      <c r="O201" s="72" t="str">
        <f t="shared" si="36"/>
        <v/>
      </c>
      <c r="P201" s="72" t="str">
        <f t="shared" si="37"/>
        <v/>
      </c>
      <c r="Q201" s="72" t="str">
        <f t="shared" si="38"/>
        <v/>
      </c>
      <c r="R201" s="72" t="str">
        <f t="shared" si="39"/>
        <v/>
      </c>
      <c r="AB201" s="72" t="s">
        <v>676</v>
      </c>
      <c r="AC201" s="72" t="s">
        <v>677</v>
      </c>
      <c r="AD201" s="72" t="s">
        <v>5147</v>
      </c>
      <c r="AE201" s="72" t="s">
        <v>5148</v>
      </c>
      <c r="AF201" s="72" t="s">
        <v>5165</v>
      </c>
      <c r="AG201" s="72" t="s">
        <v>5173</v>
      </c>
    </row>
    <row r="202" spans="1:33">
      <c r="A202" s="76" t="str">
        <f>IF(C202="","",VLOOKUP('OPĆI DIO'!$C$3,'OPĆI DIO'!$L$6:$U$138,10,FALSE))</f>
        <v/>
      </c>
      <c r="B202" s="76" t="str">
        <f>IF(C202="","",VLOOKUP('OPĆI DIO'!$C$3,'OPĆI DIO'!$L$6:$U$138,9,FALSE))</f>
        <v/>
      </c>
      <c r="C202" s="82"/>
      <c r="D202" s="77" t="str">
        <f t="shared" si="35"/>
        <v/>
      </c>
      <c r="E202" s="82"/>
      <c r="F202" s="77" t="str">
        <f t="shared" si="40"/>
        <v/>
      </c>
      <c r="G202" s="114"/>
      <c r="H202" s="77" t="str">
        <f t="shared" si="41"/>
        <v/>
      </c>
      <c r="I202" s="77" t="str">
        <f t="shared" si="42"/>
        <v/>
      </c>
      <c r="J202" s="113"/>
      <c r="K202" s="113"/>
      <c r="L202" s="113"/>
      <c r="M202" s="81"/>
      <c r="O202" s="72" t="str">
        <f t="shared" si="36"/>
        <v/>
      </c>
      <c r="P202" s="72" t="str">
        <f t="shared" si="37"/>
        <v/>
      </c>
      <c r="Q202" s="72" t="str">
        <f t="shared" si="38"/>
        <v/>
      </c>
      <c r="R202" s="72" t="str">
        <f t="shared" si="39"/>
        <v/>
      </c>
      <c r="AB202" s="72" t="s">
        <v>233</v>
      </c>
      <c r="AC202" s="72" t="s">
        <v>1652</v>
      </c>
      <c r="AD202" s="72" t="s">
        <v>5147</v>
      </c>
      <c r="AE202" s="72" t="s">
        <v>5148</v>
      </c>
      <c r="AF202" s="72" t="s">
        <v>5165</v>
      </c>
      <c r="AG202" s="72" t="s">
        <v>5173</v>
      </c>
    </row>
    <row r="203" spans="1:33">
      <c r="A203" s="76" t="str">
        <f>IF(C203="","",VLOOKUP('OPĆI DIO'!$C$3,'OPĆI DIO'!$L$6:$U$138,10,FALSE))</f>
        <v/>
      </c>
      <c r="B203" s="76" t="str">
        <f>IF(C203="","",VLOOKUP('OPĆI DIO'!$C$3,'OPĆI DIO'!$L$6:$U$138,9,FALSE))</f>
        <v/>
      </c>
      <c r="C203" s="82"/>
      <c r="D203" s="77" t="str">
        <f t="shared" si="35"/>
        <v/>
      </c>
      <c r="E203" s="82"/>
      <c r="F203" s="77" t="str">
        <f t="shared" si="40"/>
        <v/>
      </c>
      <c r="G203" s="114"/>
      <c r="H203" s="77" t="str">
        <f t="shared" si="41"/>
        <v/>
      </c>
      <c r="I203" s="77" t="str">
        <f t="shared" si="42"/>
        <v/>
      </c>
      <c r="J203" s="113"/>
      <c r="K203" s="113"/>
      <c r="L203" s="113"/>
      <c r="M203" s="81"/>
      <c r="O203" s="72" t="str">
        <f t="shared" si="36"/>
        <v/>
      </c>
      <c r="P203" s="72" t="str">
        <f t="shared" si="37"/>
        <v/>
      </c>
      <c r="Q203" s="72" t="str">
        <f t="shared" si="38"/>
        <v/>
      </c>
      <c r="R203" s="72" t="str">
        <f t="shared" si="39"/>
        <v/>
      </c>
      <c r="AB203" s="72" t="s">
        <v>683</v>
      </c>
      <c r="AC203" s="72" t="s">
        <v>684</v>
      </c>
      <c r="AD203" s="72" t="s">
        <v>5147</v>
      </c>
      <c r="AE203" s="72" t="s">
        <v>5148</v>
      </c>
      <c r="AF203" s="72" t="s">
        <v>5165</v>
      </c>
      <c r="AG203" s="72" t="s">
        <v>5173</v>
      </c>
    </row>
    <row r="204" spans="1:33">
      <c r="A204" s="76" t="str">
        <f>IF(C204="","",VLOOKUP('OPĆI DIO'!$C$3,'OPĆI DIO'!$L$6:$U$138,10,FALSE))</f>
        <v/>
      </c>
      <c r="B204" s="76" t="str">
        <f>IF(C204="","",VLOOKUP('OPĆI DIO'!$C$3,'OPĆI DIO'!$L$6:$U$138,9,FALSE))</f>
        <v/>
      </c>
      <c r="C204" s="82"/>
      <c r="D204" s="77" t="str">
        <f t="shared" si="35"/>
        <v/>
      </c>
      <c r="E204" s="82"/>
      <c r="F204" s="77" t="str">
        <f t="shared" si="40"/>
        <v/>
      </c>
      <c r="G204" s="114"/>
      <c r="H204" s="77" t="str">
        <f t="shared" si="41"/>
        <v/>
      </c>
      <c r="I204" s="77" t="str">
        <f t="shared" si="42"/>
        <v/>
      </c>
      <c r="J204" s="113"/>
      <c r="K204" s="113"/>
      <c r="L204" s="113"/>
      <c r="M204" s="81"/>
      <c r="O204" s="72" t="str">
        <f t="shared" si="36"/>
        <v/>
      </c>
      <c r="P204" s="72" t="str">
        <f t="shared" si="37"/>
        <v/>
      </c>
      <c r="Q204" s="72" t="str">
        <f t="shared" si="38"/>
        <v/>
      </c>
      <c r="R204" s="72" t="str">
        <f t="shared" si="39"/>
        <v/>
      </c>
      <c r="AB204" s="72" t="s">
        <v>1998</v>
      </c>
      <c r="AC204" s="72" t="s">
        <v>1992</v>
      </c>
      <c r="AD204" s="72" t="s">
        <v>5147</v>
      </c>
      <c r="AE204" s="72" t="s">
        <v>5148</v>
      </c>
      <c r="AF204" s="72" t="s">
        <v>5165</v>
      </c>
      <c r="AG204" s="72" t="s">
        <v>5173</v>
      </c>
    </row>
    <row r="205" spans="1:33">
      <c r="A205" s="76" t="str">
        <f>IF(C205="","",VLOOKUP('OPĆI DIO'!$C$3,'OPĆI DIO'!$L$6:$U$138,10,FALSE))</f>
        <v/>
      </c>
      <c r="B205" s="76" t="str">
        <f>IF(C205="","",VLOOKUP('OPĆI DIO'!$C$3,'OPĆI DIO'!$L$6:$U$138,9,FALSE))</f>
        <v/>
      </c>
      <c r="C205" s="82"/>
      <c r="D205" s="77" t="str">
        <f t="shared" ref="D205:D268" si="43">IFERROR(VLOOKUP(C205,$S$6:$T$24,2,FALSE),"")</f>
        <v/>
      </c>
      <c r="E205" s="82"/>
      <c r="F205" s="77" t="str">
        <f t="shared" si="40"/>
        <v/>
      </c>
      <c r="G205" s="114"/>
      <c r="H205" s="77" t="str">
        <f t="shared" si="41"/>
        <v/>
      </c>
      <c r="I205" s="77" t="str">
        <f t="shared" si="42"/>
        <v/>
      </c>
      <c r="J205" s="113"/>
      <c r="K205" s="113"/>
      <c r="L205" s="113"/>
      <c r="M205" s="81"/>
      <c r="O205" s="72" t="str">
        <f t="shared" si="36"/>
        <v/>
      </c>
      <c r="P205" s="72" t="str">
        <f t="shared" si="37"/>
        <v/>
      </c>
      <c r="Q205" s="72" t="str">
        <f t="shared" si="38"/>
        <v/>
      </c>
      <c r="R205" s="72" t="str">
        <f t="shared" si="39"/>
        <v/>
      </c>
      <c r="AB205" s="72" t="s">
        <v>1999</v>
      </c>
      <c r="AC205" s="72" t="s">
        <v>3473</v>
      </c>
      <c r="AD205" s="72" t="s">
        <v>5147</v>
      </c>
      <c r="AE205" s="72" t="s">
        <v>5148</v>
      </c>
      <c r="AF205" s="72" t="s">
        <v>5165</v>
      </c>
      <c r="AG205" s="72" t="s">
        <v>5173</v>
      </c>
    </row>
    <row r="206" spans="1:33">
      <c r="A206" s="76" t="str">
        <f>IF(C206="","",VLOOKUP('OPĆI DIO'!$C$3,'OPĆI DIO'!$L$6:$U$138,10,FALSE))</f>
        <v/>
      </c>
      <c r="B206" s="76" t="str">
        <f>IF(C206="","",VLOOKUP('OPĆI DIO'!$C$3,'OPĆI DIO'!$L$6:$U$138,9,FALSE))</f>
        <v/>
      </c>
      <c r="C206" s="82"/>
      <c r="D206" s="77" t="str">
        <f t="shared" si="43"/>
        <v/>
      </c>
      <c r="E206" s="82"/>
      <c r="F206" s="77" t="str">
        <f t="shared" si="40"/>
        <v/>
      </c>
      <c r="G206" s="114"/>
      <c r="H206" s="77" t="str">
        <f t="shared" si="41"/>
        <v/>
      </c>
      <c r="I206" s="77" t="str">
        <f t="shared" si="42"/>
        <v/>
      </c>
      <c r="J206" s="113"/>
      <c r="K206" s="113"/>
      <c r="L206" s="113"/>
      <c r="M206" s="81"/>
      <c r="O206" s="72" t="str">
        <f t="shared" ref="O206:O269" si="44">LEFT(E206,3)</f>
        <v/>
      </c>
      <c r="P206" s="72" t="str">
        <f t="shared" ref="P206:P269" si="45">LEFT(E206,2)</f>
        <v/>
      </c>
      <c r="Q206" s="72" t="str">
        <f t="shared" ref="Q206:Q269" si="46">LEFT(C206,3)</f>
        <v/>
      </c>
      <c r="R206" s="72" t="str">
        <f t="shared" ref="R206:R269" si="47">MID(I206,2,2)</f>
        <v/>
      </c>
      <c r="AB206" s="72" t="s">
        <v>3486</v>
      </c>
      <c r="AC206" s="72" t="s">
        <v>3487</v>
      </c>
      <c r="AD206" s="72" t="s">
        <v>5147</v>
      </c>
      <c r="AE206" s="72" t="s">
        <v>5148</v>
      </c>
      <c r="AF206" s="72" t="s">
        <v>5165</v>
      </c>
      <c r="AG206" s="72" t="s">
        <v>5173</v>
      </c>
    </row>
    <row r="207" spans="1:33">
      <c r="A207" s="76" t="str">
        <f>IF(C207="","",VLOOKUP('OPĆI DIO'!$C$3,'OPĆI DIO'!$L$6:$U$138,10,FALSE))</f>
        <v/>
      </c>
      <c r="B207" s="76" t="str">
        <f>IF(C207="","",VLOOKUP('OPĆI DIO'!$C$3,'OPĆI DIO'!$L$6:$U$138,9,FALSE))</f>
        <v/>
      </c>
      <c r="C207" s="82"/>
      <c r="D207" s="77" t="str">
        <f t="shared" si="43"/>
        <v/>
      </c>
      <c r="E207" s="82"/>
      <c r="F207" s="77" t="str">
        <f t="shared" si="40"/>
        <v/>
      </c>
      <c r="G207" s="114"/>
      <c r="H207" s="77" t="str">
        <f t="shared" si="41"/>
        <v/>
      </c>
      <c r="I207" s="77" t="str">
        <f t="shared" si="42"/>
        <v/>
      </c>
      <c r="J207" s="113"/>
      <c r="K207" s="113"/>
      <c r="L207" s="113"/>
      <c r="M207" s="81"/>
      <c r="O207" s="72" t="str">
        <f t="shared" si="44"/>
        <v/>
      </c>
      <c r="P207" s="72" t="str">
        <f t="shared" si="45"/>
        <v/>
      </c>
      <c r="Q207" s="72" t="str">
        <f t="shared" si="46"/>
        <v/>
      </c>
      <c r="R207" s="72" t="str">
        <f t="shared" si="47"/>
        <v/>
      </c>
      <c r="AB207" s="72" t="s">
        <v>687</v>
      </c>
      <c r="AC207" s="72" t="s">
        <v>688</v>
      </c>
      <c r="AD207" s="72" t="s">
        <v>5141</v>
      </c>
      <c r="AE207" s="72" t="s">
        <v>5142</v>
      </c>
      <c r="AF207" s="72" t="s">
        <v>5167</v>
      </c>
      <c r="AG207" s="72" t="s">
        <v>5168</v>
      </c>
    </row>
    <row r="208" spans="1:33">
      <c r="A208" s="76" t="str">
        <f>IF(C208="","",VLOOKUP('OPĆI DIO'!$C$3,'OPĆI DIO'!$L$6:$U$138,10,FALSE))</f>
        <v/>
      </c>
      <c r="B208" s="76" t="str">
        <f>IF(C208="","",VLOOKUP('OPĆI DIO'!$C$3,'OPĆI DIO'!$L$6:$U$138,9,FALSE))</f>
        <v/>
      </c>
      <c r="C208" s="82"/>
      <c r="D208" s="77" t="str">
        <f t="shared" si="43"/>
        <v/>
      </c>
      <c r="E208" s="82"/>
      <c r="F208" s="77" t="str">
        <f t="shared" si="40"/>
        <v/>
      </c>
      <c r="G208" s="114"/>
      <c r="H208" s="77" t="str">
        <f t="shared" si="41"/>
        <v/>
      </c>
      <c r="I208" s="77" t="str">
        <f t="shared" si="42"/>
        <v/>
      </c>
      <c r="J208" s="113"/>
      <c r="K208" s="113"/>
      <c r="L208" s="113"/>
      <c r="M208" s="81"/>
      <c r="O208" s="72" t="str">
        <f t="shared" si="44"/>
        <v/>
      </c>
      <c r="P208" s="72" t="str">
        <f t="shared" si="45"/>
        <v/>
      </c>
      <c r="Q208" s="72" t="str">
        <f t="shared" si="46"/>
        <v/>
      </c>
      <c r="R208" s="72" t="str">
        <f t="shared" si="47"/>
        <v/>
      </c>
      <c r="AB208" s="72" t="s">
        <v>689</v>
      </c>
      <c r="AC208" s="72" t="s">
        <v>690</v>
      </c>
      <c r="AD208" s="72" t="s">
        <v>5141</v>
      </c>
      <c r="AE208" s="72" t="s">
        <v>5142</v>
      </c>
      <c r="AF208" s="72" t="s">
        <v>5167</v>
      </c>
      <c r="AG208" s="72" t="s">
        <v>5168</v>
      </c>
    </row>
    <row r="209" spans="1:33">
      <c r="A209" s="76" t="str">
        <f>IF(C209="","",VLOOKUP('OPĆI DIO'!$C$3,'OPĆI DIO'!$L$6:$U$138,10,FALSE))</f>
        <v/>
      </c>
      <c r="B209" s="76" t="str">
        <f>IF(C209="","",VLOOKUP('OPĆI DIO'!$C$3,'OPĆI DIO'!$L$6:$U$138,9,FALSE))</f>
        <v/>
      </c>
      <c r="C209" s="82"/>
      <c r="D209" s="77" t="str">
        <f t="shared" si="43"/>
        <v/>
      </c>
      <c r="E209" s="82"/>
      <c r="F209" s="77" t="str">
        <f t="shared" si="40"/>
        <v/>
      </c>
      <c r="G209" s="114"/>
      <c r="H209" s="77" t="str">
        <f t="shared" si="41"/>
        <v/>
      </c>
      <c r="I209" s="77" t="str">
        <f t="shared" si="42"/>
        <v/>
      </c>
      <c r="J209" s="113"/>
      <c r="K209" s="113"/>
      <c r="L209" s="113"/>
      <c r="M209" s="81"/>
      <c r="O209" s="72" t="str">
        <f t="shared" si="44"/>
        <v/>
      </c>
      <c r="P209" s="72" t="str">
        <f t="shared" si="45"/>
        <v/>
      </c>
      <c r="Q209" s="72" t="str">
        <f t="shared" si="46"/>
        <v/>
      </c>
      <c r="R209" s="72" t="str">
        <f t="shared" si="47"/>
        <v/>
      </c>
      <c r="AB209" s="72" t="s">
        <v>937</v>
      </c>
      <c r="AC209" s="72" t="s">
        <v>938</v>
      </c>
      <c r="AD209" s="72" t="s">
        <v>5141</v>
      </c>
      <c r="AE209" s="72" t="s">
        <v>5142</v>
      </c>
      <c r="AF209" s="72" t="s">
        <v>5167</v>
      </c>
      <c r="AG209" s="72" t="s">
        <v>5168</v>
      </c>
    </row>
    <row r="210" spans="1:33">
      <c r="A210" s="76" t="str">
        <f>IF(C210="","",VLOOKUP('OPĆI DIO'!$C$3,'OPĆI DIO'!$L$6:$U$138,10,FALSE))</f>
        <v/>
      </c>
      <c r="B210" s="76" t="str">
        <f>IF(C210="","",VLOOKUP('OPĆI DIO'!$C$3,'OPĆI DIO'!$L$6:$U$138,9,FALSE))</f>
        <v/>
      </c>
      <c r="C210" s="82"/>
      <c r="D210" s="77" t="str">
        <f t="shared" si="43"/>
        <v/>
      </c>
      <c r="E210" s="82"/>
      <c r="F210" s="77" t="str">
        <f t="shared" si="40"/>
        <v/>
      </c>
      <c r="G210" s="114"/>
      <c r="H210" s="77" t="str">
        <f t="shared" si="41"/>
        <v/>
      </c>
      <c r="I210" s="77" t="str">
        <f t="shared" si="42"/>
        <v/>
      </c>
      <c r="J210" s="113"/>
      <c r="K210" s="113"/>
      <c r="L210" s="113"/>
      <c r="M210" s="81"/>
      <c r="O210" s="72" t="str">
        <f t="shared" si="44"/>
        <v/>
      </c>
      <c r="P210" s="72" t="str">
        <f t="shared" si="45"/>
        <v/>
      </c>
      <c r="Q210" s="72" t="str">
        <f t="shared" si="46"/>
        <v/>
      </c>
      <c r="R210" s="72" t="str">
        <f t="shared" si="47"/>
        <v/>
      </c>
      <c r="AB210" s="72" t="s">
        <v>691</v>
      </c>
      <c r="AC210" s="72" t="s">
        <v>692</v>
      </c>
      <c r="AD210" s="72" t="s">
        <v>5141</v>
      </c>
      <c r="AE210" s="72" t="s">
        <v>5142</v>
      </c>
      <c r="AF210" s="72" t="s">
        <v>5167</v>
      </c>
      <c r="AG210" s="72" t="s">
        <v>5168</v>
      </c>
    </row>
    <row r="211" spans="1:33">
      <c r="A211" s="76" t="str">
        <f>IF(C211="","",VLOOKUP('OPĆI DIO'!$C$3,'OPĆI DIO'!$L$6:$U$138,10,FALSE))</f>
        <v/>
      </c>
      <c r="B211" s="76" t="str">
        <f>IF(C211="","",VLOOKUP('OPĆI DIO'!$C$3,'OPĆI DIO'!$L$6:$U$138,9,FALSE))</f>
        <v/>
      </c>
      <c r="C211" s="82"/>
      <c r="D211" s="77" t="str">
        <f t="shared" si="43"/>
        <v/>
      </c>
      <c r="E211" s="82"/>
      <c r="F211" s="77" t="str">
        <f t="shared" si="40"/>
        <v/>
      </c>
      <c r="G211" s="114"/>
      <c r="H211" s="77" t="str">
        <f t="shared" si="41"/>
        <v/>
      </c>
      <c r="I211" s="77" t="str">
        <f t="shared" si="42"/>
        <v/>
      </c>
      <c r="J211" s="113"/>
      <c r="K211" s="113"/>
      <c r="L211" s="113"/>
      <c r="M211" s="81"/>
      <c r="O211" s="72" t="str">
        <f t="shared" si="44"/>
        <v/>
      </c>
      <c r="P211" s="72" t="str">
        <f t="shared" si="45"/>
        <v/>
      </c>
      <c r="Q211" s="72" t="str">
        <f t="shared" si="46"/>
        <v/>
      </c>
      <c r="R211" s="72" t="str">
        <f t="shared" si="47"/>
        <v/>
      </c>
      <c r="AB211" s="72" t="s">
        <v>939</v>
      </c>
      <c r="AC211" s="72" t="s">
        <v>933</v>
      </c>
      <c r="AD211" s="72" t="s">
        <v>5141</v>
      </c>
      <c r="AE211" s="72" t="s">
        <v>5142</v>
      </c>
      <c r="AF211" s="72" t="s">
        <v>5167</v>
      </c>
      <c r="AG211" s="72" t="s">
        <v>5168</v>
      </c>
    </row>
    <row r="212" spans="1:33">
      <c r="A212" s="76" t="str">
        <f>IF(C212="","",VLOOKUP('OPĆI DIO'!$C$3,'OPĆI DIO'!$L$6:$U$138,10,FALSE))</f>
        <v/>
      </c>
      <c r="B212" s="76" t="str">
        <f>IF(C212="","",VLOOKUP('OPĆI DIO'!$C$3,'OPĆI DIO'!$L$6:$U$138,9,FALSE))</f>
        <v/>
      </c>
      <c r="C212" s="82"/>
      <c r="D212" s="77" t="str">
        <f t="shared" si="43"/>
        <v/>
      </c>
      <c r="E212" s="82"/>
      <c r="F212" s="77" t="str">
        <f t="shared" si="40"/>
        <v/>
      </c>
      <c r="G212" s="114"/>
      <c r="H212" s="77" t="str">
        <f t="shared" si="41"/>
        <v/>
      </c>
      <c r="I212" s="77" t="str">
        <f t="shared" si="42"/>
        <v/>
      </c>
      <c r="J212" s="113"/>
      <c r="K212" s="113"/>
      <c r="L212" s="113"/>
      <c r="M212" s="81"/>
      <c r="O212" s="72" t="str">
        <f t="shared" si="44"/>
        <v/>
      </c>
      <c r="P212" s="72" t="str">
        <f t="shared" si="45"/>
        <v/>
      </c>
      <c r="Q212" s="72" t="str">
        <f t="shared" si="46"/>
        <v/>
      </c>
      <c r="R212" s="72" t="str">
        <f t="shared" si="47"/>
        <v/>
      </c>
      <c r="AB212" s="72" t="s">
        <v>693</v>
      </c>
      <c r="AC212" s="72" t="s">
        <v>1743</v>
      </c>
      <c r="AD212" s="72" t="s">
        <v>5141</v>
      </c>
      <c r="AE212" s="72" t="s">
        <v>5142</v>
      </c>
      <c r="AF212" s="72" t="s">
        <v>5167</v>
      </c>
      <c r="AG212" s="72" t="s">
        <v>5168</v>
      </c>
    </row>
    <row r="213" spans="1:33">
      <c r="A213" s="76" t="str">
        <f>IF(C213="","",VLOOKUP('OPĆI DIO'!$C$3,'OPĆI DIO'!$L$6:$U$138,10,FALSE))</f>
        <v/>
      </c>
      <c r="B213" s="76" t="str">
        <f>IF(C213="","",VLOOKUP('OPĆI DIO'!$C$3,'OPĆI DIO'!$L$6:$U$138,9,FALSE))</f>
        <v/>
      </c>
      <c r="C213" s="82"/>
      <c r="D213" s="77" t="str">
        <f t="shared" si="43"/>
        <v/>
      </c>
      <c r="E213" s="82"/>
      <c r="F213" s="77" t="str">
        <f t="shared" si="40"/>
        <v/>
      </c>
      <c r="G213" s="114"/>
      <c r="H213" s="77" t="str">
        <f t="shared" si="41"/>
        <v/>
      </c>
      <c r="I213" s="77" t="str">
        <f t="shared" si="42"/>
        <v/>
      </c>
      <c r="J213" s="113"/>
      <c r="K213" s="113"/>
      <c r="L213" s="113"/>
      <c r="M213" s="81"/>
      <c r="O213" s="72" t="str">
        <f t="shared" si="44"/>
        <v/>
      </c>
      <c r="P213" s="72" t="str">
        <f t="shared" si="45"/>
        <v/>
      </c>
      <c r="Q213" s="72" t="str">
        <f t="shared" si="46"/>
        <v/>
      </c>
      <c r="R213" s="72" t="str">
        <f t="shared" si="47"/>
        <v/>
      </c>
      <c r="AB213" s="72" t="s">
        <v>694</v>
      </c>
      <c r="AC213" s="72" t="s">
        <v>1243</v>
      </c>
      <c r="AD213" s="72" t="s">
        <v>5141</v>
      </c>
      <c r="AE213" s="72" t="s">
        <v>5142</v>
      </c>
      <c r="AF213" s="72" t="s">
        <v>5167</v>
      </c>
      <c r="AG213" s="72" t="s">
        <v>5168</v>
      </c>
    </row>
    <row r="214" spans="1:33">
      <c r="A214" s="76" t="str">
        <f>IF(C214="","",VLOOKUP('OPĆI DIO'!$C$3,'OPĆI DIO'!$L$6:$U$138,10,FALSE))</f>
        <v/>
      </c>
      <c r="B214" s="76" t="str">
        <f>IF(C214="","",VLOOKUP('OPĆI DIO'!$C$3,'OPĆI DIO'!$L$6:$U$138,9,FALSE))</f>
        <v/>
      </c>
      <c r="C214" s="82"/>
      <c r="D214" s="77" t="str">
        <f t="shared" si="43"/>
        <v/>
      </c>
      <c r="E214" s="82"/>
      <c r="F214" s="77" t="str">
        <f t="shared" si="40"/>
        <v/>
      </c>
      <c r="G214" s="114"/>
      <c r="H214" s="77" t="str">
        <f t="shared" si="41"/>
        <v/>
      </c>
      <c r="I214" s="77" t="str">
        <f t="shared" si="42"/>
        <v/>
      </c>
      <c r="J214" s="113"/>
      <c r="K214" s="113"/>
      <c r="L214" s="113"/>
      <c r="M214" s="81"/>
      <c r="O214" s="72" t="str">
        <f t="shared" si="44"/>
        <v/>
      </c>
      <c r="P214" s="72" t="str">
        <f t="shared" si="45"/>
        <v/>
      </c>
      <c r="Q214" s="72" t="str">
        <f t="shared" si="46"/>
        <v/>
      </c>
      <c r="R214" s="72" t="str">
        <f t="shared" si="47"/>
        <v/>
      </c>
      <c r="AB214" s="72" t="s">
        <v>695</v>
      </c>
      <c r="AC214" s="72" t="s">
        <v>696</v>
      </c>
      <c r="AD214" s="72" t="s">
        <v>5141</v>
      </c>
      <c r="AE214" s="72" t="s">
        <v>5142</v>
      </c>
      <c r="AF214" s="72" t="s">
        <v>5167</v>
      </c>
      <c r="AG214" s="72" t="s">
        <v>5168</v>
      </c>
    </row>
    <row r="215" spans="1:33">
      <c r="A215" s="76" t="str">
        <f>IF(C215="","",VLOOKUP('OPĆI DIO'!$C$3,'OPĆI DIO'!$L$6:$U$138,10,FALSE))</f>
        <v/>
      </c>
      <c r="B215" s="76" t="str">
        <f>IF(C215="","",VLOOKUP('OPĆI DIO'!$C$3,'OPĆI DIO'!$L$6:$U$138,9,FALSE))</f>
        <v/>
      </c>
      <c r="C215" s="82"/>
      <c r="D215" s="77" t="str">
        <f t="shared" si="43"/>
        <v/>
      </c>
      <c r="E215" s="82"/>
      <c r="F215" s="77" t="str">
        <f t="shared" si="40"/>
        <v/>
      </c>
      <c r="G215" s="114"/>
      <c r="H215" s="77" t="str">
        <f t="shared" si="41"/>
        <v/>
      </c>
      <c r="I215" s="77" t="str">
        <f t="shared" si="42"/>
        <v/>
      </c>
      <c r="J215" s="113"/>
      <c r="K215" s="113"/>
      <c r="L215" s="113"/>
      <c r="M215" s="81"/>
      <c r="O215" s="72" t="str">
        <f t="shared" si="44"/>
        <v/>
      </c>
      <c r="P215" s="72" t="str">
        <f t="shared" si="45"/>
        <v/>
      </c>
      <c r="Q215" s="72" t="str">
        <f t="shared" si="46"/>
        <v/>
      </c>
      <c r="R215" s="72" t="str">
        <f t="shared" si="47"/>
        <v/>
      </c>
      <c r="AB215" s="72" t="s">
        <v>697</v>
      </c>
      <c r="AC215" s="72" t="s">
        <v>682</v>
      </c>
      <c r="AD215" s="72" t="s">
        <v>5141</v>
      </c>
      <c r="AE215" s="72" t="s">
        <v>5142</v>
      </c>
      <c r="AF215" s="72" t="s">
        <v>5167</v>
      </c>
      <c r="AG215" s="72" t="s">
        <v>5168</v>
      </c>
    </row>
    <row r="216" spans="1:33">
      <c r="A216" s="76" t="str">
        <f>IF(C216="","",VLOOKUP('OPĆI DIO'!$C$3,'OPĆI DIO'!$L$6:$U$138,10,FALSE))</f>
        <v/>
      </c>
      <c r="B216" s="76" t="str">
        <f>IF(C216="","",VLOOKUP('OPĆI DIO'!$C$3,'OPĆI DIO'!$L$6:$U$138,9,FALSE))</f>
        <v/>
      </c>
      <c r="C216" s="82"/>
      <c r="D216" s="77" t="str">
        <f t="shared" si="43"/>
        <v/>
      </c>
      <c r="E216" s="82"/>
      <c r="F216" s="77" t="str">
        <f t="shared" si="40"/>
        <v/>
      </c>
      <c r="G216" s="114"/>
      <c r="H216" s="77" t="str">
        <f t="shared" si="41"/>
        <v/>
      </c>
      <c r="I216" s="77" t="str">
        <f t="shared" si="42"/>
        <v/>
      </c>
      <c r="J216" s="113"/>
      <c r="K216" s="113"/>
      <c r="L216" s="113"/>
      <c r="M216" s="81"/>
      <c r="O216" s="72" t="str">
        <f t="shared" si="44"/>
        <v/>
      </c>
      <c r="P216" s="72" t="str">
        <f t="shared" si="45"/>
        <v/>
      </c>
      <c r="Q216" s="72" t="str">
        <f t="shared" si="46"/>
        <v/>
      </c>
      <c r="R216" s="72" t="str">
        <f t="shared" si="47"/>
        <v/>
      </c>
      <c r="AB216" s="72" t="s">
        <v>1991</v>
      </c>
      <c r="AC216" s="72" t="s">
        <v>1992</v>
      </c>
      <c r="AD216" s="72" t="s">
        <v>5141</v>
      </c>
      <c r="AE216" s="72" t="s">
        <v>5142</v>
      </c>
      <c r="AF216" s="72" t="s">
        <v>5167</v>
      </c>
      <c r="AG216" s="72" t="s">
        <v>5168</v>
      </c>
    </row>
    <row r="217" spans="1:33">
      <c r="A217" s="76" t="str">
        <f>IF(C217="","",VLOOKUP('OPĆI DIO'!$C$3,'OPĆI DIO'!$L$6:$U$138,10,FALSE))</f>
        <v/>
      </c>
      <c r="B217" s="76" t="str">
        <f>IF(C217="","",VLOOKUP('OPĆI DIO'!$C$3,'OPĆI DIO'!$L$6:$U$138,9,FALSE))</f>
        <v/>
      </c>
      <c r="C217" s="82"/>
      <c r="D217" s="77" t="str">
        <f t="shared" si="43"/>
        <v/>
      </c>
      <c r="E217" s="82"/>
      <c r="F217" s="77" t="str">
        <f t="shared" si="40"/>
        <v/>
      </c>
      <c r="G217" s="114"/>
      <c r="H217" s="77" t="str">
        <f t="shared" si="41"/>
        <v/>
      </c>
      <c r="I217" s="77" t="str">
        <f t="shared" si="42"/>
        <v/>
      </c>
      <c r="J217" s="113"/>
      <c r="K217" s="113"/>
      <c r="L217" s="113"/>
      <c r="M217" s="81"/>
      <c r="O217" s="72" t="str">
        <f t="shared" si="44"/>
        <v/>
      </c>
      <c r="P217" s="72" t="str">
        <f t="shared" si="45"/>
        <v/>
      </c>
      <c r="Q217" s="72" t="str">
        <f t="shared" si="46"/>
        <v/>
      </c>
      <c r="R217" s="72" t="str">
        <f t="shared" si="47"/>
        <v/>
      </c>
      <c r="AB217" s="72" t="s">
        <v>1993</v>
      </c>
      <c r="AC217" s="72" t="s">
        <v>3473</v>
      </c>
      <c r="AD217" s="72" t="s">
        <v>5141</v>
      </c>
      <c r="AE217" s="72" t="s">
        <v>5142</v>
      </c>
      <c r="AF217" s="72" t="s">
        <v>5167</v>
      </c>
      <c r="AG217" s="72" t="s">
        <v>5168</v>
      </c>
    </row>
    <row r="218" spans="1:33">
      <c r="A218" s="76" t="str">
        <f>IF(C218="","",VLOOKUP('OPĆI DIO'!$C$3,'OPĆI DIO'!$L$6:$U$138,10,FALSE))</f>
        <v/>
      </c>
      <c r="B218" s="76" t="str">
        <f>IF(C218="","",VLOOKUP('OPĆI DIO'!$C$3,'OPĆI DIO'!$L$6:$U$138,9,FALSE))</f>
        <v/>
      </c>
      <c r="C218" s="82"/>
      <c r="D218" s="77" t="str">
        <f t="shared" si="43"/>
        <v/>
      </c>
      <c r="E218" s="82"/>
      <c r="F218" s="77" t="str">
        <f t="shared" si="40"/>
        <v/>
      </c>
      <c r="G218" s="114"/>
      <c r="H218" s="77" t="str">
        <f t="shared" si="41"/>
        <v/>
      </c>
      <c r="I218" s="77" t="str">
        <f t="shared" si="42"/>
        <v/>
      </c>
      <c r="J218" s="113"/>
      <c r="K218" s="113"/>
      <c r="L218" s="113"/>
      <c r="M218" s="81"/>
      <c r="O218" s="72" t="str">
        <f t="shared" si="44"/>
        <v/>
      </c>
      <c r="P218" s="72" t="str">
        <f t="shared" si="45"/>
        <v/>
      </c>
      <c r="Q218" s="72" t="str">
        <f t="shared" si="46"/>
        <v/>
      </c>
      <c r="R218" s="72" t="str">
        <f t="shared" si="47"/>
        <v/>
      </c>
      <c r="AB218" s="72" t="s">
        <v>3488</v>
      </c>
      <c r="AC218" s="72" t="s">
        <v>3489</v>
      </c>
      <c r="AD218" s="72" t="s">
        <v>5141</v>
      </c>
      <c r="AE218" s="72" t="s">
        <v>5142</v>
      </c>
      <c r="AF218" s="72" t="s">
        <v>5167</v>
      </c>
      <c r="AG218" s="72" t="s">
        <v>5168</v>
      </c>
    </row>
    <row r="219" spans="1:33">
      <c r="A219" s="76" t="str">
        <f>IF(C219="","",VLOOKUP('OPĆI DIO'!$C$3,'OPĆI DIO'!$L$6:$U$138,10,FALSE))</f>
        <v/>
      </c>
      <c r="B219" s="76" t="str">
        <f>IF(C219="","",VLOOKUP('OPĆI DIO'!$C$3,'OPĆI DIO'!$L$6:$U$138,9,FALSE))</f>
        <v/>
      </c>
      <c r="C219" s="82"/>
      <c r="D219" s="77" t="str">
        <f t="shared" si="43"/>
        <v/>
      </c>
      <c r="E219" s="82"/>
      <c r="F219" s="77" t="str">
        <f t="shared" si="40"/>
        <v/>
      </c>
      <c r="G219" s="114"/>
      <c r="H219" s="77" t="str">
        <f t="shared" si="41"/>
        <v/>
      </c>
      <c r="I219" s="77" t="str">
        <f t="shared" si="42"/>
        <v/>
      </c>
      <c r="J219" s="113"/>
      <c r="K219" s="113"/>
      <c r="L219" s="113"/>
      <c r="M219" s="81"/>
      <c r="O219" s="72" t="str">
        <f t="shared" si="44"/>
        <v/>
      </c>
      <c r="P219" s="72" t="str">
        <f t="shared" si="45"/>
        <v/>
      </c>
      <c r="Q219" s="72" t="str">
        <f t="shared" si="46"/>
        <v/>
      </c>
      <c r="R219" s="72" t="str">
        <f t="shared" si="47"/>
        <v/>
      </c>
      <c r="AB219" s="72" t="s">
        <v>966</v>
      </c>
      <c r="AC219" s="72" t="s">
        <v>967</v>
      </c>
      <c r="AD219" s="72" t="s">
        <v>5141</v>
      </c>
      <c r="AE219" s="72" t="s">
        <v>5142</v>
      </c>
      <c r="AF219" s="72" t="s">
        <v>5167</v>
      </c>
      <c r="AG219" s="72" t="s">
        <v>5168</v>
      </c>
    </row>
    <row r="220" spans="1:33">
      <c r="A220" s="76" t="str">
        <f>IF(C220="","",VLOOKUP('OPĆI DIO'!$C$3,'OPĆI DIO'!$L$6:$U$138,10,FALSE))</f>
        <v/>
      </c>
      <c r="B220" s="76" t="str">
        <f>IF(C220="","",VLOOKUP('OPĆI DIO'!$C$3,'OPĆI DIO'!$L$6:$U$138,9,FALSE))</f>
        <v/>
      </c>
      <c r="C220" s="82"/>
      <c r="D220" s="77" t="str">
        <f t="shared" si="43"/>
        <v/>
      </c>
      <c r="E220" s="82"/>
      <c r="F220" s="77" t="str">
        <f t="shared" si="40"/>
        <v/>
      </c>
      <c r="G220" s="114"/>
      <c r="H220" s="77" t="str">
        <f t="shared" si="41"/>
        <v/>
      </c>
      <c r="I220" s="77" t="str">
        <f t="shared" si="42"/>
        <v/>
      </c>
      <c r="J220" s="113"/>
      <c r="K220" s="113"/>
      <c r="L220" s="113"/>
      <c r="M220" s="81"/>
      <c r="O220" s="72" t="str">
        <f t="shared" si="44"/>
        <v/>
      </c>
      <c r="P220" s="72" t="str">
        <f t="shared" si="45"/>
        <v/>
      </c>
      <c r="Q220" s="72" t="str">
        <f t="shared" si="46"/>
        <v/>
      </c>
      <c r="R220" s="72" t="str">
        <f t="shared" si="47"/>
        <v/>
      </c>
      <c r="AB220" s="72" t="s">
        <v>968</v>
      </c>
      <c r="AC220" s="72" t="s">
        <v>3490</v>
      </c>
      <c r="AD220" s="72" t="s">
        <v>5141</v>
      </c>
      <c r="AE220" s="72" t="s">
        <v>5142</v>
      </c>
      <c r="AF220" s="72" t="s">
        <v>5167</v>
      </c>
      <c r="AG220" s="72" t="s">
        <v>5168</v>
      </c>
    </row>
    <row r="221" spans="1:33">
      <c r="A221" s="76" t="str">
        <f>IF(C221="","",VLOOKUP('OPĆI DIO'!$C$3,'OPĆI DIO'!$L$6:$U$138,10,FALSE))</f>
        <v/>
      </c>
      <c r="B221" s="76" t="str">
        <f>IF(C221="","",VLOOKUP('OPĆI DIO'!$C$3,'OPĆI DIO'!$L$6:$U$138,9,FALSE))</f>
        <v/>
      </c>
      <c r="C221" s="82"/>
      <c r="D221" s="77" t="str">
        <f t="shared" si="43"/>
        <v/>
      </c>
      <c r="E221" s="82"/>
      <c r="F221" s="77" t="str">
        <f t="shared" si="40"/>
        <v/>
      </c>
      <c r="G221" s="114"/>
      <c r="H221" s="77" t="str">
        <f t="shared" si="41"/>
        <v/>
      </c>
      <c r="I221" s="77" t="str">
        <f t="shared" si="42"/>
        <v/>
      </c>
      <c r="J221" s="113"/>
      <c r="K221" s="113"/>
      <c r="L221" s="113"/>
      <c r="M221" s="81"/>
      <c r="O221" s="72" t="str">
        <f t="shared" si="44"/>
        <v/>
      </c>
      <c r="P221" s="72" t="str">
        <f t="shared" si="45"/>
        <v/>
      </c>
      <c r="Q221" s="72" t="str">
        <f t="shared" si="46"/>
        <v/>
      </c>
      <c r="R221" s="72" t="str">
        <f t="shared" si="47"/>
        <v/>
      </c>
      <c r="AB221" s="72" t="s">
        <v>971</v>
      </c>
      <c r="AC221" s="72" t="s">
        <v>972</v>
      </c>
      <c r="AD221" s="72" t="s">
        <v>5149</v>
      </c>
      <c r="AE221" s="72" t="s">
        <v>5150</v>
      </c>
      <c r="AF221" s="72" t="s">
        <v>5166</v>
      </c>
      <c r="AG221" s="72" t="s">
        <v>5171</v>
      </c>
    </row>
    <row r="222" spans="1:33">
      <c r="A222" s="76" t="str">
        <f>IF(C222="","",VLOOKUP('OPĆI DIO'!$C$3,'OPĆI DIO'!$L$6:$U$138,10,FALSE))</f>
        <v/>
      </c>
      <c r="B222" s="76" t="str">
        <f>IF(C222="","",VLOOKUP('OPĆI DIO'!$C$3,'OPĆI DIO'!$L$6:$U$138,9,FALSE))</f>
        <v/>
      </c>
      <c r="C222" s="82"/>
      <c r="D222" s="77" t="str">
        <f t="shared" si="43"/>
        <v/>
      </c>
      <c r="E222" s="82"/>
      <c r="F222" s="77" t="str">
        <f t="shared" si="40"/>
        <v/>
      </c>
      <c r="G222" s="114"/>
      <c r="H222" s="77" t="str">
        <f t="shared" si="41"/>
        <v/>
      </c>
      <c r="I222" s="77" t="str">
        <f t="shared" si="42"/>
        <v/>
      </c>
      <c r="J222" s="113"/>
      <c r="K222" s="113"/>
      <c r="L222" s="113"/>
      <c r="M222" s="81"/>
      <c r="O222" s="72" t="str">
        <f t="shared" si="44"/>
        <v/>
      </c>
      <c r="P222" s="72" t="str">
        <f t="shared" si="45"/>
        <v/>
      </c>
      <c r="Q222" s="72" t="str">
        <f t="shared" si="46"/>
        <v/>
      </c>
      <c r="R222" s="72" t="str">
        <f t="shared" si="47"/>
        <v/>
      </c>
      <c r="AB222" s="72" t="s">
        <v>973</v>
      </c>
      <c r="AC222" s="72" t="s">
        <v>974</v>
      </c>
      <c r="AD222" s="72" t="s">
        <v>5149</v>
      </c>
      <c r="AE222" s="72" t="s">
        <v>5150</v>
      </c>
      <c r="AF222" s="72" t="s">
        <v>5166</v>
      </c>
      <c r="AG222" s="72" t="s">
        <v>5171</v>
      </c>
    </row>
    <row r="223" spans="1:33">
      <c r="A223" s="76" t="str">
        <f>IF(C223="","",VLOOKUP('OPĆI DIO'!$C$3,'OPĆI DIO'!$L$6:$U$138,10,FALSE))</f>
        <v/>
      </c>
      <c r="B223" s="76" t="str">
        <f>IF(C223="","",VLOOKUP('OPĆI DIO'!$C$3,'OPĆI DIO'!$L$6:$U$138,9,FALSE))</f>
        <v/>
      </c>
      <c r="C223" s="82"/>
      <c r="D223" s="77" t="str">
        <f t="shared" si="43"/>
        <v/>
      </c>
      <c r="E223" s="82"/>
      <c r="F223" s="77" t="str">
        <f t="shared" si="40"/>
        <v/>
      </c>
      <c r="G223" s="114"/>
      <c r="H223" s="77" t="str">
        <f t="shared" si="41"/>
        <v/>
      </c>
      <c r="I223" s="77" t="str">
        <f t="shared" si="42"/>
        <v/>
      </c>
      <c r="J223" s="113"/>
      <c r="K223" s="113"/>
      <c r="L223" s="113"/>
      <c r="M223" s="81"/>
      <c r="O223" s="72" t="str">
        <f t="shared" si="44"/>
        <v/>
      </c>
      <c r="P223" s="72" t="str">
        <f t="shared" si="45"/>
        <v/>
      </c>
      <c r="Q223" s="72" t="str">
        <f t="shared" si="46"/>
        <v/>
      </c>
      <c r="R223" s="72" t="str">
        <f t="shared" si="47"/>
        <v/>
      </c>
      <c r="AB223" s="72" t="s">
        <v>975</v>
      </c>
      <c r="AC223" s="72" t="s">
        <v>1244</v>
      </c>
      <c r="AD223" s="72" t="s">
        <v>5149</v>
      </c>
      <c r="AE223" s="72" t="s">
        <v>5150</v>
      </c>
      <c r="AF223" s="72" t="s">
        <v>5166</v>
      </c>
      <c r="AG223" s="72" t="s">
        <v>5171</v>
      </c>
    </row>
    <row r="224" spans="1:33">
      <c r="A224" s="76" t="str">
        <f>IF(C224="","",VLOOKUP('OPĆI DIO'!$C$3,'OPĆI DIO'!$L$6:$U$138,10,FALSE))</f>
        <v/>
      </c>
      <c r="B224" s="76" t="str">
        <f>IF(C224="","",VLOOKUP('OPĆI DIO'!$C$3,'OPĆI DIO'!$L$6:$U$138,9,FALSE))</f>
        <v/>
      </c>
      <c r="C224" s="82"/>
      <c r="D224" s="77" t="str">
        <f t="shared" si="43"/>
        <v/>
      </c>
      <c r="E224" s="82"/>
      <c r="F224" s="77" t="str">
        <f t="shared" si="40"/>
        <v/>
      </c>
      <c r="G224" s="114"/>
      <c r="H224" s="77" t="str">
        <f t="shared" si="41"/>
        <v/>
      </c>
      <c r="I224" s="77" t="str">
        <f t="shared" si="42"/>
        <v/>
      </c>
      <c r="J224" s="113"/>
      <c r="K224" s="113"/>
      <c r="L224" s="113"/>
      <c r="M224" s="81"/>
      <c r="O224" s="72" t="str">
        <f t="shared" si="44"/>
        <v/>
      </c>
      <c r="P224" s="72" t="str">
        <f t="shared" si="45"/>
        <v/>
      </c>
      <c r="Q224" s="72" t="str">
        <f t="shared" si="46"/>
        <v/>
      </c>
      <c r="R224" s="72" t="str">
        <f t="shared" si="47"/>
        <v/>
      </c>
      <c r="AB224" s="72" t="s">
        <v>976</v>
      </c>
      <c r="AC224" s="72" t="s">
        <v>977</v>
      </c>
      <c r="AD224" s="72" t="s">
        <v>5149</v>
      </c>
      <c r="AE224" s="72" t="s">
        <v>5150</v>
      </c>
      <c r="AF224" s="72" t="s">
        <v>5166</v>
      </c>
      <c r="AG224" s="72" t="s">
        <v>5171</v>
      </c>
    </row>
    <row r="225" spans="1:33">
      <c r="A225" s="76" t="str">
        <f>IF(C225="","",VLOOKUP('OPĆI DIO'!$C$3,'OPĆI DIO'!$L$6:$U$138,10,FALSE))</f>
        <v/>
      </c>
      <c r="B225" s="76" t="str">
        <f>IF(C225="","",VLOOKUP('OPĆI DIO'!$C$3,'OPĆI DIO'!$L$6:$U$138,9,FALSE))</f>
        <v/>
      </c>
      <c r="C225" s="82"/>
      <c r="D225" s="77" t="str">
        <f t="shared" si="43"/>
        <v/>
      </c>
      <c r="E225" s="82"/>
      <c r="F225" s="77" t="str">
        <f t="shared" si="40"/>
        <v/>
      </c>
      <c r="G225" s="114"/>
      <c r="H225" s="77" t="str">
        <f t="shared" si="41"/>
        <v/>
      </c>
      <c r="I225" s="77" t="str">
        <f t="shared" si="42"/>
        <v/>
      </c>
      <c r="J225" s="113"/>
      <c r="K225" s="113"/>
      <c r="L225" s="113"/>
      <c r="M225" s="81"/>
      <c r="O225" s="72" t="str">
        <f t="shared" si="44"/>
        <v/>
      </c>
      <c r="P225" s="72" t="str">
        <f t="shared" si="45"/>
        <v/>
      </c>
      <c r="Q225" s="72" t="str">
        <f t="shared" si="46"/>
        <v/>
      </c>
      <c r="R225" s="72" t="str">
        <f t="shared" si="47"/>
        <v/>
      </c>
      <c r="AB225" s="72" t="s">
        <v>980</v>
      </c>
      <c r="AC225" s="72" t="s">
        <v>981</v>
      </c>
      <c r="AD225" s="72" t="s">
        <v>5161</v>
      </c>
      <c r="AE225" s="72" t="s">
        <v>5162</v>
      </c>
      <c r="AF225" s="72" t="s">
        <v>5167</v>
      </c>
      <c r="AG225" s="72" t="s">
        <v>5179</v>
      </c>
    </row>
    <row r="226" spans="1:33">
      <c r="A226" s="76" t="str">
        <f>IF(C226="","",VLOOKUP('OPĆI DIO'!$C$3,'OPĆI DIO'!$L$6:$U$138,10,FALSE))</f>
        <v/>
      </c>
      <c r="B226" s="76" t="str">
        <f>IF(C226="","",VLOOKUP('OPĆI DIO'!$C$3,'OPĆI DIO'!$L$6:$U$138,9,FALSE))</f>
        <v/>
      </c>
      <c r="C226" s="82"/>
      <c r="D226" s="77" t="str">
        <f t="shared" si="43"/>
        <v/>
      </c>
      <c r="E226" s="82"/>
      <c r="F226" s="77" t="str">
        <f t="shared" si="40"/>
        <v/>
      </c>
      <c r="G226" s="114"/>
      <c r="H226" s="77" t="str">
        <f t="shared" si="41"/>
        <v/>
      </c>
      <c r="I226" s="77" t="str">
        <f t="shared" si="42"/>
        <v/>
      </c>
      <c r="J226" s="113"/>
      <c r="K226" s="113"/>
      <c r="L226" s="113"/>
      <c r="M226" s="81"/>
      <c r="O226" s="72" t="str">
        <f t="shared" si="44"/>
        <v/>
      </c>
      <c r="P226" s="72" t="str">
        <f t="shared" si="45"/>
        <v/>
      </c>
      <c r="Q226" s="72" t="str">
        <f t="shared" si="46"/>
        <v/>
      </c>
      <c r="R226" s="72" t="str">
        <f t="shared" si="47"/>
        <v/>
      </c>
      <c r="AB226" s="72" t="s">
        <v>982</v>
      </c>
      <c r="AC226" s="72" t="s">
        <v>983</v>
      </c>
      <c r="AD226" s="72" t="s">
        <v>5161</v>
      </c>
      <c r="AE226" s="72" t="s">
        <v>5162</v>
      </c>
      <c r="AF226" s="72" t="s">
        <v>5167</v>
      </c>
      <c r="AG226" s="72" t="s">
        <v>5179</v>
      </c>
    </row>
    <row r="227" spans="1:33">
      <c r="A227" s="76" t="str">
        <f>IF(C227="","",VLOOKUP('OPĆI DIO'!$C$3,'OPĆI DIO'!$L$6:$U$138,10,FALSE))</f>
        <v/>
      </c>
      <c r="B227" s="76" t="str">
        <f>IF(C227="","",VLOOKUP('OPĆI DIO'!$C$3,'OPĆI DIO'!$L$6:$U$138,9,FALSE))</f>
        <v/>
      </c>
      <c r="C227" s="82"/>
      <c r="D227" s="77" t="str">
        <f t="shared" si="43"/>
        <v/>
      </c>
      <c r="E227" s="82"/>
      <c r="F227" s="77" t="str">
        <f t="shared" si="40"/>
        <v/>
      </c>
      <c r="G227" s="114"/>
      <c r="H227" s="77" t="str">
        <f t="shared" si="41"/>
        <v/>
      </c>
      <c r="I227" s="77" t="str">
        <f t="shared" si="42"/>
        <v/>
      </c>
      <c r="J227" s="113"/>
      <c r="K227" s="113"/>
      <c r="L227" s="113"/>
      <c r="M227" s="81"/>
      <c r="O227" s="72" t="str">
        <f t="shared" si="44"/>
        <v/>
      </c>
      <c r="P227" s="72" t="str">
        <f t="shared" si="45"/>
        <v/>
      </c>
      <c r="Q227" s="72" t="str">
        <f t="shared" si="46"/>
        <v/>
      </c>
      <c r="R227" s="72" t="str">
        <f t="shared" si="47"/>
        <v/>
      </c>
      <c r="AB227" s="72" t="s">
        <v>984</v>
      </c>
      <c r="AC227" s="72" t="s">
        <v>985</v>
      </c>
      <c r="AD227" s="72" t="s">
        <v>5163</v>
      </c>
      <c r="AE227" s="72" t="s">
        <v>5164</v>
      </c>
      <c r="AF227" s="72" t="s">
        <v>5169</v>
      </c>
      <c r="AG227" s="72" t="s">
        <v>5170</v>
      </c>
    </row>
    <row r="228" spans="1:33">
      <c r="A228" s="76" t="str">
        <f>IF(C228="","",VLOOKUP('OPĆI DIO'!$C$3,'OPĆI DIO'!$L$6:$U$138,10,FALSE))</f>
        <v/>
      </c>
      <c r="B228" s="76" t="str">
        <f>IF(C228="","",VLOOKUP('OPĆI DIO'!$C$3,'OPĆI DIO'!$L$6:$U$138,9,FALSE))</f>
        <v/>
      </c>
      <c r="C228" s="82"/>
      <c r="D228" s="77" t="str">
        <f t="shared" si="43"/>
        <v/>
      </c>
      <c r="E228" s="82"/>
      <c r="F228" s="77" t="str">
        <f t="shared" si="40"/>
        <v/>
      </c>
      <c r="G228" s="114"/>
      <c r="H228" s="77" t="str">
        <f t="shared" si="41"/>
        <v/>
      </c>
      <c r="I228" s="77" t="str">
        <f t="shared" si="42"/>
        <v/>
      </c>
      <c r="J228" s="113"/>
      <c r="K228" s="113"/>
      <c r="L228" s="113"/>
      <c r="M228" s="81"/>
      <c r="O228" s="72" t="str">
        <f t="shared" si="44"/>
        <v/>
      </c>
      <c r="P228" s="72" t="str">
        <f t="shared" si="45"/>
        <v/>
      </c>
      <c r="Q228" s="72" t="str">
        <f t="shared" si="46"/>
        <v/>
      </c>
      <c r="R228" s="72" t="str">
        <f t="shared" si="47"/>
        <v/>
      </c>
      <c r="AB228" s="72" t="s">
        <v>986</v>
      </c>
      <c r="AC228" s="72" t="s">
        <v>987</v>
      </c>
      <c r="AD228" s="72" t="s">
        <v>5161</v>
      </c>
      <c r="AE228" s="72" t="s">
        <v>5162</v>
      </c>
      <c r="AF228" s="72" t="s">
        <v>5167</v>
      </c>
      <c r="AG228" s="72" t="s">
        <v>5179</v>
      </c>
    </row>
    <row r="229" spans="1:33">
      <c r="A229" s="76" t="str">
        <f>IF(C229="","",VLOOKUP('OPĆI DIO'!$C$3,'OPĆI DIO'!$L$6:$U$138,10,FALSE))</f>
        <v/>
      </c>
      <c r="B229" s="76" t="str">
        <f>IF(C229="","",VLOOKUP('OPĆI DIO'!$C$3,'OPĆI DIO'!$L$6:$U$138,9,FALSE))</f>
        <v/>
      </c>
      <c r="C229" s="82"/>
      <c r="D229" s="77" t="str">
        <f t="shared" si="43"/>
        <v/>
      </c>
      <c r="E229" s="82"/>
      <c r="F229" s="77" t="str">
        <f t="shared" si="40"/>
        <v/>
      </c>
      <c r="G229" s="114"/>
      <c r="H229" s="77" t="str">
        <f t="shared" si="41"/>
        <v/>
      </c>
      <c r="I229" s="77" t="str">
        <f t="shared" si="42"/>
        <v/>
      </c>
      <c r="J229" s="113"/>
      <c r="K229" s="113"/>
      <c r="L229" s="113"/>
      <c r="M229" s="81"/>
      <c r="O229" s="72" t="str">
        <f t="shared" si="44"/>
        <v/>
      </c>
      <c r="P229" s="72" t="str">
        <f t="shared" si="45"/>
        <v/>
      </c>
      <c r="Q229" s="72" t="str">
        <f t="shared" si="46"/>
        <v/>
      </c>
      <c r="R229" s="72" t="str">
        <f t="shared" si="47"/>
        <v/>
      </c>
      <c r="AB229" s="72" t="s">
        <v>988</v>
      </c>
      <c r="AC229" s="72" t="s">
        <v>989</v>
      </c>
      <c r="AD229" s="72" t="s">
        <v>5161</v>
      </c>
      <c r="AE229" s="72" t="s">
        <v>5162</v>
      </c>
      <c r="AF229" s="72" t="s">
        <v>5167</v>
      </c>
      <c r="AG229" s="72" t="s">
        <v>5179</v>
      </c>
    </row>
    <row r="230" spans="1:33">
      <c r="A230" s="76" t="str">
        <f>IF(C230="","",VLOOKUP('OPĆI DIO'!$C$3,'OPĆI DIO'!$L$6:$U$138,10,FALSE))</f>
        <v/>
      </c>
      <c r="B230" s="76" t="str">
        <f>IF(C230="","",VLOOKUP('OPĆI DIO'!$C$3,'OPĆI DIO'!$L$6:$U$138,9,FALSE))</f>
        <v/>
      </c>
      <c r="C230" s="82"/>
      <c r="D230" s="77" t="str">
        <f t="shared" si="43"/>
        <v/>
      </c>
      <c r="E230" s="82"/>
      <c r="F230" s="77" t="str">
        <f t="shared" ref="F230:F293" si="48">IFERROR(VLOOKUP(E230,$V$5:$X$139,2,FALSE),"")</f>
        <v/>
      </c>
      <c r="G230" s="114"/>
      <c r="H230" s="77" t="str">
        <f t="shared" si="41"/>
        <v/>
      </c>
      <c r="I230" s="77" t="str">
        <f t="shared" si="42"/>
        <v/>
      </c>
      <c r="J230" s="113"/>
      <c r="K230" s="113"/>
      <c r="L230" s="113"/>
      <c r="M230" s="81"/>
      <c r="O230" s="72" t="str">
        <f t="shared" si="44"/>
        <v/>
      </c>
      <c r="P230" s="72" t="str">
        <f t="shared" si="45"/>
        <v/>
      </c>
      <c r="Q230" s="72" t="str">
        <f t="shared" si="46"/>
        <v/>
      </c>
      <c r="R230" s="72" t="str">
        <f t="shared" si="47"/>
        <v/>
      </c>
      <c r="AB230" s="72" t="s">
        <v>990</v>
      </c>
      <c r="AC230" s="72" t="s">
        <v>991</v>
      </c>
      <c r="AD230" s="72" t="s">
        <v>5161</v>
      </c>
      <c r="AE230" s="72" t="s">
        <v>5162</v>
      </c>
      <c r="AF230" s="72" t="s">
        <v>5167</v>
      </c>
      <c r="AG230" s="72" t="s">
        <v>5179</v>
      </c>
    </row>
    <row r="231" spans="1:33">
      <c r="A231" s="76" t="str">
        <f>IF(C231="","",VLOOKUP('OPĆI DIO'!$C$3,'OPĆI DIO'!$L$6:$U$138,10,FALSE))</f>
        <v/>
      </c>
      <c r="B231" s="76" t="str">
        <f>IF(C231="","",VLOOKUP('OPĆI DIO'!$C$3,'OPĆI DIO'!$L$6:$U$138,9,FALSE))</f>
        <v/>
      </c>
      <c r="C231" s="82"/>
      <c r="D231" s="77" t="str">
        <f t="shared" si="43"/>
        <v/>
      </c>
      <c r="E231" s="82"/>
      <c r="F231" s="77" t="str">
        <f t="shared" si="48"/>
        <v/>
      </c>
      <c r="G231" s="114"/>
      <c r="H231" s="77" t="str">
        <f t="shared" si="41"/>
        <v/>
      </c>
      <c r="I231" s="77" t="str">
        <f t="shared" si="42"/>
        <v/>
      </c>
      <c r="J231" s="113"/>
      <c r="K231" s="113"/>
      <c r="L231" s="113"/>
      <c r="M231" s="81"/>
      <c r="O231" s="72" t="str">
        <f t="shared" si="44"/>
        <v/>
      </c>
      <c r="P231" s="72" t="str">
        <f t="shared" si="45"/>
        <v/>
      </c>
      <c r="Q231" s="72" t="str">
        <f t="shared" si="46"/>
        <v/>
      </c>
      <c r="R231" s="72" t="str">
        <f t="shared" si="47"/>
        <v/>
      </c>
      <c r="AB231" s="72" t="s">
        <v>992</v>
      </c>
      <c r="AC231" s="72" t="s">
        <v>993</v>
      </c>
      <c r="AD231" s="72" t="s">
        <v>5161</v>
      </c>
      <c r="AE231" s="72" t="s">
        <v>5162</v>
      </c>
      <c r="AF231" s="72" t="s">
        <v>5167</v>
      </c>
      <c r="AG231" s="72" t="s">
        <v>5179</v>
      </c>
    </row>
    <row r="232" spans="1:33">
      <c r="A232" s="76" t="str">
        <f>IF(C232="","",VLOOKUP('OPĆI DIO'!$C$3,'OPĆI DIO'!$L$6:$U$138,10,FALSE))</f>
        <v/>
      </c>
      <c r="B232" s="76" t="str">
        <f>IF(C232="","",VLOOKUP('OPĆI DIO'!$C$3,'OPĆI DIO'!$L$6:$U$138,9,FALSE))</f>
        <v/>
      </c>
      <c r="C232" s="82"/>
      <c r="D232" s="77" t="str">
        <f t="shared" si="43"/>
        <v/>
      </c>
      <c r="E232" s="82"/>
      <c r="F232" s="77" t="str">
        <f t="shared" si="48"/>
        <v/>
      </c>
      <c r="G232" s="114"/>
      <c r="H232" s="77" t="str">
        <f t="shared" si="41"/>
        <v/>
      </c>
      <c r="I232" s="77" t="str">
        <f t="shared" si="42"/>
        <v/>
      </c>
      <c r="J232" s="113"/>
      <c r="K232" s="113"/>
      <c r="L232" s="113"/>
      <c r="M232" s="81"/>
      <c r="O232" s="72" t="str">
        <f t="shared" si="44"/>
        <v/>
      </c>
      <c r="P232" s="72" t="str">
        <f t="shared" si="45"/>
        <v/>
      </c>
      <c r="Q232" s="72" t="str">
        <f t="shared" si="46"/>
        <v/>
      </c>
      <c r="R232" s="72" t="str">
        <f t="shared" si="47"/>
        <v/>
      </c>
      <c r="AB232" s="72" t="s">
        <v>992</v>
      </c>
      <c r="AC232" s="72" t="s">
        <v>993</v>
      </c>
      <c r="AD232" s="72" t="s">
        <v>5143</v>
      </c>
      <c r="AE232" s="72" t="s">
        <v>5144</v>
      </c>
      <c r="AF232" s="72" t="s">
        <v>5165</v>
      </c>
      <c r="AG232" s="72" t="s">
        <v>5175</v>
      </c>
    </row>
    <row r="233" spans="1:33">
      <c r="A233" s="76" t="str">
        <f>IF(C233="","",VLOOKUP('OPĆI DIO'!$C$3,'OPĆI DIO'!$L$6:$U$138,10,FALSE))</f>
        <v/>
      </c>
      <c r="B233" s="76" t="str">
        <f>IF(C233="","",VLOOKUP('OPĆI DIO'!$C$3,'OPĆI DIO'!$L$6:$U$138,9,FALSE))</f>
        <v/>
      </c>
      <c r="C233" s="82"/>
      <c r="D233" s="77" t="str">
        <f t="shared" si="43"/>
        <v/>
      </c>
      <c r="E233" s="82"/>
      <c r="F233" s="77" t="str">
        <f t="shared" si="48"/>
        <v/>
      </c>
      <c r="G233" s="114"/>
      <c r="H233" s="77" t="str">
        <f t="shared" si="41"/>
        <v/>
      </c>
      <c r="I233" s="77" t="str">
        <f t="shared" si="42"/>
        <v/>
      </c>
      <c r="J233" s="113"/>
      <c r="K233" s="113"/>
      <c r="L233" s="113"/>
      <c r="M233" s="81"/>
      <c r="O233" s="72" t="str">
        <f t="shared" si="44"/>
        <v/>
      </c>
      <c r="P233" s="72" t="str">
        <f t="shared" si="45"/>
        <v/>
      </c>
      <c r="Q233" s="72" t="str">
        <f t="shared" si="46"/>
        <v/>
      </c>
      <c r="R233" s="72" t="str">
        <f t="shared" si="47"/>
        <v/>
      </c>
      <c r="AB233" s="72" t="s">
        <v>1658</v>
      </c>
      <c r="AC233" s="72" t="s">
        <v>1659</v>
      </c>
      <c r="AD233" s="72" t="s">
        <v>5161</v>
      </c>
      <c r="AE233" s="72" t="s">
        <v>5162</v>
      </c>
      <c r="AF233" s="72" t="s">
        <v>5167</v>
      </c>
      <c r="AG233" s="72" t="s">
        <v>5179</v>
      </c>
    </row>
    <row r="234" spans="1:33">
      <c r="A234" s="76" t="str">
        <f>IF(C234="","",VLOOKUP('OPĆI DIO'!$C$3,'OPĆI DIO'!$L$6:$U$138,10,FALSE))</f>
        <v/>
      </c>
      <c r="B234" s="76" t="str">
        <f>IF(C234="","",VLOOKUP('OPĆI DIO'!$C$3,'OPĆI DIO'!$L$6:$U$138,9,FALSE))</f>
        <v/>
      </c>
      <c r="C234" s="82"/>
      <c r="D234" s="77" t="str">
        <f t="shared" si="43"/>
        <v/>
      </c>
      <c r="E234" s="82"/>
      <c r="F234" s="77" t="str">
        <f t="shared" si="48"/>
        <v/>
      </c>
      <c r="G234" s="114"/>
      <c r="H234" s="77" t="str">
        <f t="shared" si="41"/>
        <v/>
      </c>
      <c r="I234" s="77" t="str">
        <f t="shared" si="42"/>
        <v/>
      </c>
      <c r="J234" s="113"/>
      <c r="K234" s="113"/>
      <c r="L234" s="113"/>
      <c r="M234" s="81"/>
      <c r="O234" s="72" t="str">
        <f t="shared" si="44"/>
        <v/>
      </c>
      <c r="P234" s="72" t="str">
        <f t="shared" si="45"/>
        <v/>
      </c>
      <c r="Q234" s="72" t="str">
        <f t="shared" si="46"/>
        <v/>
      </c>
      <c r="R234" s="72" t="str">
        <f t="shared" si="47"/>
        <v/>
      </c>
      <c r="AB234" s="72" t="s">
        <v>3491</v>
      </c>
      <c r="AC234" s="72" t="s">
        <v>3492</v>
      </c>
      <c r="AD234" s="72" t="s">
        <v>5161</v>
      </c>
      <c r="AE234" s="72" t="s">
        <v>5162</v>
      </c>
      <c r="AF234" s="72" t="s">
        <v>5167</v>
      </c>
      <c r="AG234" s="72" t="s">
        <v>5179</v>
      </c>
    </row>
    <row r="235" spans="1:33">
      <c r="A235" s="76" t="str">
        <f>IF(C235="","",VLOOKUP('OPĆI DIO'!$C$3,'OPĆI DIO'!$L$6:$U$138,10,FALSE))</f>
        <v/>
      </c>
      <c r="B235" s="76" t="str">
        <f>IF(C235="","",VLOOKUP('OPĆI DIO'!$C$3,'OPĆI DIO'!$L$6:$U$138,9,FALSE))</f>
        <v/>
      </c>
      <c r="C235" s="82"/>
      <c r="D235" s="77" t="str">
        <f t="shared" si="43"/>
        <v/>
      </c>
      <c r="E235" s="82"/>
      <c r="F235" s="77" t="str">
        <f t="shared" si="48"/>
        <v/>
      </c>
      <c r="G235" s="114"/>
      <c r="H235" s="77" t="str">
        <f t="shared" si="41"/>
        <v/>
      </c>
      <c r="I235" s="77" t="str">
        <f t="shared" si="42"/>
        <v/>
      </c>
      <c r="J235" s="113"/>
      <c r="K235" s="113"/>
      <c r="L235" s="113"/>
      <c r="M235" s="81"/>
      <c r="O235" s="72" t="str">
        <f t="shared" si="44"/>
        <v/>
      </c>
      <c r="P235" s="72" t="str">
        <f t="shared" si="45"/>
        <v/>
      </c>
      <c r="Q235" s="72" t="str">
        <f t="shared" si="46"/>
        <v/>
      </c>
      <c r="R235" s="72" t="str">
        <f t="shared" si="47"/>
        <v/>
      </c>
      <c r="AB235" s="72" t="s">
        <v>994</v>
      </c>
      <c r="AC235" s="72" t="s">
        <v>995</v>
      </c>
      <c r="AD235" s="72" t="s">
        <v>5161</v>
      </c>
      <c r="AE235" s="72" t="s">
        <v>5162</v>
      </c>
      <c r="AF235" s="72" t="s">
        <v>5167</v>
      </c>
      <c r="AG235" s="72" t="s">
        <v>5179</v>
      </c>
    </row>
    <row r="236" spans="1:33">
      <c r="A236" s="76" t="str">
        <f>IF(C236="","",VLOOKUP('OPĆI DIO'!$C$3,'OPĆI DIO'!$L$6:$U$138,10,FALSE))</f>
        <v/>
      </c>
      <c r="B236" s="76" t="str">
        <f>IF(C236="","",VLOOKUP('OPĆI DIO'!$C$3,'OPĆI DIO'!$L$6:$U$138,9,FALSE))</f>
        <v/>
      </c>
      <c r="C236" s="82"/>
      <c r="D236" s="77" t="str">
        <f t="shared" si="43"/>
        <v/>
      </c>
      <c r="E236" s="82"/>
      <c r="F236" s="77" t="str">
        <f t="shared" si="48"/>
        <v/>
      </c>
      <c r="G236" s="114"/>
      <c r="H236" s="77" t="str">
        <f t="shared" si="41"/>
        <v/>
      </c>
      <c r="I236" s="77" t="str">
        <f t="shared" si="42"/>
        <v/>
      </c>
      <c r="J236" s="113"/>
      <c r="K236" s="113"/>
      <c r="L236" s="113"/>
      <c r="M236" s="81"/>
      <c r="O236" s="72" t="str">
        <f t="shared" si="44"/>
        <v/>
      </c>
      <c r="P236" s="72" t="str">
        <f t="shared" si="45"/>
        <v/>
      </c>
      <c r="Q236" s="72" t="str">
        <f t="shared" si="46"/>
        <v/>
      </c>
      <c r="R236" s="72" t="str">
        <f t="shared" si="47"/>
        <v/>
      </c>
      <c r="AB236" s="72" t="s">
        <v>996</v>
      </c>
      <c r="AC236" s="72" t="s">
        <v>997</v>
      </c>
      <c r="AD236" s="72" t="s">
        <v>5161</v>
      </c>
      <c r="AE236" s="72" t="s">
        <v>5162</v>
      </c>
      <c r="AF236" s="72" t="s">
        <v>5167</v>
      </c>
      <c r="AG236" s="72" t="s">
        <v>5179</v>
      </c>
    </row>
    <row r="237" spans="1:33">
      <c r="A237" s="76" t="str">
        <f>IF(C237="","",VLOOKUP('OPĆI DIO'!$C$3,'OPĆI DIO'!$L$6:$U$138,10,FALSE))</f>
        <v/>
      </c>
      <c r="B237" s="76" t="str">
        <f>IF(C237="","",VLOOKUP('OPĆI DIO'!$C$3,'OPĆI DIO'!$L$6:$U$138,9,FALSE))</f>
        <v/>
      </c>
      <c r="C237" s="82"/>
      <c r="D237" s="77" t="str">
        <f t="shared" si="43"/>
        <v/>
      </c>
      <c r="E237" s="82"/>
      <c r="F237" s="77" t="str">
        <f t="shared" si="48"/>
        <v/>
      </c>
      <c r="G237" s="114"/>
      <c r="H237" s="77" t="str">
        <f t="shared" si="41"/>
        <v/>
      </c>
      <c r="I237" s="77" t="str">
        <f t="shared" si="42"/>
        <v/>
      </c>
      <c r="J237" s="113"/>
      <c r="K237" s="113"/>
      <c r="L237" s="113"/>
      <c r="M237" s="81"/>
      <c r="O237" s="72" t="str">
        <f t="shared" si="44"/>
        <v/>
      </c>
      <c r="P237" s="72" t="str">
        <f t="shared" si="45"/>
        <v/>
      </c>
      <c r="Q237" s="72" t="str">
        <f t="shared" si="46"/>
        <v/>
      </c>
      <c r="R237" s="72" t="str">
        <f t="shared" si="47"/>
        <v/>
      </c>
      <c r="AB237" s="72" t="s">
        <v>998</v>
      </c>
      <c r="AC237" s="72" t="s">
        <v>999</v>
      </c>
      <c r="AD237" s="72" t="s">
        <v>5143</v>
      </c>
      <c r="AE237" s="72" t="s">
        <v>5144</v>
      </c>
      <c r="AF237" s="72" t="s">
        <v>5165</v>
      </c>
      <c r="AG237" s="72" t="s">
        <v>5175</v>
      </c>
    </row>
    <row r="238" spans="1:33">
      <c r="A238" s="76" t="str">
        <f>IF(C238="","",VLOOKUP('OPĆI DIO'!$C$3,'OPĆI DIO'!$L$6:$U$138,10,FALSE))</f>
        <v/>
      </c>
      <c r="B238" s="76" t="str">
        <f>IF(C238="","",VLOOKUP('OPĆI DIO'!$C$3,'OPĆI DIO'!$L$6:$U$138,9,FALSE))</f>
        <v/>
      </c>
      <c r="C238" s="82"/>
      <c r="D238" s="77" t="str">
        <f t="shared" si="43"/>
        <v/>
      </c>
      <c r="E238" s="82"/>
      <c r="F238" s="77" t="str">
        <f t="shared" si="48"/>
        <v/>
      </c>
      <c r="G238" s="114"/>
      <c r="H238" s="77" t="str">
        <f t="shared" si="41"/>
        <v/>
      </c>
      <c r="I238" s="77" t="str">
        <f t="shared" si="42"/>
        <v/>
      </c>
      <c r="J238" s="113"/>
      <c r="K238" s="113"/>
      <c r="L238" s="113"/>
      <c r="M238" s="81"/>
      <c r="O238" s="72" t="str">
        <f t="shared" si="44"/>
        <v/>
      </c>
      <c r="P238" s="72" t="str">
        <f t="shared" si="45"/>
        <v/>
      </c>
      <c r="Q238" s="72" t="str">
        <f t="shared" si="46"/>
        <v/>
      </c>
      <c r="R238" s="72" t="str">
        <f t="shared" si="47"/>
        <v/>
      </c>
      <c r="AB238" s="72" t="s">
        <v>1000</v>
      </c>
      <c r="AC238" s="72" t="s">
        <v>1001</v>
      </c>
      <c r="AD238" s="72" t="s">
        <v>5143</v>
      </c>
      <c r="AE238" s="72" t="s">
        <v>5144</v>
      </c>
      <c r="AF238" s="72" t="s">
        <v>5165</v>
      </c>
      <c r="AG238" s="72" t="s">
        <v>5175</v>
      </c>
    </row>
    <row r="239" spans="1:33">
      <c r="A239" s="76" t="str">
        <f>IF(C239="","",VLOOKUP('OPĆI DIO'!$C$3,'OPĆI DIO'!$L$6:$U$138,10,FALSE))</f>
        <v/>
      </c>
      <c r="B239" s="76" t="str">
        <f>IF(C239="","",VLOOKUP('OPĆI DIO'!$C$3,'OPĆI DIO'!$L$6:$U$138,9,FALSE))</f>
        <v/>
      </c>
      <c r="C239" s="82"/>
      <c r="D239" s="77" t="str">
        <f t="shared" si="43"/>
        <v/>
      </c>
      <c r="E239" s="82"/>
      <c r="F239" s="77" t="str">
        <f t="shared" si="48"/>
        <v/>
      </c>
      <c r="G239" s="114"/>
      <c r="H239" s="77" t="str">
        <f t="shared" si="41"/>
        <v/>
      </c>
      <c r="I239" s="77" t="str">
        <f t="shared" si="42"/>
        <v/>
      </c>
      <c r="J239" s="113"/>
      <c r="K239" s="113"/>
      <c r="L239" s="113"/>
      <c r="M239" s="81"/>
      <c r="O239" s="72" t="str">
        <f t="shared" si="44"/>
        <v/>
      </c>
      <c r="P239" s="72" t="str">
        <f t="shared" si="45"/>
        <v/>
      </c>
      <c r="Q239" s="72" t="str">
        <f t="shared" si="46"/>
        <v/>
      </c>
      <c r="R239" s="72" t="str">
        <f t="shared" si="47"/>
        <v/>
      </c>
      <c r="AB239" s="72" t="s">
        <v>3493</v>
      </c>
      <c r="AC239" s="72" t="s">
        <v>3494</v>
      </c>
      <c r="AD239" s="72" t="s">
        <v>5161</v>
      </c>
      <c r="AE239" s="72" t="s">
        <v>5162</v>
      </c>
      <c r="AF239" s="72" t="s">
        <v>5167</v>
      </c>
      <c r="AG239" s="72" t="s">
        <v>5179</v>
      </c>
    </row>
    <row r="240" spans="1:33">
      <c r="A240" s="76" t="str">
        <f>IF(C240="","",VLOOKUP('OPĆI DIO'!$C$3,'OPĆI DIO'!$L$6:$U$138,10,FALSE))</f>
        <v/>
      </c>
      <c r="B240" s="76" t="str">
        <f>IF(C240="","",VLOOKUP('OPĆI DIO'!$C$3,'OPĆI DIO'!$L$6:$U$138,9,FALSE))</f>
        <v/>
      </c>
      <c r="C240" s="82"/>
      <c r="D240" s="77" t="str">
        <f t="shared" si="43"/>
        <v/>
      </c>
      <c r="E240" s="82"/>
      <c r="F240" s="77" t="str">
        <f t="shared" si="48"/>
        <v/>
      </c>
      <c r="G240" s="114"/>
      <c r="H240" s="77" t="str">
        <f t="shared" si="41"/>
        <v/>
      </c>
      <c r="I240" s="77" t="str">
        <f t="shared" si="42"/>
        <v/>
      </c>
      <c r="J240" s="113"/>
      <c r="K240" s="113"/>
      <c r="L240" s="113"/>
      <c r="M240" s="81"/>
      <c r="O240" s="72" t="str">
        <f t="shared" si="44"/>
        <v/>
      </c>
      <c r="P240" s="72" t="str">
        <f t="shared" si="45"/>
        <v/>
      </c>
      <c r="Q240" s="72" t="str">
        <f t="shared" si="46"/>
        <v/>
      </c>
      <c r="R240" s="72" t="str">
        <f t="shared" si="47"/>
        <v/>
      </c>
      <c r="AB240" s="72" t="s">
        <v>1004</v>
      </c>
      <c r="AC240" s="72" t="s">
        <v>1005</v>
      </c>
      <c r="AD240" s="72" t="s">
        <v>5141</v>
      </c>
      <c r="AE240" s="72" t="s">
        <v>5142</v>
      </c>
      <c r="AF240" s="72" t="s">
        <v>5167</v>
      </c>
      <c r="AG240" s="72" t="s">
        <v>5168</v>
      </c>
    </row>
    <row r="241" spans="1:33">
      <c r="A241" s="76" t="str">
        <f>IF(C241="","",VLOOKUP('OPĆI DIO'!$C$3,'OPĆI DIO'!$L$6:$U$138,10,FALSE))</f>
        <v/>
      </c>
      <c r="B241" s="76" t="str">
        <f>IF(C241="","",VLOOKUP('OPĆI DIO'!$C$3,'OPĆI DIO'!$L$6:$U$138,9,FALSE))</f>
        <v/>
      </c>
      <c r="C241" s="82"/>
      <c r="D241" s="77" t="str">
        <f t="shared" si="43"/>
        <v/>
      </c>
      <c r="E241" s="82"/>
      <c r="F241" s="77" t="str">
        <f t="shared" si="48"/>
        <v/>
      </c>
      <c r="G241" s="114"/>
      <c r="H241" s="77" t="str">
        <f t="shared" si="41"/>
        <v/>
      </c>
      <c r="I241" s="77" t="str">
        <f t="shared" si="42"/>
        <v/>
      </c>
      <c r="J241" s="113"/>
      <c r="K241" s="113"/>
      <c r="L241" s="113"/>
      <c r="M241" s="81"/>
      <c r="O241" s="72" t="str">
        <f t="shared" si="44"/>
        <v/>
      </c>
      <c r="P241" s="72" t="str">
        <f t="shared" si="45"/>
        <v/>
      </c>
      <c r="Q241" s="72" t="str">
        <f t="shared" si="46"/>
        <v/>
      </c>
      <c r="R241" s="72" t="str">
        <f t="shared" si="47"/>
        <v/>
      </c>
      <c r="AB241" s="72" t="s">
        <v>1006</v>
      </c>
      <c r="AC241" s="72" t="s">
        <v>1246</v>
      </c>
      <c r="AD241" s="72" t="s">
        <v>5141</v>
      </c>
      <c r="AE241" s="72" t="s">
        <v>5142</v>
      </c>
      <c r="AF241" s="72" t="s">
        <v>5167</v>
      </c>
      <c r="AG241" s="72" t="s">
        <v>5168</v>
      </c>
    </row>
    <row r="242" spans="1:33">
      <c r="A242" s="76" t="str">
        <f>IF(C242="","",VLOOKUP('OPĆI DIO'!$C$3,'OPĆI DIO'!$L$6:$U$138,10,FALSE))</f>
        <v/>
      </c>
      <c r="B242" s="76" t="str">
        <f>IF(C242="","",VLOOKUP('OPĆI DIO'!$C$3,'OPĆI DIO'!$L$6:$U$138,9,FALSE))</f>
        <v/>
      </c>
      <c r="C242" s="82"/>
      <c r="D242" s="77" t="str">
        <f t="shared" si="43"/>
        <v/>
      </c>
      <c r="E242" s="82"/>
      <c r="F242" s="77" t="str">
        <f t="shared" si="48"/>
        <v/>
      </c>
      <c r="G242" s="114"/>
      <c r="H242" s="77" t="str">
        <f t="shared" si="41"/>
        <v/>
      </c>
      <c r="I242" s="77" t="str">
        <f t="shared" si="42"/>
        <v/>
      </c>
      <c r="J242" s="113"/>
      <c r="K242" s="113"/>
      <c r="L242" s="113"/>
      <c r="M242" s="81"/>
      <c r="O242" s="72" t="str">
        <f t="shared" si="44"/>
        <v/>
      </c>
      <c r="P242" s="72" t="str">
        <f t="shared" si="45"/>
        <v/>
      </c>
      <c r="Q242" s="72" t="str">
        <f t="shared" si="46"/>
        <v/>
      </c>
      <c r="R242" s="72" t="str">
        <f t="shared" si="47"/>
        <v/>
      </c>
      <c r="AB242" s="72" t="s">
        <v>1009</v>
      </c>
      <c r="AC242" s="72" t="s">
        <v>1010</v>
      </c>
      <c r="AD242" s="72" t="s">
        <v>5161</v>
      </c>
      <c r="AE242" s="72" t="s">
        <v>5162</v>
      </c>
      <c r="AF242" s="72" t="s">
        <v>5167</v>
      </c>
      <c r="AG242" s="72" t="s">
        <v>5179</v>
      </c>
    </row>
    <row r="243" spans="1:33">
      <c r="A243" s="76" t="str">
        <f>IF(C243="","",VLOOKUP('OPĆI DIO'!$C$3,'OPĆI DIO'!$L$6:$U$138,10,FALSE))</f>
        <v/>
      </c>
      <c r="B243" s="76" t="str">
        <f>IF(C243="","",VLOOKUP('OPĆI DIO'!$C$3,'OPĆI DIO'!$L$6:$U$138,9,FALSE))</f>
        <v/>
      </c>
      <c r="C243" s="82"/>
      <c r="D243" s="77" t="str">
        <f t="shared" si="43"/>
        <v/>
      </c>
      <c r="E243" s="82"/>
      <c r="F243" s="77" t="str">
        <f t="shared" si="48"/>
        <v/>
      </c>
      <c r="G243" s="114"/>
      <c r="H243" s="77" t="str">
        <f t="shared" si="41"/>
        <v/>
      </c>
      <c r="I243" s="77" t="str">
        <f t="shared" si="42"/>
        <v/>
      </c>
      <c r="J243" s="113"/>
      <c r="K243" s="113"/>
      <c r="L243" s="113"/>
      <c r="M243" s="81"/>
      <c r="O243" s="72" t="str">
        <f t="shared" si="44"/>
        <v/>
      </c>
      <c r="P243" s="72" t="str">
        <f t="shared" si="45"/>
        <v/>
      </c>
      <c r="Q243" s="72" t="str">
        <f t="shared" si="46"/>
        <v/>
      </c>
      <c r="R243" s="72" t="str">
        <f t="shared" si="47"/>
        <v/>
      </c>
      <c r="AB243" s="72" t="s">
        <v>1011</v>
      </c>
      <c r="AC243" s="72" t="s">
        <v>1245</v>
      </c>
      <c r="AD243" s="72" t="s">
        <v>5161</v>
      </c>
      <c r="AE243" s="72" t="s">
        <v>5162</v>
      </c>
      <c r="AF243" s="72" t="s">
        <v>5167</v>
      </c>
      <c r="AG243" s="72" t="s">
        <v>5179</v>
      </c>
    </row>
    <row r="244" spans="1:33">
      <c r="A244" s="76" t="str">
        <f>IF(C244="","",VLOOKUP('OPĆI DIO'!$C$3,'OPĆI DIO'!$L$6:$U$138,10,FALSE))</f>
        <v/>
      </c>
      <c r="B244" s="76" t="str">
        <f>IF(C244="","",VLOOKUP('OPĆI DIO'!$C$3,'OPĆI DIO'!$L$6:$U$138,9,FALSE))</f>
        <v/>
      </c>
      <c r="C244" s="82"/>
      <c r="D244" s="77" t="str">
        <f t="shared" si="43"/>
        <v/>
      </c>
      <c r="E244" s="82"/>
      <c r="F244" s="77" t="str">
        <f t="shared" si="48"/>
        <v/>
      </c>
      <c r="G244" s="114"/>
      <c r="H244" s="77" t="str">
        <f t="shared" si="41"/>
        <v/>
      </c>
      <c r="I244" s="77" t="str">
        <f t="shared" si="42"/>
        <v/>
      </c>
      <c r="J244" s="113"/>
      <c r="K244" s="113"/>
      <c r="L244" s="113"/>
      <c r="M244" s="81"/>
      <c r="O244" s="72" t="str">
        <f t="shared" si="44"/>
        <v/>
      </c>
      <c r="P244" s="72" t="str">
        <f t="shared" si="45"/>
        <v/>
      </c>
      <c r="Q244" s="72" t="str">
        <f t="shared" si="46"/>
        <v/>
      </c>
      <c r="R244" s="72" t="str">
        <f t="shared" si="47"/>
        <v/>
      </c>
      <c r="AB244" s="72" t="s">
        <v>1012</v>
      </c>
      <c r="AC244" s="72" t="s">
        <v>1013</v>
      </c>
      <c r="AD244" s="72" t="s">
        <v>5161</v>
      </c>
      <c r="AE244" s="72" t="s">
        <v>5162</v>
      </c>
      <c r="AF244" s="72" t="s">
        <v>5167</v>
      </c>
      <c r="AG244" s="72" t="s">
        <v>5179</v>
      </c>
    </row>
    <row r="245" spans="1:33">
      <c r="A245" s="76" t="str">
        <f>IF(C245="","",VLOOKUP('OPĆI DIO'!$C$3,'OPĆI DIO'!$L$6:$U$138,10,FALSE))</f>
        <v/>
      </c>
      <c r="B245" s="76" t="str">
        <f>IF(C245="","",VLOOKUP('OPĆI DIO'!$C$3,'OPĆI DIO'!$L$6:$U$138,9,FALSE))</f>
        <v/>
      </c>
      <c r="C245" s="82"/>
      <c r="D245" s="77" t="str">
        <f t="shared" si="43"/>
        <v/>
      </c>
      <c r="E245" s="82"/>
      <c r="F245" s="77" t="str">
        <f t="shared" si="48"/>
        <v/>
      </c>
      <c r="G245" s="114"/>
      <c r="H245" s="77" t="str">
        <f t="shared" si="41"/>
        <v/>
      </c>
      <c r="I245" s="77" t="str">
        <f t="shared" si="42"/>
        <v/>
      </c>
      <c r="J245" s="113"/>
      <c r="K245" s="113"/>
      <c r="L245" s="113"/>
      <c r="M245" s="81"/>
      <c r="O245" s="72" t="str">
        <f t="shared" si="44"/>
        <v/>
      </c>
      <c r="P245" s="72" t="str">
        <f t="shared" si="45"/>
        <v/>
      </c>
      <c r="Q245" s="72" t="str">
        <f t="shared" si="46"/>
        <v/>
      </c>
      <c r="R245" s="72" t="str">
        <f t="shared" si="47"/>
        <v/>
      </c>
      <c r="AB245" s="72" t="s">
        <v>1014</v>
      </c>
      <c r="AC245" s="72" t="s">
        <v>1247</v>
      </c>
      <c r="AD245" s="72" t="s">
        <v>5161</v>
      </c>
      <c r="AE245" s="72" t="s">
        <v>5162</v>
      </c>
      <c r="AF245" s="72" t="s">
        <v>5167</v>
      </c>
      <c r="AG245" s="72" t="s">
        <v>5179</v>
      </c>
    </row>
    <row r="246" spans="1:33">
      <c r="A246" s="76" t="str">
        <f>IF(C246="","",VLOOKUP('OPĆI DIO'!$C$3,'OPĆI DIO'!$L$6:$U$138,10,FALSE))</f>
        <v/>
      </c>
      <c r="B246" s="76" t="str">
        <f>IF(C246="","",VLOOKUP('OPĆI DIO'!$C$3,'OPĆI DIO'!$L$6:$U$138,9,FALSE))</f>
        <v/>
      </c>
      <c r="C246" s="82"/>
      <c r="D246" s="77" t="str">
        <f t="shared" si="43"/>
        <v/>
      </c>
      <c r="E246" s="82"/>
      <c r="F246" s="77" t="str">
        <f t="shared" si="48"/>
        <v/>
      </c>
      <c r="G246" s="114"/>
      <c r="H246" s="77" t="str">
        <f t="shared" si="41"/>
        <v/>
      </c>
      <c r="I246" s="77" t="str">
        <f t="shared" si="42"/>
        <v/>
      </c>
      <c r="J246" s="113"/>
      <c r="K246" s="113"/>
      <c r="L246" s="113"/>
      <c r="M246" s="81"/>
      <c r="O246" s="72" t="str">
        <f t="shared" si="44"/>
        <v/>
      </c>
      <c r="P246" s="72" t="str">
        <f t="shared" si="45"/>
        <v/>
      </c>
      <c r="Q246" s="72" t="str">
        <f t="shared" si="46"/>
        <v/>
      </c>
      <c r="R246" s="72" t="str">
        <f t="shared" si="47"/>
        <v/>
      </c>
      <c r="AB246" s="72" t="s">
        <v>1015</v>
      </c>
      <c r="AC246" s="72" t="s">
        <v>1016</v>
      </c>
      <c r="AD246" s="72" t="s">
        <v>5161</v>
      </c>
      <c r="AE246" s="72" t="s">
        <v>5162</v>
      </c>
      <c r="AF246" s="72" t="s">
        <v>5167</v>
      </c>
      <c r="AG246" s="72" t="s">
        <v>5179</v>
      </c>
    </row>
    <row r="247" spans="1:33">
      <c r="A247" s="76" t="str">
        <f>IF(C247="","",VLOOKUP('OPĆI DIO'!$C$3,'OPĆI DIO'!$L$6:$U$138,10,FALSE))</f>
        <v/>
      </c>
      <c r="B247" s="76" t="str">
        <f>IF(C247="","",VLOOKUP('OPĆI DIO'!$C$3,'OPĆI DIO'!$L$6:$U$138,9,FALSE))</f>
        <v/>
      </c>
      <c r="C247" s="82"/>
      <c r="D247" s="77" t="str">
        <f t="shared" si="43"/>
        <v/>
      </c>
      <c r="E247" s="82"/>
      <c r="F247" s="77" t="str">
        <f t="shared" si="48"/>
        <v/>
      </c>
      <c r="G247" s="114"/>
      <c r="H247" s="77" t="str">
        <f t="shared" si="41"/>
        <v/>
      </c>
      <c r="I247" s="77" t="str">
        <f t="shared" si="42"/>
        <v/>
      </c>
      <c r="J247" s="113"/>
      <c r="K247" s="113"/>
      <c r="L247" s="113"/>
      <c r="M247" s="81"/>
      <c r="O247" s="72" t="str">
        <f t="shared" si="44"/>
        <v/>
      </c>
      <c r="P247" s="72" t="str">
        <f t="shared" si="45"/>
        <v/>
      </c>
      <c r="Q247" s="72" t="str">
        <f t="shared" si="46"/>
        <v/>
      </c>
      <c r="R247" s="72" t="str">
        <f t="shared" si="47"/>
        <v/>
      </c>
      <c r="AB247" s="72" t="s">
        <v>3495</v>
      </c>
      <c r="AC247" s="72" t="s">
        <v>3496</v>
      </c>
      <c r="AD247" s="72" t="s">
        <v>5161</v>
      </c>
      <c r="AE247" s="72" t="s">
        <v>5162</v>
      </c>
      <c r="AF247" s="72" t="s">
        <v>5167</v>
      </c>
      <c r="AG247" s="72" t="s">
        <v>5179</v>
      </c>
    </row>
    <row r="248" spans="1:33">
      <c r="A248" s="76" t="str">
        <f>IF(C248="","",VLOOKUP('OPĆI DIO'!$C$3,'OPĆI DIO'!$L$6:$U$138,10,FALSE))</f>
        <v/>
      </c>
      <c r="B248" s="76" t="str">
        <f>IF(C248="","",VLOOKUP('OPĆI DIO'!$C$3,'OPĆI DIO'!$L$6:$U$138,9,FALSE))</f>
        <v/>
      </c>
      <c r="C248" s="82"/>
      <c r="D248" s="77" t="str">
        <f t="shared" si="43"/>
        <v/>
      </c>
      <c r="E248" s="82"/>
      <c r="F248" s="77" t="str">
        <f t="shared" si="48"/>
        <v/>
      </c>
      <c r="G248" s="114"/>
      <c r="H248" s="77" t="str">
        <f t="shared" si="41"/>
        <v/>
      </c>
      <c r="I248" s="77" t="str">
        <f t="shared" si="42"/>
        <v/>
      </c>
      <c r="J248" s="113"/>
      <c r="K248" s="113"/>
      <c r="L248" s="113"/>
      <c r="M248" s="81"/>
      <c r="O248" s="72" t="str">
        <f t="shared" si="44"/>
        <v/>
      </c>
      <c r="P248" s="72" t="str">
        <f t="shared" si="45"/>
        <v/>
      </c>
      <c r="Q248" s="72" t="str">
        <f t="shared" si="46"/>
        <v/>
      </c>
      <c r="R248" s="72" t="str">
        <f t="shared" si="47"/>
        <v/>
      </c>
      <c r="AB248" s="72" t="s">
        <v>1019</v>
      </c>
      <c r="AC248" s="72" t="s">
        <v>1020</v>
      </c>
      <c r="AD248" s="72" t="s">
        <v>5143</v>
      </c>
      <c r="AE248" s="72" t="s">
        <v>5144</v>
      </c>
      <c r="AF248" s="72" t="s">
        <v>5165</v>
      </c>
      <c r="AG248" s="72" t="s">
        <v>5175</v>
      </c>
    </row>
    <row r="249" spans="1:33">
      <c r="A249" s="76" t="str">
        <f>IF(C249="","",VLOOKUP('OPĆI DIO'!$C$3,'OPĆI DIO'!$L$6:$U$138,10,FALSE))</f>
        <v/>
      </c>
      <c r="B249" s="76" t="str">
        <f>IF(C249="","",VLOOKUP('OPĆI DIO'!$C$3,'OPĆI DIO'!$L$6:$U$138,9,FALSE))</f>
        <v/>
      </c>
      <c r="C249" s="82"/>
      <c r="D249" s="77" t="str">
        <f t="shared" si="43"/>
        <v/>
      </c>
      <c r="E249" s="82"/>
      <c r="F249" s="77" t="str">
        <f t="shared" si="48"/>
        <v/>
      </c>
      <c r="G249" s="114"/>
      <c r="H249" s="77" t="str">
        <f t="shared" si="41"/>
        <v/>
      </c>
      <c r="I249" s="77" t="str">
        <f t="shared" si="42"/>
        <v/>
      </c>
      <c r="J249" s="113"/>
      <c r="K249" s="113"/>
      <c r="L249" s="113"/>
      <c r="M249" s="81"/>
      <c r="O249" s="72" t="str">
        <f t="shared" si="44"/>
        <v/>
      </c>
      <c r="P249" s="72" t="str">
        <f t="shared" si="45"/>
        <v/>
      </c>
      <c r="Q249" s="72" t="str">
        <f t="shared" si="46"/>
        <v/>
      </c>
      <c r="R249" s="72" t="str">
        <f t="shared" si="47"/>
        <v/>
      </c>
      <c r="AB249" s="72" t="s">
        <v>1021</v>
      </c>
      <c r="AC249" s="72" t="s">
        <v>1022</v>
      </c>
      <c r="AD249" s="72" t="s">
        <v>5143</v>
      </c>
      <c r="AE249" s="72" t="s">
        <v>5144</v>
      </c>
      <c r="AF249" s="72" t="s">
        <v>5165</v>
      </c>
      <c r="AG249" s="72" t="s">
        <v>5175</v>
      </c>
    </row>
    <row r="250" spans="1:33">
      <c r="A250" s="76" t="str">
        <f>IF(C250="","",VLOOKUP('OPĆI DIO'!$C$3,'OPĆI DIO'!$L$6:$U$138,10,FALSE))</f>
        <v/>
      </c>
      <c r="B250" s="76" t="str">
        <f>IF(C250="","",VLOOKUP('OPĆI DIO'!$C$3,'OPĆI DIO'!$L$6:$U$138,9,FALSE))</f>
        <v/>
      </c>
      <c r="C250" s="82"/>
      <c r="D250" s="77" t="str">
        <f t="shared" si="43"/>
        <v/>
      </c>
      <c r="E250" s="82"/>
      <c r="F250" s="77" t="str">
        <f t="shared" si="48"/>
        <v/>
      </c>
      <c r="G250" s="114"/>
      <c r="H250" s="77" t="str">
        <f t="shared" si="41"/>
        <v/>
      </c>
      <c r="I250" s="77" t="str">
        <f t="shared" si="42"/>
        <v/>
      </c>
      <c r="J250" s="113"/>
      <c r="K250" s="113"/>
      <c r="L250" s="113"/>
      <c r="M250" s="81"/>
      <c r="O250" s="72" t="str">
        <f t="shared" si="44"/>
        <v/>
      </c>
      <c r="P250" s="72" t="str">
        <f t="shared" si="45"/>
        <v/>
      </c>
      <c r="Q250" s="72" t="str">
        <f t="shared" si="46"/>
        <v/>
      </c>
      <c r="R250" s="72" t="str">
        <f t="shared" si="47"/>
        <v/>
      </c>
      <c r="AB250" s="72" t="s">
        <v>1023</v>
      </c>
      <c r="AC250" s="72" t="s">
        <v>1024</v>
      </c>
      <c r="AD250" s="72" t="s">
        <v>5143</v>
      </c>
      <c r="AE250" s="72" t="s">
        <v>5144</v>
      </c>
      <c r="AF250" s="72" t="s">
        <v>5165</v>
      </c>
      <c r="AG250" s="72" t="s">
        <v>5175</v>
      </c>
    </row>
    <row r="251" spans="1:33">
      <c r="A251" s="76" t="str">
        <f>IF(C251="","",VLOOKUP('OPĆI DIO'!$C$3,'OPĆI DIO'!$L$6:$U$138,10,FALSE))</f>
        <v/>
      </c>
      <c r="B251" s="76" t="str">
        <f>IF(C251="","",VLOOKUP('OPĆI DIO'!$C$3,'OPĆI DIO'!$L$6:$U$138,9,FALSE))</f>
        <v/>
      </c>
      <c r="C251" s="82"/>
      <c r="D251" s="77" t="str">
        <f t="shared" si="43"/>
        <v/>
      </c>
      <c r="E251" s="82"/>
      <c r="F251" s="77" t="str">
        <f t="shared" si="48"/>
        <v/>
      </c>
      <c r="G251" s="114"/>
      <c r="H251" s="77" t="str">
        <f t="shared" si="41"/>
        <v/>
      </c>
      <c r="I251" s="77" t="str">
        <f t="shared" si="42"/>
        <v/>
      </c>
      <c r="J251" s="113"/>
      <c r="K251" s="113"/>
      <c r="L251" s="113"/>
      <c r="M251" s="81"/>
      <c r="O251" s="72" t="str">
        <f t="shared" si="44"/>
        <v/>
      </c>
      <c r="P251" s="72" t="str">
        <f t="shared" si="45"/>
        <v/>
      </c>
      <c r="Q251" s="72" t="str">
        <f t="shared" si="46"/>
        <v/>
      </c>
      <c r="R251" s="72" t="str">
        <f t="shared" si="47"/>
        <v/>
      </c>
      <c r="AB251" s="72" t="s">
        <v>1025</v>
      </c>
      <c r="AC251" s="72" t="s">
        <v>1026</v>
      </c>
      <c r="AD251" s="72" t="s">
        <v>5143</v>
      </c>
      <c r="AE251" s="72" t="s">
        <v>5144</v>
      </c>
      <c r="AF251" s="72" t="s">
        <v>5165</v>
      </c>
      <c r="AG251" s="72" t="s">
        <v>5175</v>
      </c>
    </row>
    <row r="252" spans="1:33">
      <c r="A252" s="76" t="str">
        <f>IF(C252="","",VLOOKUP('OPĆI DIO'!$C$3,'OPĆI DIO'!$L$6:$U$138,10,FALSE))</f>
        <v/>
      </c>
      <c r="B252" s="76" t="str">
        <f>IF(C252="","",VLOOKUP('OPĆI DIO'!$C$3,'OPĆI DIO'!$L$6:$U$138,9,FALSE))</f>
        <v/>
      </c>
      <c r="C252" s="82"/>
      <c r="D252" s="77" t="str">
        <f t="shared" si="43"/>
        <v/>
      </c>
      <c r="E252" s="82"/>
      <c r="F252" s="77" t="str">
        <f t="shared" si="48"/>
        <v/>
      </c>
      <c r="G252" s="114"/>
      <c r="H252" s="77" t="str">
        <f t="shared" si="41"/>
        <v/>
      </c>
      <c r="I252" s="77" t="str">
        <f t="shared" si="42"/>
        <v/>
      </c>
      <c r="J252" s="113"/>
      <c r="K252" s="113"/>
      <c r="L252" s="113"/>
      <c r="M252" s="81"/>
      <c r="O252" s="72" t="str">
        <f t="shared" si="44"/>
        <v/>
      </c>
      <c r="P252" s="72" t="str">
        <f t="shared" si="45"/>
        <v/>
      </c>
      <c r="Q252" s="72" t="str">
        <f t="shared" si="46"/>
        <v/>
      </c>
      <c r="R252" s="72" t="str">
        <f t="shared" si="47"/>
        <v/>
      </c>
      <c r="AB252" s="72" t="s">
        <v>1660</v>
      </c>
      <c r="AC252" s="72" t="s">
        <v>1661</v>
      </c>
      <c r="AD252" s="72" t="s">
        <v>5143</v>
      </c>
      <c r="AE252" s="72" t="s">
        <v>5144</v>
      </c>
      <c r="AF252" s="72" t="s">
        <v>5165</v>
      </c>
      <c r="AG252" s="72" t="s">
        <v>5175</v>
      </c>
    </row>
    <row r="253" spans="1:33">
      <c r="A253" s="76" t="str">
        <f>IF(C253="","",VLOOKUP('OPĆI DIO'!$C$3,'OPĆI DIO'!$L$6:$U$138,10,FALSE))</f>
        <v/>
      </c>
      <c r="B253" s="76" t="str">
        <f>IF(C253="","",VLOOKUP('OPĆI DIO'!$C$3,'OPĆI DIO'!$L$6:$U$138,9,FALSE))</f>
        <v/>
      </c>
      <c r="C253" s="82"/>
      <c r="D253" s="77" t="str">
        <f t="shared" si="43"/>
        <v/>
      </c>
      <c r="E253" s="82"/>
      <c r="F253" s="77" t="str">
        <f t="shared" si="48"/>
        <v/>
      </c>
      <c r="G253" s="114"/>
      <c r="H253" s="77" t="str">
        <f t="shared" si="41"/>
        <v/>
      </c>
      <c r="I253" s="77" t="str">
        <f t="shared" si="42"/>
        <v/>
      </c>
      <c r="J253" s="113"/>
      <c r="K253" s="113"/>
      <c r="L253" s="113"/>
      <c r="M253" s="81"/>
      <c r="O253" s="72" t="str">
        <f t="shared" si="44"/>
        <v/>
      </c>
      <c r="P253" s="72" t="str">
        <f t="shared" si="45"/>
        <v/>
      </c>
      <c r="Q253" s="72" t="str">
        <f t="shared" si="46"/>
        <v/>
      </c>
      <c r="R253" s="72" t="str">
        <f t="shared" si="47"/>
        <v/>
      </c>
      <c r="AB253" s="72" t="s">
        <v>1027</v>
      </c>
      <c r="AC253" s="72" t="s">
        <v>1028</v>
      </c>
      <c r="AD253" s="72" t="s">
        <v>5143</v>
      </c>
      <c r="AE253" s="72" t="s">
        <v>5144</v>
      </c>
      <c r="AF253" s="72" t="s">
        <v>5165</v>
      </c>
      <c r="AG253" s="72" t="s">
        <v>5175</v>
      </c>
    </row>
    <row r="254" spans="1:33">
      <c r="A254" s="76" t="str">
        <f>IF(C254="","",VLOOKUP('OPĆI DIO'!$C$3,'OPĆI DIO'!$L$6:$U$138,10,FALSE))</f>
        <v/>
      </c>
      <c r="B254" s="76" t="str">
        <f>IF(C254="","",VLOOKUP('OPĆI DIO'!$C$3,'OPĆI DIO'!$L$6:$U$138,9,FALSE))</f>
        <v/>
      </c>
      <c r="C254" s="82"/>
      <c r="D254" s="77" t="str">
        <f t="shared" si="43"/>
        <v/>
      </c>
      <c r="E254" s="82"/>
      <c r="F254" s="77" t="str">
        <f t="shared" si="48"/>
        <v/>
      </c>
      <c r="G254" s="114"/>
      <c r="H254" s="77" t="str">
        <f t="shared" si="41"/>
        <v/>
      </c>
      <c r="I254" s="77" t="str">
        <f t="shared" si="42"/>
        <v/>
      </c>
      <c r="J254" s="113"/>
      <c r="K254" s="113"/>
      <c r="L254" s="113"/>
      <c r="M254" s="81"/>
      <c r="O254" s="72" t="str">
        <f t="shared" si="44"/>
        <v/>
      </c>
      <c r="P254" s="72" t="str">
        <f t="shared" si="45"/>
        <v/>
      </c>
      <c r="Q254" s="72" t="str">
        <f t="shared" si="46"/>
        <v/>
      </c>
      <c r="R254" s="72" t="str">
        <f t="shared" si="47"/>
        <v/>
      </c>
      <c r="AB254" s="72" t="s">
        <v>2004</v>
      </c>
      <c r="AC254" s="72" t="s">
        <v>3497</v>
      </c>
      <c r="AD254" s="72" t="s">
        <v>5143</v>
      </c>
      <c r="AE254" s="72" t="s">
        <v>5144</v>
      </c>
      <c r="AF254" s="72" t="s">
        <v>5165</v>
      </c>
      <c r="AG254" s="72" t="s">
        <v>5175</v>
      </c>
    </row>
    <row r="255" spans="1:33">
      <c r="A255" s="76" t="str">
        <f>IF(C255="","",VLOOKUP('OPĆI DIO'!$C$3,'OPĆI DIO'!$L$6:$U$138,10,FALSE))</f>
        <v/>
      </c>
      <c r="B255" s="76" t="str">
        <f>IF(C255="","",VLOOKUP('OPĆI DIO'!$C$3,'OPĆI DIO'!$L$6:$U$138,9,FALSE))</f>
        <v/>
      </c>
      <c r="C255" s="82"/>
      <c r="D255" s="77" t="str">
        <f t="shared" si="43"/>
        <v/>
      </c>
      <c r="E255" s="82"/>
      <c r="F255" s="77" t="str">
        <f t="shared" si="48"/>
        <v/>
      </c>
      <c r="G255" s="114"/>
      <c r="H255" s="77" t="str">
        <f t="shared" si="41"/>
        <v/>
      </c>
      <c r="I255" s="77" t="str">
        <f t="shared" si="42"/>
        <v/>
      </c>
      <c r="J255" s="113"/>
      <c r="K255" s="113"/>
      <c r="L255" s="113"/>
      <c r="M255" s="81"/>
      <c r="O255" s="72" t="str">
        <f t="shared" si="44"/>
        <v/>
      </c>
      <c r="P255" s="72" t="str">
        <f t="shared" si="45"/>
        <v/>
      </c>
      <c r="Q255" s="72" t="str">
        <f t="shared" si="46"/>
        <v/>
      </c>
      <c r="R255" s="72" t="str">
        <f t="shared" si="47"/>
        <v/>
      </c>
      <c r="AB255" s="72" t="s">
        <v>1662</v>
      </c>
      <c r="AC255" s="72" t="s">
        <v>684</v>
      </c>
      <c r="AD255" s="72" t="s">
        <v>5143</v>
      </c>
      <c r="AE255" s="72" t="s">
        <v>5144</v>
      </c>
      <c r="AF255" s="72" t="s">
        <v>5165</v>
      </c>
      <c r="AG255" s="72" t="s">
        <v>5175</v>
      </c>
    </row>
    <row r="256" spans="1:33">
      <c r="A256" s="76" t="str">
        <f>IF(C256="","",VLOOKUP('OPĆI DIO'!$C$3,'OPĆI DIO'!$L$6:$U$138,10,FALSE))</f>
        <v/>
      </c>
      <c r="B256" s="76" t="str">
        <f>IF(C256="","",VLOOKUP('OPĆI DIO'!$C$3,'OPĆI DIO'!$L$6:$U$138,9,FALSE))</f>
        <v/>
      </c>
      <c r="C256" s="82"/>
      <c r="D256" s="77" t="str">
        <f t="shared" si="43"/>
        <v/>
      </c>
      <c r="E256" s="82"/>
      <c r="F256" s="77" t="str">
        <f t="shared" si="48"/>
        <v/>
      </c>
      <c r="G256" s="114"/>
      <c r="H256" s="77" t="str">
        <f t="shared" si="41"/>
        <v/>
      </c>
      <c r="I256" s="77" t="str">
        <f t="shared" si="42"/>
        <v/>
      </c>
      <c r="J256" s="113"/>
      <c r="K256" s="113"/>
      <c r="L256" s="113"/>
      <c r="M256" s="81"/>
      <c r="O256" s="72" t="str">
        <f t="shared" si="44"/>
        <v/>
      </c>
      <c r="P256" s="72" t="str">
        <f t="shared" si="45"/>
        <v/>
      </c>
      <c r="Q256" s="72" t="str">
        <f t="shared" si="46"/>
        <v/>
      </c>
      <c r="R256" s="72" t="str">
        <f t="shared" si="47"/>
        <v/>
      </c>
      <c r="AB256" s="72" t="s">
        <v>1031</v>
      </c>
      <c r="AC256" s="72" t="s">
        <v>1032</v>
      </c>
      <c r="AD256" s="72" t="s">
        <v>5147</v>
      </c>
      <c r="AE256" s="72" t="s">
        <v>5148</v>
      </c>
      <c r="AF256" s="72" t="s">
        <v>5165</v>
      </c>
      <c r="AG256" s="72" t="s">
        <v>5173</v>
      </c>
    </row>
    <row r="257" spans="1:33">
      <c r="A257" s="76" t="str">
        <f>IF(C257="","",VLOOKUP('OPĆI DIO'!$C$3,'OPĆI DIO'!$L$6:$U$138,10,FALSE))</f>
        <v/>
      </c>
      <c r="B257" s="76" t="str">
        <f>IF(C257="","",VLOOKUP('OPĆI DIO'!$C$3,'OPĆI DIO'!$L$6:$U$138,9,FALSE))</f>
        <v/>
      </c>
      <c r="C257" s="82"/>
      <c r="D257" s="77" t="str">
        <f t="shared" si="43"/>
        <v/>
      </c>
      <c r="E257" s="82"/>
      <c r="F257" s="77" t="str">
        <f t="shared" si="48"/>
        <v/>
      </c>
      <c r="G257" s="114"/>
      <c r="H257" s="77" t="str">
        <f t="shared" si="41"/>
        <v/>
      </c>
      <c r="I257" s="77" t="str">
        <f t="shared" si="42"/>
        <v/>
      </c>
      <c r="J257" s="113"/>
      <c r="K257" s="113"/>
      <c r="L257" s="113"/>
      <c r="M257" s="81"/>
      <c r="O257" s="72" t="str">
        <f t="shared" si="44"/>
        <v/>
      </c>
      <c r="P257" s="72" t="str">
        <f t="shared" si="45"/>
        <v/>
      </c>
      <c r="Q257" s="72" t="str">
        <f t="shared" si="46"/>
        <v/>
      </c>
      <c r="R257" s="72" t="str">
        <f t="shared" si="47"/>
        <v/>
      </c>
      <c r="AB257" s="72" t="s">
        <v>1033</v>
      </c>
      <c r="AC257" s="72" t="s">
        <v>1034</v>
      </c>
      <c r="AD257" s="72" t="s">
        <v>5141</v>
      </c>
      <c r="AE257" s="72" t="s">
        <v>5142</v>
      </c>
      <c r="AF257" s="72" t="s">
        <v>5167</v>
      </c>
      <c r="AG257" s="72" t="s">
        <v>5168</v>
      </c>
    </row>
    <row r="258" spans="1:33">
      <c r="A258" s="76" t="str">
        <f>IF(C258="","",VLOOKUP('OPĆI DIO'!$C$3,'OPĆI DIO'!$L$6:$U$138,10,FALSE))</f>
        <v/>
      </c>
      <c r="B258" s="76" t="str">
        <f>IF(C258="","",VLOOKUP('OPĆI DIO'!$C$3,'OPĆI DIO'!$L$6:$U$138,9,FALSE))</f>
        <v/>
      </c>
      <c r="C258" s="82"/>
      <c r="D258" s="77" t="str">
        <f t="shared" si="43"/>
        <v/>
      </c>
      <c r="E258" s="82"/>
      <c r="F258" s="77" t="str">
        <f t="shared" si="48"/>
        <v/>
      </c>
      <c r="G258" s="114"/>
      <c r="H258" s="77" t="str">
        <f t="shared" si="41"/>
        <v/>
      </c>
      <c r="I258" s="77" t="str">
        <f t="shared" si="42"/>
        <v/>
      </c>
      <c r="J258" s="113"/>
      <c r="K258" s="113"/>
      <c r="L258" s="113"/>
      <c r="M258" s="81"/>
      <c r="O258" s="72" t="str">
        <f t="shared" si="44"/>
        <v/>
      </c>
      <c r="P258" s="72" t="str">
        <f t="shared" si="45"/>
        <v/>
      </c>
      <c r="Q258" s="72" t="str">
        <f t="shared" si="46"/>
        <v/>
      </c>
      <c r="R258" s="72" t="str">
        <f t="shared" si="47"/>
        <v/>
      </c>
      <c r="AB258" s="72" t="s">
        <v>1033</v>
      </c>
      <c r="AC258" s="72" t="s">
        <v>1034</v>
      </c>
      <c r="AD258" s="72" t="s">
        <v>5147</v>
      </c>
      <c r="AE258" s="72" t="s">
        <v>5148</v>
      </c>
      <c r="AF258" s="72" t="s">
        <v>5165</v>
      </c>
      <c r="AG258" s="72" t="s">
        <v>5173</v>
      </c>
    </row>
    <row r="259" spans="1:33">
      <c r="A259" s="76" t="str">
        <f>IF(C259="","",VLOOKUP('OPĆI DIO'!$C$3,'OPĆI DIO'!$L$6:$U$138,10,FALSE))</f>
        <v/>
      </c>
      <c r="B259" s="76" t="str">
        <f>IF(C259="","",VLOOKUP('OPĆI DIO'!$C$3,'OPĆI DIO'!$L$6:$U$138,9,FALSE))</f>
        <v/>
      </c>
      <c r="C259" s="82"/>
      <c r="D259" s="77" t="str">
        <f t="shared" si="43"/>
        <v/>
      </c>
      <c r="E259" s="82"/>
      <c r="F259" s="77" t="str">
        <f t="shared" si="48"/>
        <v/>
      </c>
      <c r="G259" s="114"/>
      <c r="H259" s="77" t="str">
        <f t="shared" ref="H259:H322" si="49">IFERROR(VLOOKUP(G259,$AB$6:$AC$337,2,FALSE),"")</f>
        <v/>
      </c>
      <c r="I259" s="77" t="str">
        <f t="shared" ref="I259:I322" si="50">IFERROR(VLOOKUP(G259,$AB$6:$AF$337,3,FALSE),"")</f>
        <v/>
      </c>
      <c r="J259" s="113"/>
      <c r="K259" s="113"/>
      <c r="L259" s="113"/>
      <c r="M259" s="81"/>
      <c r="O259" s="72" t="str">
        <f t="shared" si="44"/>
        <v/>
      </c>
      <c r="P259" s="72" t="str">
        <f t="shared" si="45"/>
        <v/>
      </c>
      <c r="Q259" s="72" t="str">
        <f t="shared" si="46"/>
        <v/>
      </c>
      <c r="R259" s="72" t="str">
        <f t="shared" si="47"/>
        <v/>
      </c>
      <c r="AB259" s="72" t="s">
        <v>1035</v>
      </c>
      <c r="AC259" s="72" t="s">
        <v>1036</v>
      </c>
      <c r="AD259" s="72" t="s">
        <v>5147</v>
      </c>
      <c r="AE259" s="72" t="s">
        <v>5148</v>
      </c>
      <c r="AF259" s="72" t="s">
        <v>5165</v>
      </c>
      <c r="AG259" s="72" t="s">
        <v>5173</v>
      </c>
    </row>
    <row r="260" spans="1:33">
      <c r="A260" s="76" t="str">
        <f>IF(C260="","",VLOOKUP('OPĆI DIO'!$C$3,'OPĆI DIO'!$L$6:$U$138,10,FALSE))</f>
        <v/>
      </c>
      <c r="B260" s="76" t="str">
        <f>IF(C260="","",VLOOKUP('OPĆI DIO'!$C$3,'OPĆI DIO'!$L$6:$U$138,9,FALSE))</f>
        <v/>
      </c>
      <c r="C260" s="82"/>
      <c r="D260" s="77" t="str">
        <f t="shared" si="43"/>
        <v/>
      </c>
      <c r="E260" s="82"/>
      <c r="F260" s="77" t="str">
        <f t="shared" si="48"/>
        <v/>
      </c>
      <c r="G260" s="114"/>
      <c r="H260" s="77" t="str">
        <f t="shared" si="49"/>
        <v/>
      </c>
      <c r="I260" s="77" t="str">
        <f t="shared" si="50"/>
        <v/>
      </c>
      <c r="J260" s="113"/>
      <c r="K260" s="113"/>
      <c r="L260" s="113"/>
      <c r="M260" s="81"/>
      <c r="O260" s="72" t="str">
        <f t="shared" si="44"/>
        <v/>
      </c>
      <c r="P260" s="72" t="str">
        <f t="shared" si="45"/>
        <v/>
      </c>
      <c r="Q260" s="72" t="str">
        <f t="shared" si="46"/>
        <v/>
      </c>
      <c r="R260" s="72" t="str">
        <f t="shared" si="47"/>
        <v/>
      </c>
      <c r="AB260" s="72" t="s">
        <v>1037</v>
      </c>
      <c r="AC260" s="72" t="s">
        <v>1038</v>
      </c>
      <c r="AD260" s="72" t="s">
        <v>5147</v>
      </c>
      <c r="AE260" s="72" t="s">
        <v>5148</v>
      </c>
      <c r="AF260" s="72" t="s">
        <v>5165</v>
      </c>
      <c r="AG260" s="72" t="s">
        <v>5173</v>
      </c>
    </row>
    <row r="261" spans="1:33">
      <c r="A261" s="76" t="str">
        <f>IF(C261="","",VLOOKUP('OPĆI DIO'!$C$3,'OPĆI DIO'!$L$6:$U$138,10,FALSE))</f>
        <v/>
      </c>
      <c r="B261" s="76" t="str">
        <f>IF(C261="","",VLOOKUP('OPĆI DIO'!$C$3,'OPĆI DIO'!$L$6:$U$138,9,FALSE))</f>
        <v/>
      </c>
      <c r="C261" s="82"/>
      <c r="D261" s="77" t="str">
        <f t="shared" si="43"/>
        <v/>
      </c>
      <c r="E261" s="82"/>
      <c r="F261" s="77" t="str">
        <f t="shared" si="48"/>
        <v/>
      </c>
      <c r="G261" s="114"/>
      <c r="H261" s="77" t="str">
        <f t="shared" si="49"/>
        <v/>
      </c>
      <c r="I261" s="77" t="str">
        <f t="shared" si="50"/>
        <v/>
      </c>
      <c r="J261" s="113"/>
      <c r="K261" s="113"/>
      <c r="L261" s="113"/>
      <c r="M261" s="81"/>
      <c r="O261" s="72" t="str">
        <f t="shared" si="44"/>
        <v/>
      </c>
      <c r="P261" s="72" t="str">
        <f t="shared" si="45"/>
        <v/>
      </c>
      <c r="Q261" s="72" t="str">
        <f t="shared" si="46"/>
        <v/>
      </c>
      <c r="R261" s="72" t="str">
        <f t="shared" si="47"/>
        <v/>
      </c>
      <c r="AB261" s="72" t="s">
        <v>1039</v>
      </c>
      <c r="AC261" s="72" t="s">
        <v>1040</v>
      </c>
      <c r="AD261" s="72" t="s">
        <v>5147</v>
      </c>
      <c r="AE261" s="72" t="s">
        <v>5148</v>
      </c>
      <c r="AF261" s="72" t="s">
        <v>5165</v>
      </c>
      <c r="AG261" s="72" t="s">
        <v>5173</v>
      </c>
    </row>
    <row r="262" spans="1:33">
      <c r="A262" s="76" t="str">
        <f>IF(C262="","",VLOOKUP('OPĆI DIO'!$C$3,'OPĆI DIO'!$L$6:$U$138,10,FALSE))</f>
        <v/>
      </c>
      <c r="B262" s="76" t="str">
        <f>IF(C262="","",VLOOKUP('OPĆI DIO'!$C$3,'OPĆI DIO'!$L$6:$U$138,9,FALSE))</f>
        <v/>
      </c>
      <c r="C262" s="82"/>
      <c r="D262" s="77" t="str">
        <f t="shared" si="43"/>
        <v/>
      </c>
      <c r="E262" s="82"/>
      <c r="F262" s="77" t="str">
        <f t="shared" si="48"/>
        <v/>
      </c>
      <c r="G262" s="114"/>
      <c r="H262" s="77" t="str">
        <f t="shared" si="49"/>
        <v/>
      </c>
      <c r="I262" s="77" t="str">
        <f t="shared" si="50"/>
        <v/>
      </c>
      <c r="J262" s="113"/>
      <c r="K262" s="113"/>
      <c r="L262" s="113"/>
      <c r="M262" s="81"/>
      <c r="O262" s="72" t="str">
        <f t="shared" si="44"/>
        <v/>
      </c>
      <c r="P262" s="72" t="str">
        <f t="shared" si="45"/>
        <v/>
      </c>
      <c r="Q262" s="72" t="str">
        <f t="shared" si="46"/>
        <v/>
      </c>
      <c r="R262" s="72" t="str">
        <f t="shared" si="47"/>
        <v/>
      </c>
      <c r="AB262" s="72" t="s">
        <v>1041</v>
      </c>
      <c r="AC262" s="72" t="s">
        <v>1042</v>
      </c>
      <c r="AD262" s="72" t="s">
        <v>5147</v>
      </c>
      <c r="AE262" s="72" t="s">
        <v>5148</v>
      </c>
      <c r="AF262" s="72" t="s">
        <v>5165</v>
      </c>
      <c r="AG262" s="72" t="s">
        <v>5173</v>
      </c>
    </row>
    <row r="263" spans="1:33">
      <c r="A263" s="76" t="str">
        <f>IF(C263="","",VLOOKUP('OPĆI DIO'!$C$3,'OPĆI DIO'!$L$6:$U$138,10,FALSE))</f>
        <v/>
      </c>
      <c r="B263" s="76" t="str">
        <f>IF(C263="","",VLOOKUP('OPĆI DIO'!$C$3,'OPĆI DIO'!$L$6:$U$138,9,FALSE))</f>
        <v/>
      </c>
      <c r="C263" s="82"/>
      <c r="D263" s="77" t="str">
        <f t="shared" si="43"/>
        <v/>
      </c>
      <c r="E263" s="82"/>
      <c r="F263" s="77" t="str">
        <f t="shared" si="48"/>
        <v/>
      </c>
      <c r="G263" s="114"/>
      <c r="H263" s="77" t="str">
        <f t="shared" si="49"/>
        <v/>
      </c>
      <c r="I263" s="77" t="str">
        <f t="shared" si="50"/>
        <v/>
      </c>
      <c r="J263" s="113"/>
      <c r="K263" s="113"/>
      <c r="L263" s="113"/>
      <c r="M263" s="81"/>
      <c r="O263" s="72" t="str">
        <f t="shared" si="44"/>
        <v/>
      </c>
      <c r="P263" s="72" t="str">
        <f t="shared" si="45"/>
        <v/>
      </c>
      <c r="Q263" s="72" t="str">
        <f t="shared" si="46"/>
        <v/>
      </c>
      <c r="R263" s="72" t="str">
        <f t="shared" si="47"/>
        <v/>
      </c>
      <c r="AB263" s="72" t="s">
        <v>1043</v>
      </c>
      <c r="AC263" s="72" t="s">
        <v>1044</v>
      </c>
      <c r="AD263" s="72" t="s">
        <v>5147</v>
      </c>
      <c r="AE263" s="72" t="s">
        <v>5148</v>
      </c>
      <c r="AF263" s="72" t="s">
        <v>5165</v>
      </c>
      <c r="AG263" s="72" t="s">
        <v>5173</v>
      </c>
    </row>
    <row r="264" spans="1:33">
      <c r="A264" s="76" t="str">
        <f>IF(C264="","",VLOOKUP('OPĆI DIO'!$C$3,'OPĆI DIO'!$L$6:$U$138,10,FALSE))</f>
        <v/>
      </c>
      <c r="B264" s="76" t="str">
        <f>IF(C264="","",VLOOKUP('OPĆI DIO'!$C$3,'OPĆI DIO'!$L$6:$U$138,9,FALSE))</f>
        <v/>
      </c>
      <c r="C264" s="82"/>
      <c r="D264" s="77" t="str">
        <f t="shared" si="43"/>
        <v/>
      </c>
      <c r="E264" s="82"/>
      <c r="F264" s="77" t="str">
        <f t="shared" si="48"/>
        <v/>
      </c>
      <c r="G264" s="114"/>
      <c r="H264" s="77" t="str">
        <f t="shared" si="49"/>
        <v/>
      </c>
      <c r="I264" s="77" t="str">
        <f t="shared" si="50"/>
        <v/>
      </c>
      <c r="J264" s="113"/>
      <c r="K264" s="113"/>
      <c r="L264" s="113"/>
      <c r="M264" s="81"/>
      <c r="O264" s="72" t="str">
        <f t="shared" si="44"/>
        <v/>
      </c>
      <c r="P264" s="72" t="str">
        <f t="shared" si="45"/>
        <v/>
      </c>
      <c r="Q264" s="72" t="str">
        <f t="shared" si="46"/>
        <v/>
      </c>
      <c r="R264" s="72" t="str">
        <f t="shared" si="47"/>
        <v/>
      </c>
      <c r="AB264" s="72" t="s">
        <v>1045</v>
      </c>
      <c r="AC264" s="72" t="s">
        <v>1046</v>
      </c>
      <c r="AD264" s="72" t="s">
        <v>5147</v>
      </c>
      <c r="AE264" s="72" t="s">
        <v>5148</v>
      </c>
      <c r="AF264" s="72" t="s">
        <v>5165</v>
      </c>
      <c r="AG264" s="72" t="s">
        <v>5173</v>
      </c>
    </row>
    <row r="265" spans="1:33">
      <c r="A265" s="76" t="str">
        <f>IF(C265="","",VLOOKUP('OPĆI DIO'!$C$3,'OPĆI DIO'!$L$6:$U$138,10,FALSE))</f>
        <v/>
      </c>
      <c r="B265" s="76" t="str">
        <f>IF(C265="","",VLOOKUP('OPĆI DIO'!$C$3,'OPĆI DIO'!$L$6:$U$138,9,FALSE))</f>
        <v/>
      </c>
      <c r="C265" s="82"/>
      <c r="D265" s="77" t="str">
        <f t="shared" si="43"/>
        <v/>
      </c>
      <c r="E265" s="82"/>
      <c r="F265" s="77" t="str">
        <f t="shared" si="48"/>
        <v/>
      </c>
      <c r="G265" s="114"/>
      <c r="H265" s="77" t="str">
        <f t="shared" si="49"/>
        <v/>
      </c>
      <c r="I265" s="77" t="str">
        <f t="shared" si="50"/>
        <v/>
      </c>
      <c r="J265" s="113"/>
      <c r="K265" s="113"/>
      <c r="L265" s="113"/>
      <c r="M265" s="81"/>
      <c r="O265" s="72" t="str">
        <f t="shared" si="44"/>
        <v/>
      </c>
      <c r="P265" s="72" t="str">
        <f t="shared" si="45"/>
        <v/>
      </c>
      <c r="Q265" s="72" t="str">
        <f t="shared" si="46"/>
        <v/>
      </c>
      <c r="R265" s="72" t="str">
        <f t="shared" si="47"/>
        <v/>
      </c>
      <c r="AB265" s="72" t="s">
        <v>1047</v>
      </c>
      <c r="AC265" s="72" t="s">
        <v>1048</v>
      </c>
      <c r="AD265" s="72" t="s">
        <v>5147</v>
      </c>
      <c r="AE265" s="72" t="s">
        <v>5148</v>
      </c>
      <c r="AF265" s="72" t="s">
        <v>5165</v>
      </c>
      <c r="AG265" s="72" t="s">
        <v>5173</v>
      </c>
    </row>
    <row r="266" spans="1:33">
      <c r="A266" s="76" t="str">
        <f>IF(C266="","",VLOOKUP('OPĆI DIO'!$C$3,'OPĆI DIO'!$L$6:$U$138,10,FALSE))</f>
        <v/>
      </c>
      <c r="B266" s="76" t="str">
        <f>IF(C266="","",VLOOKUP('OPĆI DIO'!$C$3,'OPĆI DIO'!$L$6:$U$138,9,FALSE))</f>
        <v/>
      </c>
      <c r="C266" s="82"/>
      <c r="D266" s="77" t="str">
        <f t="shared" si="43"/>
        <v/>
      </c>
      <c r="E266" s="82"/>
      <c r="F266" s="77" t="str">
        <f t="shared" si="48"/>
        <v/>
      </c>
      <c r="G266" s="114"/>
      <c r="H266" s="77" t="str">
        <f t="shared" si="49"/>
        <v/>
      </c>
      <c r="I266" s="77" t="str">
        <f t="shared" si="50"/>
        <v/>
      </c>
      <c r="J266" s="113"/>
      <c r="K266" s="113"/>
      <c r="L266" s="113"/>
      <c r="M266" s="81"/>
      <c r="O266" s="72" t="str">
        <f t="shared" si="44"/>
        <v/>
      </c>
      <c r="P266" s="72" t="str">
        <f t="shared" si="45"/>
        <v/>
      </c>
      <c r="Q266" s="72" t="str">
        <f t="shared" si="46"/>
        <v/>
      </c>
      <c r="R266" s="72" t="str">
        <f t="shared" si="47"/>
        <v/>
      </c>
      <c r="AB266" s="72" t="s">
        <v>1049</v>
      </c>
      <c r="AC266" s="72" t="s">
        <v>1050</v>
      </c>
      <c r="AD266" s="72" t="s">
        <v>5147</v>
      </c>
      <c r="AE266" s="72" t="s">
        <v>5148</v>
      </c>
      <c r="AF266" s="72" t="s">
        <v>5165</v>
      </c>
      <c r="AG266" s="72" t="s">
        <v>5173</v>
      </c>
    </row>
    <row r="267" spans="1:33">
      <c r="A267" s="76" t="str">
        <f>IF(C267="","",VLOOKUP('OPĆI DIO'!$C$3,'OPĆI DIO'!$L$6:$U$138,10,FALSE))</f>
        <v/>
      </c>
      <c r="B267" s="76" t="str">
        <f>IF(C267="","",VLOOKUP('OPĆI DIO'!$C$3,'OPĆI DIO'!$L$6:$U$138,9,FALSE))</f>
        <v/>
      </c>
      <c r="C267" s="82"/>
      <c r="D267" s="77" t="str">
        <f t="shared" si="43"/>
        <v/>
      </c>
      <c r="E267" s="82"/>
      <c r="F267" s="77" t="str">
        <f t="shared" si="48"/>
        <v/>
      </c>
      <c r="G267" s="114"/>
      <c r="H267" s="77" t="str">
        <f t="shared" si="49"/>
        <v/>
      </c>
      <c r="I267" s="77" t="str">
        <f t="shared" si="50"/>
        <v/>
      </c>
      <c r="J267" s="113"/>
      <c r="K267" s="113"/>
      <c r="L267" s="113"/>
      <c r="M267" s="81"/>
      <c r="O267" s="72" t="str">
        <f t="shared" si="44"/>
        <v/>
      </c>
      <c r="P267" s="72" t="str">
        <f t="shared" si="45"/>
        <v/>
      </c>
      <c r="Q267" s="72" t="str">
        <f t="shared" si="46"/>
        <v/>
      </c>
      <c r="R267" s="72" t="str">
        <f t="shared" si="47"/>
        <v/>
      </c>
      <c r="AB267" s="72" t="s">
        <v>1051</v>
      </c>
      <c r="AC267" s="72" t="s">
        <v>1052</v>
      </c>
      <c r="AD267" s="72" t="s">
        <v>5147</v>
      </c>
      <c r="AE267" s="72" t="s">
        <v>5148</v>
      </c>
      <c r="AF267" s="72" t="s">
        <v>5165</v>
      </c>
      <c r="AG267" s="72" t="s">
        <v>5173</v>
      </c>
    </row>
    <row r="268" spans="1:33">
      <c r="A268" s="76" t="str">
        <f>IF(C268="","",VLOOKUP('OPĆI DIO'!$C$3,'OPĆI DIO'!$L$6:$U$138,10,FALSE))</f>
        <v/>
      </c>
      <c r="B268" s="76" t="str">
        <f>IF(C268="","",VLOOKUP('OPĆI DIO'!$C$3,'OPĆI DIO'!$L$6:$U$138,9,FALSE))</f>
        <v/>
      </c>
      <c r="C268" s="82"/>
      <c r="D268" s="77" t="str">
        <f t="shared" si="43"/>
        <v/>
      </c>
      <c r="E268" s="82"/>
      <c r="F268" s="77" t="str">
        <f t="shared" si="48"/>
        <v/>
      </c>
      <c r="G268" s="114"/>
      <c r="H268" s="77" t="str">
        <f t="shared" si="49"/>
        <v/>
      </c>
      <c r="I268" s="77" t="str">
        <f t="shared" si="50"/>
        <v/>
      </c>
      <c r="J268" s="113"/>
      <c r="K268" s="113"/>
      <c r="L268" s="113"/>
      <c r="M268" s="81"/>
      <c r="O268" s="72" t="str">
        <f t="shared" si="44"/>
        <v/>
      </c>
      <c r="P268" s="72" t="str">
        <f t="shared" si="45"/>
        <v/>
      </c>
      <c r="Q268" s="72" t="str">
        <f t="shared" si="46"/>
        <v/>
      </c>
      <c r="R268" s="72" t="str">
        <f t="shared" si="47"/>
        <v/>
      </c>
      <c r="AB268" s="72" t="s">
        <v>1053</v>
      </c>
      <c r="AC268" s="72" t="s">
        <v>1054</v>
      </c>
      <c r="AD268" s="72" t="s">
        <v>5147</v>
      </c>
      <c r="AE268" s="72" t="s">
        <v>5148</v>
      </c>
      <c r="AF268" s="72" t="s">
        <v>5165</v>
      </c>
      <c r="AG268" s="72" t="s">
        <v>5173</v>
      </c>
    </row>
    <row r="269" spans="1:33">
      <c r="A269" s="76" t="str">
        <f>IF(C269="","",VLOOKUP('OPĆI DIO'!$C$3,'OPĆI DIO'!$L$6:$U$138,10,FALSE))</f>
        <v/>
      </c>
      <c r="B269" s="76" t="str">
        <f>IF(C269="","",VLOOKUP('OPĆI DIO'!$C$3,'OPĆI DIO'!$L$6:$U$138,9,FALSE))</f>
        <v/>
      </c>
      <c r="C269" s="82"/>
      <c r="D269" s="77" t="str">
        <f t="shared" ref="D269:D332" si="51">IFERROR(VLOOKUP(C269,$S$6:$T$24,2,FALSE),"")</f>
        <v/>
      </c>
      <c r="E269" s="82"/>
      <c r="F269" s="77" t="str">
        <f t="shared" si="48"/>
        <v/>
      </c>
      <c r="G269" s="114"/>
      <c r="H269" s="77" t="str">
        <f t="shared" si="49"/>
        <v/>
      </c>
      <c r="I269" s="77" t="str">
        <f t="shared" si="50"/>
        <v/>
      </c>
      <c r="J269" s="113"/>
      <c r="K269" s="113"/>
      <c r="L269" s="113"/>
      <c r="M269" s="81"/>
      <c r="O269" s="72" t="str">
        <f t="shared" si="44"/>
        <v/>
      </c>
      <c r="P269" s="72" t="str">
        <f t="shared" si="45"/>
        <v/>
      </c>
      <c r="Q269" s="72" t="str">
        <f t="shared" si="46"/>
        <v/>
      </c>
      <c r="R269" s="72" t="str">
        <f t="shared" si="47"/>
        <v/>
      </c>
      <c r="AB269" s="72" t="s">
        <v>1055</v>
      </c>
      <c r="AC269" s="72" t="s">
        <v>1056</v>
      </c>
      <c r="AD269" s="72" t="s">
        <v>5147</v>
      </c>
      <c r="AE269" s="72" t="s">
        <v>5148</v>
      </c>
      <c r="AF269" s="72" t="s">
        <v>5165</v>
      </c>
      <c r="AG269" s="72" t="s">
        <v>5173</v>
      </c>
    </row>
    <row r="270" spans="1:33">
      <c r="A270" s="76" t="str">
        <f>IF(C270="","",VLOOKUP('OPĆI DIO'!$C$3,'OPĆI DIO'!$L$6:$U$138,10,FALSE))</f>
        <v/>
      </c>
      <c r="B270" s="76" t="str">
        <f>IF(C270="","",VLOOKUP('OPĆI DIO'!$C$3,'OPĆI DIO'!$L$6:$U$138,9,FALSE))</f>
        <v/>
      </c>
      <c r="C270" s="82"/>
      <c r="D270" s="77" t="str">
        <f t="shared" si="51"/>
        <v/>
      </c>
      <c r="E270" s="82"/>
      <c r="F270" s="77" t="str">
        <f t="shared" si="48"/>
        <v/>
      </c>
      <c r="G270" s="114"/>
      <c r="H270" s="77" t="str">
        <f t="shared" si="49"/>
        <v/>
      </c>
      <c r="I270" s="77" t="str">
        <f t="shared" si="50"/>
        <v/>
      </c>
      <c r="J270" s="113"/>
      <c r="K270" s="113"/>
      <c r="L270" s="113"/>
      <c r="M270" s="81"/>
      <c r="O270" s="72" t="str">
        <f t="shared" ref="O270:O333" si="52">LEFT(E270,3)</f>
        <v/>
      </c>
      <c r="P270" s="72" t="str">
        <f t="shared" ref="P270:P333" si="53">LEFT(E270,2)</f>
        <v/>
      </c>
      <c r="Q270" s="72" t="str">
        <f t="shared" ref="Q270:Q333" si="54">LEFT(C270,3)</f>
        <v/>
      </c>
      <c r="R270" s="72" t="str">
        <f t="shared" ref="R270:R333" si="55">MID(I270,2,2)</f>
        <v/>
      </c>
      <c r="AB270" s="72" t="s">
        <v>1663</v>
      </c>
      <c r="AC270" s="72" t="s">
        <v>1664</v>
      </c>
      <c r="AD270" s="72" t="s">
        <v>5147</v>
      </c>
      <c r="AE270" s="72" t="s">
        <v>5148</v>
      </c>
      <c r="AF270" s="72" t="s">
        <v>5165</v>
      </c>
      <c r="AG270" s="72" t="s">
        <v>5173</v>
      </c>
    </row>
    <row r="271" spans="1:33">
      <c r="A271" s="76" t="str">
        <f>IF(C271="","",VLOOKUP('OPĆI DIO'!$C$3,'OPĆI DIO'!$L$6:$U$138,10,FALSE))</f>
        <v/>
      </c>
      <c r="B271" s="76" t="str">
        <f>IF(C271="","",VLOOKUP('OPĆI DIO'!$C$3,'OPĆI DIO'!$L$6:$U$138,9,FALSE))</f>
        <v/>
      </c>
      <c r="C271" s="82"/>
      <c r="D271" s="77" t="str">
        <f t="shared" si="51"/>
        <v/>
      </c>
      <c r="E271" s="82"/>
      <c r="F271" s="77" t="str">
        <f t="shared" si="48"/>
        <v/>
      </c>
      <c r="G271" s="114"/>
      <c r="H271" s="77" t="str">
        <f t="shared" si="49"/>
        <v/>
      </c>
      <c r="I271" s="77" t="str">
        <f t="shared" si="50"/>
        <v/>
      </c>
      <c r="J271" s="113"/>
      <c r="K271" s="113"/>
      <c r="L271" s="113"/>
      <c r="M271" s="81"/>
      <c r="O271" s="72" t="str">
        <f t="shared" si="52"/>
        <v/>
      </c>
      <c r="P271" s="72" t="str">
        <f t="shared" si="53"/>
        <v/>
      </c>
      <c r="Q271" s="72" t="str">
        <f t="shared" si="54"/>
        <v/>
      </c>
      <c r="R271" s="72" t="str">
        <f t="shared" si="55"/>
        <v/>
      </c>
      <c r="AB271" s="72" t="s">
        <v>1969</v>
      </c>
      <c r="AC271" s="72" t="s">
        <v>1970</v>
      </c>
      <c r="AD271" s="72" t="s">
        <v>5147</v>
      </c>
      <c r="AE271" s="72" t="s">
        <v>5148</v>
      </c>
      <c r="AF271" s="72" t="s">
        <v>5165</v>
      </c>
      <c r="AG271" s="72" t="s">
        <v>5173</v>
      </c>
    </row>
    <row r="272" spans="1:33">
      <c r="A272" s="76" t="str">
        <f>IF(C272="","",VLOOKUP('OPĆI DIO'!$C$3,'OPĆI DIO'!$L$6:$U$138,10,FALSE))</f>
        <v/>
      </c>
      <c r="B272" s="76" t="str">
        <f>IF(C272="","",VLOOKUP('OPĆI DIO'!$C$3,'OPĆI DIO'!$L$6:$U$138,9,FALSE))</f>
        <v/>
      </c>
      <c r="C272" s="82"/>
      <c r="D272" s="77" t="str">
        <f t="shared" si="51"/>
        <v/>
      </c>
      <c r="E272" s="82"/>
      <c r="F272" s="77" t="str">
        <f t="shared" si="48"/>
        <v/>
      </c>
      <c r="G272" s="114"/>
      <c r="H272" s="77" t="str">
        <f t="shared" si="49"/>
        <v/>
      </c>
      <c r="I272" s="77" t="str">
        <f t="shared" si="50"/>
        <v/>
      </c>
      <c r="J272" s="113"/>
      <c r="K272" s="113"/>
      <c r="L272" s="113"/>
      <c r="M272" s="81"/>
      <c r="O272" s="72" t="str">
        <f t="shared" si="52"/>
        <v/>
      </c>
      <c r="P272" s="72" t="str">
        <f t="shared" si="53"/>
        <v/>
      </c>
      <c r="Q272" s="72" t="str">
        <f t="shared" si="54"/>
        <v/>
      </c>
      <c r="R272" s="72" t="str">
        <f t="shared" si="55"/>
        <v/>
      </c>
      <c r="AB272" s="72" t="s">
        <v>3498</v>
      </c>
      <c r="AC272" s="72" t="s">
        <v>3499</v>
      </c>
      <c r="AD272" s="72" t="s">
        <v>5147</v>
      </c>
      <c r="AE272" s="72" t="s">
        <v>5148</v>
      </c>
      <c r="AF272" s="72" t="s">
        <v>5165</v>
      </c>
      <c r="AG272" s="72" t="s">
        <v>5173</v>
      </c>
    </row>
    <row r="273" spans="1:33">
      <c r="A273" s="76" t="str">
        <f>IF(C273="","",VLOOKUP('OPĆI DIO'!$C$3,'OPĆI DIO'!$L$6:$U$138,10,FALSE))</f>
        <v/>
      </c>
      <c r="B273" s="76" t="str">
        <f>IF(C273="","",VLOOKUP('OPĆI DIO'!$C$3,'OPĆI DIO'!$L$6:$U$138,9,FALSE))</f>
        <v/>
      </c>
      <c r="C273" s="82"/>
      <c r="D273" s="77" t="str">
        <f t="shared" si="51"/>
        <v/>
      </c>
      <c r="E273" s="82"/>
      <c r="F273" s="77" t="str">
        <f t="shared" si="48"/>
        <v/>
      </c>
      <c r="G273" s="114"/>
      <c r="H273" s="77" t="str">
        <f t="shared" si="49"/>
        <v/>
      </c>
      <c r="I273" s="77" t="str">
        <f t="shared" si="50"/>
        <v/>
      </c>
      <c r="J273" s="113"/>
      <c r="K273" s="113"/>
      <c r="L273" s="113"/>
      <c r="M273" s="81"/>
      <c r="O273" s="72" t="str">
        <f t="shared" si="52"/>
        <v/>
      </c>
      <c r="P273" s="72" t="str">
        <f t="shared" si="53"/>
        <v/>
      </c>
      <c r="Q273" s="72" t="str">
        <f t="shared" si="54"/>
        <v/>
      </c>
      <c r="R273" s="72" t="str">
        <f t="shared" si="55"/>
        <v/>
      </c>
      <c r="AB273" s="72" t="s">
        <v>3500</v>
      </c>
      <c r="AC273" s="72" t="s">
        <v>3501</v>
      </c>
      <c r="AD273" s="72" t="s">
        <v>5147</v>
      </c>
      <c r="AE273" s="72" t="s">
        <v>5148</v>
      </c>
      <c r="AF273" s="72" t="s">
        <v>5165</v>
      </c>
      <c r="AG273" s="72" t="s">
        <v>5173</v>
      </c>
    </row>
    <row r="274" spans="1:33">
      <c r="A274" s="76" t="str">
        <f>IF(C274="","",VLOOKUP('OPĆI DIO'!$C$3,'OPĆI DIO'!$L$6:$U$138,10,FALSE))</f>
        <v/>
      </c>
      <c r="B274" s="76" t="str">
        <f>IF(C274="","",VLOOKUP('OPĆI DIO'!$C$3,'OPĆI DIO'!$L$6:$U$138,9,FALSE))</f>
        <v/>
      </c>
      <c r="C274" s="82"/>
      <c r="D274" s="77" t="str">
        <f t="shared" si="51"/>
        <v/>
      </c>
      <c r="E274" s="82"/>
      <c r="F274" s="77" t="str">
        <f t="shared" si="48"/>
        <v/>
      </c>
      <c r="G274" s="114"/>
      <c r="H274" s="77" t="str">
        <f t="shared" si="49"/>
        <v/>
      </c>
      <c r="I274" s="77" t="str">
        <f t="shared" si="50"/>
        <v/>
      </c>
      <c r="J274" s="113"/>
      <c r="K274" s="113"/>
      <c r="L274" s="113"/>
      <c r="M274" s="81"/>
      <c r="O274" s="72" t="str">
        <f t="shared" si="52"/>
        <v/>
      </c>
      <c r="P274" s="72" t="str">
        <f t="shared" si="53"/>
        <v/>
      </c>
      <c r="Q274" s="72" t="str">
        <f t="shared" si="54"/>
        <v/>
      </c>
      <c r="R274" s="72" t="str">
        <f t="shared" si="55"/>
        <v/>
      </c>
      <c r="AB274" s="72" t="s">
        <v>1971</v>
      </c>
      <c r="AC274" s="72" t="s">
        <v>1972</v>
      </c>
      <c r="AD274" s="72" t="s">
        <v>5147</v>
      </c>
      <c r="AE274" s="72" t="s">
        <v>5148</v>
      </c>
      <c r="AF274" s="72" t="s">
        <v>5165</v>
      </c>
      <c r="AG274" s="72" t="s">
        <v>5173</v>
      </c>
    </row>
    <row r="275" spans="1:33">
      <c r="A275" s="76" t="str">
        <f>IF(C275="","",VLOOKUP('OPĆI DIO'!$C$3,'OPĆI DIO'!$L$6:$U$138,10,FALSE))</f>
        <v/>
      </c>
      <c r="B275" s="76" t="str">
        <f>IF(C275="","",VLOOKUP('OPĆI DIO'!$C$3,'OPĆI DIO'!$L$6:$U$138,9,FALSE))</f>
        <v/>
      </c>
      <c r="C275" s="82"/>
      <c r="D275" s="77" t="str">
        <f t="shared" si="51"/>
        <v/>
      </c>
      <c r="E275" s="82"/>
      <c r="F275" s="77" t="str">
        <f t="shared" si="48"/>
        <v/>
      </c>
      <c r="G275" s="114"/>
      <c r="H275" s="77" t="str">
        <f t="shared" si="49"/>
        <v/>
      </c>
      <c r="I275" s="77" t="str">
        <f t="shared" si="50"/>
        <v/>
      </c>
      <c r="J275" s="113"/>
      <c r="K275" s="113"/>
      <c r="L275" s="113"/>
      <c r="M275" s="81"/>
      <c r="O275" s="72" t="str">
        <f t="shared" si="52"/>
        <v/>
      </c>
      <c r="P275" s="72" t="str">
        <f t="shared" si="53"/>
        <v/>
      </c>
      <c r="Q275" s="72" t="str">
        <f t="shared" si="54"/>
        <v/>
      </c>
      <c r="R275" s="72" t="str">
        <f t="shared" si="55"/>
        <v/>
      </c>
      <c r="AB275" s="72" t="s">
        <v>1057</v>
      </c>
      <c r="AC275" s="72" t="s">
        <v>1058</v>
      </c>
      <c r="AD275" s="72" t="s">
        <v>5147</v>
      </c>
      <c r="AE275" s="72" t="s">
        <v>5148</v>
      </c>
      <c r="AF275" s="72" t="s">
        <v>5165</v>
      </c>
      <c r="AG275" s="72" t="s">
        <v>5173</v>
      </c>
    </row>
    <row r="276" spans="1:33">
      <c r="A276" s="76" t="str">
        <f>IF(C276="","",VLOOKUP('OPĆI DIO'!$C$3,'OPĆI DIO'!$L$6:$U$138,10,FALSE))</f>
        <v/>
      </c>
      <c r="B276" s="76" t="str">
        <f>IF(C276="","",VLOOKUP('OPĆI DIO'!$C$3,'OPĆI DIO'!$L$6:$U$138,9,FALSE))</f>
        <v/>
      </c>
      <c r="C276" s="82"/>
      <c r="D276" s="77" t="str">
        <f t="shared" si="51"/>
        <v/>
      </c>
      <c r="E276" s="82"/>
      <c r="F276" s="77" t="str">
        <f t="shared" si="48"/>
        <v/>
      </c>
      <c r="G276" s="114"/>
      <c r="H276" s="77" t="str">
        <f t="shared" si="49"/>
        <v/>
      </c>
      <c r="I276" s="77" t="str">
        <f t="shared" si="50"/>
        <v/>
      </c>
      <c r="J276" s="113"/>
      <c r="K276" s="113"/>
      <c r="L276" s="113"/>
      <c r="M276" s="81"/>
      <c r="O276" s="72" t="str">
        <f t="shared" si="52"/>
        <v/>
      </c>
      <c r="P276" s="72" t="str">
        <f t="shared" si="53"/>
        <v/>
      </c>
      <c r="Q276" s="72" t="str">
        <f t="shared" si="54"/>
        <v/>
      </c>
      <c r="R276" s="72" t="str">
        <f t="shared" si="55"/>
        <v/>
      </c>
      <c r="AB276" s="72" t="s">
        <v>1059</v>
      </c>
      <c r="AC276" s="72" t="s">
        <v>1060</v>
      </c>
      <c r="AD276" s="72" t="s">
        <v>5147</v>
      </c>
      <c r="AE276" s="72" t="s">
        <v>5148</v>
      </c>
      <c r="AF276" s="72" t="s">
        <v>5165</v>
      </c>
      <c r="AG276" s="72" t="s">
        <v>5173</v>
      </c>
    </row>
    <row r="277" spans="1:33">
      <c r="A277" s="76" t="str">
        <f>IF(C277="","",VLOOKUP('OPĆI DIO'!$C$3,'OPĆI DIO'!$L$6:$U$138,10,FALSE))</f>
        <v/>
      </c>
      <c r="B277" s="76" t="str">
        <f>IF(C277="","",VLOOKUP('OPĆI DIO'!$C$3,'OPĆI DIO'!$L$6:$U$138,9,FALSE))</f>
        <v/>
      </c>
      <c r="C277" s="82"/>
      <c r="D277" s="77" t="str">
        <f t="shared" si="51"/>
        <v/>
      </c>
      <c r="E277" s="82"/>
      <c r="F277" s="77" t="str">
        <f t="shared" si="48"/>
        <v/>
      </c>
      <c r="G277" s="114"/>
      <c r="H277" s="77" t="str">
        <f t="shared" si="49"/>
        <v/>
      </c>
      <c r="I277" s="77" t="str">
        <f t="shared" si="50"/>
        <v/>
      </c>
      <c r="J277" s="113"/>
      <c r="K277" s="113"/>
      <c r="L277" s="113"/>
      <c r="M277" s="81"/>
      <c r="O277" s="72" t="str">
        <f t="shared" si="52"/>
        <v/>
      </c>
      <c r="P277" s="72" t="str">
        <f t="shared" si="53"/>
        <v/>
      </c>
      <c r="Q277" s="72" t="str">
        <f t="shared" si="54"/>
        <v/>
      </c>
      <c r="R277" s="72" t="str">
        <f t="shared" si="55"/>
        <v/>
      </c>
      <c r="AB277" s="72" t="s">
        <v>1061</v>
      </c>
      <c r="AC277" s="72" t="s">
        <v>684</v>
      </c>
      <c r="AD277" s="72" t="s">
        <v>5147</v>
      </c>
      <c r="AE277" s="72" t="s">
        <v>5148</v>
      </c>
      <c r="AF277" s="72" t="s">
        <v>5165</v>
      </c>
      <c r="AG277" s="72" t="s">
        <v>5173</v>
      </c>
    </row>
    <row r="278" spans="1:33">
      <c r="A278" s="76" t="str">
        <f>IF(C278="","",VLOOKUP('OPĆI DIO'!$C$3,'OPĆI DIO'!$L$6:$U$138,10,FALSE))</f>
        <v/>
      </c>
      <c r="B278" s="76" t="str">
        <f>IF(C278="","",VLOOKUP('OPĆI DIO'!$C$3,'OPĆI DIO'!$L$6:$U$138,9,FALSE))</f>
        <v/>
      </c>
      <c r="C278" s="82"/>
      <c r="D278" s="77" t="str">
        <f t="shared" si="51"/>
        <v/>
      </c>
      <c r="E278" s="82"/>
      <c r="F278" s="77" t="str">
        <f t="shared" si="48"/>
        <v/>
      </c>
      <c r="G278" s="114"/>
      <c r="H278" s="77" t="str">
        <f t="shared" si="49"/>
        <v/>
      </c>
      <c r="I278" s="77" t="str">
        <f t="shared" si="50"/>
        <v/>
      </c>
      <c r="J278" s="113"/>
      <c r="K278" s="113"/>
      <c r="L278" s="113"/>
      <c r="M278" s="81"/>
      <c r="O278" s="72" t="str">
        <f t="shared" si="52"/>
        <v/>
      </c>
      <c r="P278" s="72" t="str">
        <f t="shared" si="53"/>
        <v/>
      </c>
      <c r="Q278" s="72" t="str">
        <f t="shared" si="54"/>
        <v/>
      </c>
      <c r="R278" s="72" t="str">
        <f t="shared" si="55"/>
        <v/>
      </c>
      <c r="AB278" s="72" t="s">
        <v>1064</v>
      </c>
      <c r="AC278" s="72" t="s">
        <v>1065</v>
      </c>
      <c r="AD278" s="72" t="s">
        <v>5143</v>
      </c>
      <c r="AE278" s="72" t="s">
        <v>5144</v>
      </c>
      <c r="AF278" s="72" t="s">
        <v>5165</v>
      </c>
      <c r="AG278" s="72" t="s">
        <v>5175</v>
      </c>
    </row>
    <row r="279" spans="1:33">
      <c r="A279" s="76" t="str">
        <f>IF(C279="","",VLOOKUP('OPĆI DIO'!$C$3,'OPĆI DIO'!$L$6:$U$138,10,FALSE))</f>
        <v/>
      </c>
      <c r="B279" s="76" t="str">
        <f>IF(C279="","",VLOOKUP('OPĆI DIO'!$C$3,'OPĆI DIO'!$L$6:$U$138,9,FALSE))</f>
        <v/>
      </c>
      <c r="C279" s="82"/>
      <c r="D279" s="77" t="str">
        <f t="shared" si="51"/>
        <v/>
      </c>
      <c r="E279" s="82"/>
      <c r="F279" s="77" t="str">
        <f t="shared" si="48"/>
        <v/>
      </c>
      <c r="G279" s="114"/>
      <c r="H279" s="77" t="str">
        <f t="shared" si="49"/>
        <v/>
      </c>
      <c r="I279" s="77" t="str">
        <f t="shared" si="50"/>
        <v/>
      </c>
      <c r="J279" s="113"/>
      <c r="K279" s="113"/>
      <c r="L279" s="113"/>
      <c r="M279" s="81"/>
      <c r="O279" s="72" t="str">
        <f t="shared" si="52"/>
        <v/>
      </c>
      <c r="P279" s="72" t="str">
        <f t="shared" si="53"/>
        <v/>
      </c>
      <c r="Q279" s="72" t="str">
        <f t="shared" si="54"/>
        <v/>
      </c>
      <c r="R279" s="72" t="str">
        <f t="shared" si="55"/>
        <v/>
      </c>
      <c r="AB279" s="72" t="s">
        <v>1066</v>
      </c>
      <c r="AC279" s="72" t="s">
        <v>1665</v>
      </c>
      <c r="AD279" s="72" t="s">
        <v>5143</v>
      </c>
      <c r="AE279" s="72" t="s">
        <v>5144</v>
      </c>
      <c r="AF279" s="72" t="s">
        <v>5165</v>
      </c>
      <c r="AG279" s="72" t="s">
        <v>5175</v>
      </c>
    </row>
    <row r="280" spans="1:33">
      <c r="A280" s="76" t="str">
        <f>IF(C280="","",VLOOKUP('OPĆI DIO'!$C$3,'OPĆI DIO'!$L$6:$U$138,10,FALSE))</f>
        <v/>
      </c>
      <c r="B280" s="76" t="str">
        <f>IF(C280="","",VLOOKUP('OPĆI DIO'!$C$3,'OPĆI DIO'!$L$6:$U$138,9,FALSE))</f>
        <v/>
      </c>
      <c r="C280" s="82"/>
      <c r="D280" s="77" t="str">
        <f t="shared" si="51"/>
        <v/>
      </c>
      <c r="E280" s="82"/>
      <c r="F280" s="77" t="str">
        <f t="shared" si="48"/>
        <v/>
      </c>
      <c r="G280" s="114"/>
      <c r="H280" s="77" t="str">
        <f t="shared" si="49"/>
        <v/>
      </c>
      <c r="I280" s="77" t="str">
        <f t="shared" si="50"/>
        <v/>
      </c>
      <c r="J280" s="113"/>
      <c r="K280" s="113"/>
      <c r="L280" s="113"/>
      <c r="M280" s="81"/>
      <c r="O280" s="72" t="str">
        <f t="shared" si="52"/>
        <v/>
      </c>
      <c r="P280" s="72" t="str">
        <f t="shared" si="53"/>
        <v/>
      </c>
      <c r="Q280" s="72" t="str">
        <f t="shared" si="54"/>
        <v/>
      </c>
      <c r="R280" s="72" t="str">
        <f t="shared" si="55"/>
        <v/>
      </c>
      <c r="AB280" s="72" t="s">
        <v>1067</v>
      </c>
      <c r="AC280" s="72" t="s">
        <v>1068</v>
      </c>
      <c r="AD280" s="72" t="s">
        <v>5143</v>
      </c>
      <c r="AE280" s="72" t="s">
        <v>5144</v>
      </c>
      <c r="AF280" s="72" t="s">
        <v>5165</v>
      </c>
      <c r="AG280" s="72" t="s">
        <v>5175</v>
      </c>
    </row>
    <row r="281" spans="1:33">
      <c r="A281" s="76" t="str">
        <f>IF(C281="","",VLOOKUP('OPĆI DIO'!$C$3,'OPĆI DIO'!$L$6:$U$138,10,FALSE))</f>
        <v/>
      </c>
      <c r="B281" s="76" t="str">
        <f>IF(C281="","",VLOOKUP('OPĆI DIO'!$C$3,'OPĆI DIO'!$L$6:$U$138,9,FALSE))</f>
        <v/>
      </c>
      <c r="C281" s="82"/>
      <c r="D281" s="77" t="str">
        <f t="shared" si="51"/>
        <v/>
      </c>
      <c r="E281" s="82"/>
      <c r="F281" s="77" t="str">
        <f t="shared" si="48"/>
        <v/>
      </c>
      <c r="G281" s="114"/>
      <c r="H281" s="77" t="str">
        <f t="shared" si="49"/>
        <v/>
      </c>
      <c r="I281" s="77" t="str">
        <f t="shared" si="50"/>
        <v/>
      </c>
      <c r="J281" s="113"/>
      <c r="K281" s="113"/>
      <c r="L281" s="113"/>
      <c r="M281" s="81"/>
      <c r="O281" s="72" t="str">
        <f t="shared" si="52"/>
        <v/>
      </c>
      <c r="P281" s="72" t="str">
        <f t="shared" si="53"/>
        <v/>
      </c>
      <c r="Q281" s="72" t="str">
        <f t="shared" si="54"/>
        <v/>
      </c>
      <c r="R281" s="72" t="str">
        <f t="shared" si="55"/>
        <v/>
      </c>
      <c r="AB281" s="72" t="s">
        <v>3502</v>
      </c>
      <c r="AC281" s="72" t="s">
        <v>3503</v>
      </c>
      <c r="AD281" s="72" t="s">
        <v>5143</v>
      </c>
      <c r="AE281" s="72" t="s">
        <v>5144</v>
      </c>
      <c r="AF281" s="72" t="s">
        <v>5165</v>
      </c>
      <c r="AG281" s="72" t="s">
        <v>5175</v>
      </c>
    </row>
    <row r="282" spans="1:33">
      <c r="A282" s="76" t="str">
        <f>IF(C282="","",VLOOKUP('OPĆI DIO'!$C$3,'OPĆI DIO'!$L$6:$U$138,10,FALSE))</f>
        <v/>
      </c>
      <c r="B282" s="76" t="str">
        <f>IF(C282="","",VLOOKUP('OPĆI DIO'!$C$3,'OPĆI DIO'!$L$6:$U$138,9,FALSE))</f>
        <v/>
      </c>
      <c r="C282" s="82"/>
      <c r="D282" s="77" t="str">
        <f t="shared" si="51"/>
        <v/>
      </c>
      <c r="E282" s="82"/>
      <c r="F282" s="77" t="str">
        <f t="shared" si="48"/>
        <v/>
      </c>
      <c r="G282" s="114"/>
      <c r="H282" s="77" t="str">
        <f t="shared" si="49"/>
        <v/>
      </c>
      <c r="I282" s="77" t="str">
        <f t="shared" si="50"/>
        <v/>
      </c>
      <c r="J282" s="113"/>
      <c r="K282" s="113"/>
      <c r="L282" s="113"/>
      <c r="M282" s="81"/>
      <c r="O282" s="72" t="str">
        <f t="shared" si="52"/>
        <v/>
      </c>
      <c r="P282" s="72" t="str">
        <f t="shared" si="53"/>
        <v/>
      </c>
      <c r="Q282" s="72" t="str">
        <f t="shared" si="54"/>
        <v/>
      </c>
      <c r="R282" s="72" t="str">
        <f t="shared" si="55"/>
        <v/>
      </c>
      <c r="AB282" s="72" t="s">
        <v>1069</v>
      </c>
      <c r="AC282" s="72" t="s">
        <v>1070</v>
      </c>
      <c r="AD282" s="72" t="s">
        <v>5143</v>
      </c>
      <c r="AE282" s="72" t="s">
        <v>5144</v>
      </c>
      <c r="AF282" s="72" t="s">
        <v>5165</v>
      </c>
      <c r="AG282" s="72" t="s">
        <v>5175</v>
      </c>
    </row>
    <row r="283" spans="1:33">
      <c r="A283" s="76" t="str">
        <f>IF(C283="","",VLOOKUP('OPĆI DIO'!$C$3,'OPĆI DIO'!$L$6:$U$138,10,FALSE))</f>
        <v/>
      </c>
      <c r="B283" s="76" t="str">
        <f>IF(C283="","",VLOOKUP('OPĆI DIO'!$C$3,'OPĆI DIO'!$L$6:$U$138,9,FALSE))</f>
        <v/>
      </c>
      <c r="C283" s="82"/>
      <c r="D283" s="77" t="str">
        <f t="shared" si="51"/>
        <v/>
      </c>
      <c r="E283" s="82"/>
      <c r="F283" s="77" t="str">
        <f t="shared" si="48"/>
        <v/>
      </c>
      <c r="G283" s="114"/>
      <c r="H283" s="77" t="str">
        <f t="shared" si="49"/>
        <v/>
      </c>
      <c r="I283" s="77" t="str">
        <f t="shared" si="50"/>
        <v/>
      </c>
      <c r="J283" s="113"/>
      <c r="K283" s="113"/>
      <c r="L283" s="113"/>
      <c r="M283" s="81"/>
      <c r="O283" s="72" t="str">
        <f t="shared" si="52"/>
        <v/>
      </c>
      <c r="P283" s="72" t="str">
        <f t="shared" si="53"/>
        <v/>
      </c>
      <c r="Q283" s="72" t="str">
        <f t="shared" si="54"/>
        <v/>
      </c>
      <c r="R283" s="72" t="str">
        <f t="shared" si="55"/>
        <v/>
      </c>
      <c r="AB283" s="72" t="s">
        <v>2009</v>
      </c>
      <c r="AC283" s="72" t="s">
        <v>2010</v>
      </c>
      <c r="AD283" s="72" t="s">
        <v>5143</v>
      </c>
      <c r="AE283" s="72" t="s">
        <v>5144</v>
      </c>
      <c r="AF283" s="72" t="s">
        <v>5165</v>
      </c>
      <c r="AG283" s="72" t="s">
        <v>5175</v>
      </c>
    </row>
    <row r="284" spans="1:33">
      <c r="A284" s="76" t="str">
        <f>IF(C284="","",VLOOKUP('OPĆI DIO'!$C$3,'OPĆI DIO'!$L$6:$U$138,10,FALSE))</f>
        <v/>
      </c>
      <c r="B284" s="76" t="str">
        <f>IF(C284="","",VLOOKUP('OPĆI DIO'!$C$3,'OPĆI DIO'!$L$6:$U$138,9,FALSE))</f>
        <v/>
      </c>
      <c r="C284" s="82"/>
      <c r="D284" s="77" t="str">
        <f t="shared" si="51"/>
        <v/>
      </c>
      <c r="E284" s="82"/>
      <c r="F284" s="77" t="str">
        <f t="shared" si="48"/>
        <v/>
      </c>
      <c r="G284" s="114"/>
      <c r="H284" s="77" t="str">
        <f t="shared" si="49"/>
        <v/>
      </c>
      <c r="I284" s="77" t="str">
        <f t="shared" si="50"/>
        <v/>
      </c>
      <c r="J284" s="113"/>
      <c r="K284" s="113"/>
      <c r="L284" s="113"/>
      <c r="M284" s="81"/>
      <c r="O284" s="72" t="str">
        <f t="shared" si="52"/>
        <v/>
      </c>
      <c r="P284" s="72" t="str">
        <f t="shared" si="53"/>
        <v/>
      </c>
      <c r="Q284" s="72" t="str">
        <f t="shared" si="54"/>
        <v/>
      </c>
      <c r="R284" s="72" t="str">
        <f t="shared" si="55"/>
        <v/>
      </c>
      <c r="AB284" s="72" t="s">
        <v>2011</v>
      </c>
      <c r="AC284" s="72" t="s">
        <v>3504</v>
      </c>
      <c r="AD284" s="72" t="s">
        <v>5143</v>
      </c>
      <c r="AE284" s="72" t="s">
        <v>5144</v>
      </c>
      <c r="AF284" s="72" t="s">
        <v>5165</v>
      </c>
      <c r="AG284" s="72" t="s">
        <v>5175</v>
      </c>
    </row>
    <row r="285" spans="1:33">
      <c r="A285" s="76" t="str">
        <f>IF(C285="","",VLOOKUP('OPĆI DIO'!$C$3,'OPĆI DIO'!$L$6:$U$138,10,FALSE))</f>
        <v/>
      </c>
      <c r="B285" s="76" t="str">
        <f>IF(C285="","",VLOOKUP('OPĆI DIO'!$C$3,'OPĆI DIO'!$L$6:$U$138,9,FALSE))</f>
        <v/>
      </c>
      <c r="C285" s="82"/>
      <c r="D285" s="77" t="str">
        <f t="shared" si="51"/>
        <v/>
      </c>
      <c r="E285" s="82"/>
      <c r="F285" s="77" t="str">
        <f t="shared" si="48"/>
        <v/>
      </c>
      <c r="G285" s="114"/>
      <c r="H285" s="77" t="str">
        <f t="shared" si="49"/>
        <v/>
      </c>
      <c r="I285" s="77" t="str">
        <f t="shared" si="50"/>
        <v/>
      </c>
      <c r="J285" s="113"/>
      <c r="K285" s="113"/>
      <c r="L285" s="113"/>
      <c r="M285" s="81"/>
      <c r="O285" s="72" t="str">
        <f t="shared" si="52"/>
        <v/>
      </c>
      <c r="P285" s="72" t="str">
        <f t="shared" si="53"/>
        <v/>
      </c>
      <c r="Q285" s="72" t="str">
        <f t="shared" si="54"/>
        <v/>
      </c>
      <c r="R285" s="72" t="str">
        <f t="shared" si="55"/>
        <v/>
      </c>
      <c r="AB285" s="72" t="s">
        <v>1073</v>
      </c>
      <c r="AC285" s="72" t="s">
        <v>1074</v>
      </c>
      <c r="AD285" s="72" t="s">
        <v>5143</v>
      </c>
      <c r="AE285" s="72" t="s">
        <v>5144</v>
      </c>
      <c r="AF285" s="72" t="s">
        <v>5165</v>
      </c>
      <c r="AG285" s="72" t="s">
        <v>5175</v>
      </c>
    </row>
    <row r="286" spans="1:33">
      <c r="A286" s="76" t="str">
        <f>IF(C286="","",VLOOKUP('OPĆI DIO'!$C$3,'OPĆI DIO'!$L$6:$U$138,10,FALSE))</f>
        <v/>
      </c>
      <c r="B286" s="76" t="str">
        <f>IF(C286="","",VLOOKUP('OPĆI DIO'!$C$3,'OPĆI DIO'!$L$6:$U$138,9,FALSE))</f>
        <v/>
      </c>
      <c r="C286" s="82"/>
      <c r="D286" s="77" t="str">
        <f t="shared" si="51"/>
        <v/>
      </c>
      <c r="E286" s="82"/>
      <c r="F286" s="77" t="str">
        <f t="shared" si="48"/>
        <v/>
      </c>
      <c r="G286" s="114"/>
      <c r="H286" s="77" t="str">
        <f t="shared" si="49"/>
        <v/>
      </c>
      <c r="I286" s="77" t="str">
        <f t="shared" si="50"/>
        <v/>
      </c>
      <c r="J286" s="113"/>
      <c r="K286" s="113"/>
      <c r="L286" s="113"/>
      <c r="M286" s="81"/>
      <c r="O286" s="72" t="str">
        <f t="shared" si="52"/>
        <v/>
      </c>
      <c r="P286" s="72" t="str">
        <f t="shared" si="53"/>
        <v/>
      </c>
      <c r="Q286" s="72" t="str">
        <f t="shared" si="54"/>
        <v/>
      </c>
      <c r="R286" s="72" t="str">
        <f t="shared" si="55"/>
        <v/>
      </c>
      <c r="AB286" s="72" t="s">
        <v>1075</v>
      </c>
      <c r="AC286" s="72" t="s">
        <v>1076</v>
      </c>
      <c r="AD286" s="72" t="s">
        <v>5143</v>
      </c>
      <c r="AE286" s="72" t="s">
        <v>5144</v>
      </c>
      <c r="AF286" s="72" t="s">
        <v>5165</v>
      </c>
      <c r="AG286" s="72" t="s">
        <v>5175</v>
      </c>
    </row>
    <row r="287" spans="1:33">
      <c r="A287" s="76" t="str">
        <f>IF(C287="","",VLOOKUP('OPĆI DIO'!$C$3,'OPĆI DIO'!$L$6:$U$138,10,FALSE))</f>
        <v/>
      </c>
      <c r="B287" s="76" t="str">
        <f>IF(C287="","",VLOOKUP('OPĆI DIO'!$C$3,'OPĆI DIO'!$L$6:$U$138,9,FALSE))</f>
        <v/>
      </c>
      <c r="C287" s="82"/>
      <c r="D287" s="77" t="str">
        <f t="shared" si="51"/>
        <v/>
      </c>
      <c r="E287" s="82"/>
      <c r="F287" s="77" t="str">
        <f t="shared" si="48"/>
        <v/>
      </c>
      <c r="G287" s="114"/>
      <c r="H287" s="77" t="str">
        <f t="shared" si="49"/>
        <v/>
      </c>
      <c r="I287" s="77" t="str">
        <f t="shared" si="50"/>
        <v/>
      </c>
      <c r="J287" s="113"/>
      <c r="K287" s="113"/>
      <c r="L287" s="113"/>
      <c r="M287" s="81"/>
      <c r="O287" s="72" t="str">
        <f t="shared" si="52"/>
        <v/>
      </c>
      <c r="P287" s="72" t="str">
        <f t="shared" si="53"/>
        <v/>
      </c>
      <c r="Q287" s="72" t="str">
        <f t="shared" si="54"/>
        <v/>
      </c>
      <c r="R287" s="72" t="str">
        <f t="shared" si="55"/>
        <v/>
      </c>
      <c r="AB287" s="72" t="s">
        <v>1077</v>
      </c>
      <c r="AC287" s="72" t="s">
        <v>1078</v>
      </c>
      <c r="AD287" s="72" t="s">
        <v>5143</v>
      </c>
      <c r="AE287" s="72" t="s">
        <v>5144</v>
      </c>
      <c r="AF287" s="72" t="s">
        <v>5165</v>
      </c>
      <c r="AG287" s="72" t="s">
        <v>5175</v>
      </c>
    </row>
    <row r="288" spans="1:33">
      <c r="A288" s="76" t="str">
        <f>IF(C288="","",VLOOKUP('OPĆI DIO'!$C$3,'OPĆI DIO'!$L$6:$U$138,10,FALSE))</f>
        <v/>
      </c>
      <c r="B288" s="76" t="str">
        <f>IF(C288="","",VLOOKUP('OPĆI DIO'!$C$3,'OPĆI DIO'!$L$6:$U$138,9,FALSE))</f>
        <v/>
      </c>
      <c r="C288" s="82"/>
      <c r="D288" s="77" t="str">
        <f t="shared" si="51"/>
        <v/>
      </c>
      <c r="E288" s="82"/>
      <c r="F288" s="77" t="str">
        <f t="shared" si="48"/>
        <v/>
      </c>
      <c r="G288" s="114"/>
      <c r="H288" s="77" t="str">
        <f t="shared" si="49"/>
        <v/>
      </c>
      <c r="I288" s="77" t="str">
        <f t="shared" si="50"/>
        <v/>
      </c>
      <c r="J288" s="113"/>
      <c r="K288" s="113"/>
      <c r="L288" s="113"/>
      <c r="M288" s="81"/>
      <c r="O288" s="72" t="str">
        <f t="shared" si="52"/>
        <v/>
      </c>
      <c r="P288" s="72" t="str">
        <f t="shared" si="53"/>
        <v/>
      </c>
      <c r="Q288" s="72" t="str">
        <f t="shared" si="54"/>
        <v/>
      </c>
      <c r="R288" s="72" t="str">
        <f t="shared" si="55"/>
        <v/>
      </c>
      <c r="AB288" s="72" t="s">
        <v>1079</v>
      </c>
      <c r="AC288" s="72" t="s">
        <v>1080</v>
      </c>
      <c r="AD288" s="72" t="s">
        <v>5143</v>
      </c>
      <c r="AE288" s="72" t="s">
        <v>5144</v>
      </c>
      <c r="AF288" s="72" t="s">
        <v>5165</v>
      </c>
      <c r="AG288" s="72" t="s">
        <v>5175</v>
      </c>
    </row>
    <row r="289" spans="1:33">
      <c r="A289" s="76" t="str">
        <f>IF(C289="","",VLOOKUP('OPĆI DIO'!$C$3,'OPĆI DIO'!$L$6:$U$138,10,FALSE))</f>
        <v/>
      </c>
      <c r="B289" s="76" t="str">
        <f>IF(C289="","",VLOOKUP('OPĆI DIO'!$C$3,'OPĆI DIO'!$L$6:$U$138,9,FALSE))</f>
        <v/>
      </c>
      <c r="C289" s="82"/>
      <c r="D289" s="77" t="str">
        <f t="shared" si="51"/>
        <v/>
      </c>
      <c r="E289" s="82"/>
      <c r="F289" s="77" t="str">
        <f t="shared" si="48"/>
        <v/>
      </c>
      <c r="G289" s="114"/>
      <c r="H289" s="77" t="str">
        <f t="shared" si="49"/>
        <v/>
      </c>
      <c r="I289" s="77" t="str">
        <f t="shared" si="50"/>
        <v/>
      </c>
      <c r="J289" s="113"/>
      <c r="K289" s="113"/>
      <c r="L289" s="113"/>
      <c r="M289" s="81"/>
      <c r="O289" s="72" t="str">
        <f t="shared" si="52"/>
        <v/>
      </c>
      <c r="P289" s="72" t="str">
        <f t="shared" si="53"/>
        <v/>
      </c>
      <c r="Q289" s="72" t="str">
        <f t="shared" si="54"/>
        <v/>
      </c>
      <c r="R289" s="72" t="str">
        <f t="shared" si="55"/>
        <v/>
      </c>
      <c r="AB289" s="72" t="s">
        <v>1081</v>
      </c>
      <c r="AC289" s="72" t="s">
        <v>1082</v>
      </c>
      <c r="AD289" s="72" t="s">
        <v>5143</v>
      </c>
      <c r="AE289" s="72" t="s">
        <v>5144</v>
      </c>
      <c r="AF289" s="72" t="s">
        <v>5165</v>
      </c>
      <c r="AG289" s="72" t="s">
        <v>5175</v>
      </c>
    </row>
    <row r="290" spans="1:33">
      <c r="A290" s="76" t="str">
        <f>IF(C290="","",VLOOKUP('OPĆI DIO'!$C$3,'OPĆI DIO'!$L$6:$U$138,10,FALSE))</f>
        <v/>
      </c>
      <c r="B290" s="76" t="str">
        <f>IF(C290="","",VLOOKUP('OPĆI DIO'!$C$3,'OPĆI DIO'!$L$6:$U$138,9,FALSE))</f>
        <v/>
      </c>
      <c r="C290" s="82"/>
      <c r="D290" s="77" t="str">
        <f t="shared" si="51"/>
        <v/>
      </c>
      <c r="E290" s="82"/>
      <c r="F290" s="77" t="str">
        <f t="shared" si="48"/>
        <v/>
      </c>
      <c r="G290" s="114"/>
      <c r="H290" s="77" t="str">
        <f t="shared" si="49"/>
        <v/>
      </c>
      <c r="I290" s="77" t="str">
        <f t="shared" si="50"/>
        <v/>
      </c>
      <c r="J290" s="113"/>
      <c r="K290" s="113"/>
      <c r="L290" s="113"/>
      <c r="M290" s="81"/>
      <c r="O290" s="72" t="str">
        <f t="shared" si="52"/>
        <v/>
      </c>
      <c r="P290" s="72" t="str">
        <f t="shared" si="53"/>
        <v/>
      </c>
      <c r="Q290" s="72" t="str">
        <f t="shared" si="54"/>
        <v/>
      </c>
      <c r="R290" s="72" t="str">
        <f t="shared" si="55"/>
        <v/>
      </c>
      <c r="AB290" s="72" t="s">
        <v>1083</v>
      </c>
      <c r="AC290" s="72" t="s">
        <v>1084</v>
      </c>
      <c r="AD290" s="72" t="s">
        <v>5143</v>
      </c>
      <c r="AE290" s="72" t="s">
        <v>5144</v>
      </c>
      <c r="AF290" s="72" t="s">
        <v>5165</v>
      </c>
      <c r="AG290" s="72" t="s">
        <v>5175</v>
      </c>
    </row>
    <row r="291" spans="1:33">
      <c r="A291" s="76" t="str">
        <f>IF(C291="","",VLOOKUP('OPĆI DIO'!$C$3,'OPĆI DIO'!$L$6:$U$138,10,FALSE))</f>
        <v/>
      </c>
      <c r="B291" s="76" t="str">
        <f>IF(C291="","",VLOOKUP('OPĆI DIO'!$C$3,'OPĆI DIO'!$L$6:$U$138,9,FALSE))</f>
        <v/>
      </c>
      <c r="C291" s="82"/>
      <c r="D291" s="77" t="str">
        <f t="shared" si="51"/>
        <v/>
      </c>
      <c r="E291" s="82"/>
      <c r="F291" s="77" t="str">
        <f t="shared" si="48"/>
        <v/>
      </c>
      <c r="G291" s="114"/>
      <c r="H291" s="77" t="str">
        <f t="shared" si="49"/>
        <v/>
      </c>
      <c r="I291" s="77" t="str">
        <f t="shared" si="50"/>
        <v/>
      </c>
      <c r="J291" s="113"/>
      <c r="K291" s="113"/>
      <c r="L291" s="113"/>
      <c r="M291" s="81"/>
      <c r="O291" s="72" t="str">
        <f t="shared" si="52"/>
        <v/>
      </c>
      <c r="P291" s="72" t="str">
        <f t="shared" si="53"/>
        <v/>
      </c>
      <c r="Q291" s="72" t="str">
        <f t="shared" si="54"/>
        <v/>
      </c>
      <c r="R291" s="72" t="str">
        <f t="shared" si="55"/>
        <v/>
      </c>
      <c r="AB291" s="72" t="s">
        <v>1085</v>
      </c>
      <c r="AC291" s="72" t="s">
        <v>1086</v>
      </c>
      <c r="AD291" s="72" t="s">
        <v>5143</v>
      </c>
      <c r="AE291" s="72" t="s">
        <v>5144</v>
      </c>
      <c r="AF291" s="72" t="s">
        <v>5165</v>
      </c>
      <c r="AG291" s="72" t="s">
        <v>5175</v>
      </c>
    </row>
    <row r="292" spans="1:33">
      <c r="A292" s="76" t="str">
        <f>IF(C292="","",VLOOKUP('OPĆI DIO'!$C$3,'OPĆI DIO'!$L$6:$U$138,10,FALSE))</f>
        <v/>
      </c>
      <c r="B292" s="76" t="str">
        <f>IF(C292="","",VLOOKUP('OPĆI DIO'!$C$3,'OPĆI DIO'!$L$6:$U$138,9,FALSE))</f>
        <v/>
      </c>
      <c r="C292" s="82"/>
      <c r="D292" s="77" t="str">
        <f t="shared" si="51"/>
        <v/>
      </c>
      <c r="E292" s="82"/>
      <c r="F292" s="77" t="str">
        <f t="shared" si="48"/>
        <v/>
      </c>
      <c r="G292" s="114"/>
      <c r="H292" s="77" t="str">
        <f t="shared" si="49"/>
        <v/>
      </c>
      <c r="I292" s="77" t="str">
        <f t="shared" si="50"/>
        <v/>
      </c>
      <c r="J292" s="113"/>
      <c r="K292" s="113"/>
      <c r="L292" s="113"/>
      <c r="M292" s="81"/>
      <c r="O292" s="72" t="str">
        <f t="shared" si="52"/>
        <v/>
      </c>
      <c r="P292" s="72" t="str">
        <f t="shared" si="53"/>
        <v/>
      </c>
      <c r="Q292" s="72" t="str">
        <f t="shared" si="54"/>
        <v/>
      </c>
      <c r="R292" s="72" t="str">
        <f t="shared" si="55"/>
        <v/>
      </c>
      <c r="AB292" s="72" t="s">
        <v>1087</v>
      </c>
      <c r="AC292" s="72" t="s">
        <v>1088</v>
      </c>
      <c r="AD292" s="72" t="s">
        <v>5143</v>
      </c>
      <c r="AE292" s="72" t="s">
        <v>5144</v>
      </c>
      <c r="AF292" s="72" t="s">
        <v>5165</v>
      </c>
      <c r="AG292" s="72" t="s">
        <v>5175</v>
      </c>
    </row>
    <row r="293" spans="1:33">
      <c r="A293" s="76" t="str">
        <f>IF(C293="","",VLOOKUP('OPĆI DIO'!$C$3,'OPĆI DIO'!$L$6:$U$138,10,FALSE))</f>
        <v/>
      </c>
      <c r="B293" s="76" t="str">
        <f>IF(C293="","",VLOOKUP('OPĆI DIO'!$C$3,'OPĆI DIO'!$L$6:$U$138,9,FALSE))</f>
        <v/>
      </c>
      <c r="C293" s="82"/>
      <c r="D293" s="77" t="str">
        <f t="shared" si="51"/>
        <v/>
      </c>
      <c r="E293" s="82"/>
      <c r="F293" s="77" t="str">
        <f t="shared" si="48"/>
        <v/>
      </c>
      <c r="G293" s="114"/>
      <c r="H293" s="77" t="str">
        <f t="shared" si="49"/>
        <v/>
      </c>
      <c r="I293" s="77" t="str">
        <f t="shared" si="50"/>
        <v/>
      </c>
      <c r="J293" s="113"/>
      <c r="K293" s="113"/>
      <c r="L293" s="113"/>
      <c r="M293" s="81"/>
      <c r="O293" s="72" t="str">
        <f t="shared" si="52"/>
        <v/>
      </c>
      <c r="P293" s="72" t="str">
        <f t="shared" si="53"/>
        <v/>
      </c>
      <c r="Q293" s="72" t="str">
        <f t="shared" si="54"/>
        <v/>
      </c>
      <c r="R293" s="72" t="str">
        <f t="shared" si="55"/>
        <v/>
      </c>
      <c r="AB293" s="72" t="s">
        <v>1089</v>
      </c>
      <c r="AC293" s="72" t="s">
        <v>1090</v>
      </c>
      <c r="AD293" s="72" t="s">
        <v>5143</v>
      </c>
      <c r="AE293" s="72" t="s">
        <v>5144</v>
      </c>
      <c r="AF293" s="72" t="s">
        <v>5165</v>
      </c>
      <c r="AG293" s="72" t="s">
        <v>5175</v>
      </c>
    </row>
    <row r="294" spans="1:33">
      <c r="A294" s="76" t="str">
        <f>IF(C294="","",VLOOKUP('OPĆI DIO'!$C$3,'OPĆI DIO'!$L$6:$U$138,10,FALSE))</f>
        <v/>
      </c>
      <c r="B294" s="76" t="str">
        <f>IF(C294="","",VLOOKUP('OPĆI DIO'!$C$3,'OPĆI DIO'!$L$6:$U$138,9,FALSE))</f>
        <v/>
      </c>
      <c r="C294" s="82"/>
      <c r="D294" s="77" t="str">
        <f t="shared" si="51"/>
        <v/>
      </c>
      <c r="E294" s="82"/>
      <c r="F294" s="77" t="str">
        <f t="shared" ref="F294:F357" si="56">IFERROR(VLOOKUP(E294,$V$5:$X$139,2,FALSE),"")</f>
        <v/>
      </c>
      <c r="G294" s="114"/>
      <c r="H294" s="77" t="str">
        <f t="shared" si="49"/>
        <v/>
      </c>
      <c r="I294" s="77" t="str">
        <f t="shared" si="50"/>
        <v/>
      </c>
      <c r="J294" s="113"/>
      <c r="K294" s="113"/>
      <c r="L294" s="113"/>
      <c r="M294" s="81"/>
      <c r="O294" s="72" t="str">
        <f t="shared" si="52"/>
        <v/>
      </c>
      <c r="P294" s="72" t="str">
        <f t="shared" si="53"/>
        <v/>
      </c>
      <c r="Q294" s="72" t="str">
        <f t="shared" si="54"/>
        <v/>
      </c>
      <c r="R294" s="72" t="str">
        <f t="shared" si="55"/>
        <v/>
      </c>
      <c r="AB294" s="72" t="s">
        <v>1091</v>
      </c>
      <c r="AC294" s="72" t="s">
        <v>3505</v>
      </c>
      <c r="AD294" s="72" t="s">
        <v>5143</v>
      </c>
      <c r="AE294" s="72" t="s">
        <v>5144</v>
      </c>
      <c r="AF294" s="72" t="s">
        <v>5165</v>
      </c>
      <c r="AG294" s="72" t="s">
        <v>5175</v>
      </c>
    </row>
    <row r="295" spans="1:33">
      <c r="A295" s="76" t="str">
        <f>IF(C295="","",VLOOKUP('OPĆI DIO'!$C$3,'OPĆI DIO'!$L$6:$U$138,10,FALSE))</f>
        <v/>
      </c>
      <c r="B295" s="76" t="str">
        <f>IF(C295="","",VLOOKUP('OPĆI DIO'!$C$3,'OPĆI DIO'!$L$6:$U$138,9,FALSE))</f>
        <v/>
      </c>
      <c r="C295" s="82"/>
      <c r="D295" s="77" t="str">
        <f t="shared" si="51"/>
        <v/>
      </c>
      <c r="E295" s="82"/>
      <c r="F295" s="77" t="str">
        <f t="shared" si="56"/>
        <v/>
      </c>
      <c r="G295" s="114"/>
      <c r="H295" s="77" t="str">
        <f t="shared" si="49"/>
        <v/>
      </c>
      <c r="I295" s="77" t="str">
        <f t="shared" si="50"/>
        <v/>
      </c>
      <c r="J295" s="113"/>
      <c r="K295" s="113"/>
      <c r="L295" s="113"/>
      <c r="M295" s="81"/>
      <c r="O295" s="72" t="str">
        <f t="shared" si="52"/>
        <v/>
      </c>
      <c r="P295" s="72" t="str">
        <f t="shared" si="53"/>
        <v/>
      </c>
      <c r="Q295" s="72" t="str">
        <f t="shared" si="54"/>
        <v/>
      </c>
      <c r="R295" s="72" t="str">
        <f t="shared" si="55"/>
        <v/>
      </c>
      <c r="AB295" s="72" t="s">
        <v>1092</v>
      </c>
      <c r="AC295" s="72" t="s">
        <v>1666</v>
      </c>
      <c r="AD295" s="72" t="s">
        <v>5143</v>
      </c>
      <c r="AE295" s="72" t="s">
        <v>5144</v>
      </c>
      <c r="AF295" s="72" t="s">
        <v>5165</v>
      </c>
      <c r="AG295" s="72" t="s">
        <v>5175</v>
      </c>
    </row>
    <row r="296" spans="1:33">
      <c r="A296" s="76" t="str">
        <f>IF(C296="","",VLOOKUP('OPĆI DIO'!$C$3,'OPĆI DIO'!$L$6:$U$138,10,FALSE))</f>
        <v/>
      </c>
      <c r="B296" s="76" t="str">
        <f>IF(C296="","",VLOOKUP('OPĆI DIO'!$C$3,'OPĆI DIO'!$L$6:$U$138,9,FALSE))</f>
        <v/>
      </c>
      <c r="C296" s="82"/>
      <c r="D296" s="77" t="str">
        <f t="shared" si="51"/>
        <v/>
      </c>
      <c r="E296" s="82"/>
      <c r="F296" s="77" t="str">
        <f t="shared" si="56"/>
        <v/>
      </c>
      <c r="G296" s="114"/>
      <c r="H296" s="77" t="str">
        <f t="shared" si="49"/>
        <v/>
      </c>
      <c r="I296" s="77" t="str">
        <f t="shared" si="50"/>
        <v/>
      </c>
      <c r="J296" s="113"/>
      <c r="K296" s="113"/>
      <c r="L296" s="113"/>
      <c r="M296" s="81"/>
      <c r="O296" s="72" t="str">
        <f t="shared" si="52"/>
        <v/>
      </c>
      <c r="P296" s="72" t="str">
        <f t="shared" si="53"/>
        <v/>
      </c>
      <c r="Q296" s="72" t="str">
        <f t="shared" si="54"/>
        <v/>
      </c>
      <c r="R296" s="72" t="str">
        <f t="shared" si="55"/>
        <v/>
      </c>
      <c r="AB296" s="72" t="s">
        <v>1093</v>
      </c>
      <c r="AC296" s="72" t="s">
        <v>1667</v>
      </c>
      <c r="AD296" s="72" t="s">
        <v>5143</v>
      </c>
      <c r="AE296" s="72" t="s">
        <v>5144</v>
      </c>
      <c r="AF296" s="72" t="s">
        <v>5165</v>
      </c>
      <c r="AG296" s="72" t="s">
        <v>5175</v>
      </c>
    </row>
    <row r="297" spans="1:33">
      <c r="A297" s="76" t="str">
        <f>IF(C297="","",VLOOKUP('OPĆI DIO'!$C$3,'OPĆI DIO'!$L$6:$U$138,10,FALSE))</f>
        <v/>
      </c>
      <c r="B297" s="76" t="str">
        <f>IF(C297="","",VLOOKUP('OPĆI DIO'!$C$3,'OPĆI DIO'!$L$6:$U$138,9,FALSE))</f>
        <v/>
      </c>
      <c r="C297" s="82"/>
      <c r="D297" s="77" t="str">
        <f t="shared" si="51"/>
        <v/>
      </c>
      <c r="E297" s="82"/>
      <c r="F297" s="77" t="str">
        <f t="shared" si="56"/>
        <v/>
      </c>
      <c r="G297" s="114"/>
      <c r="H297" s="77" t="str">
        <f t="shared" si="49"/>
        <v/>
      </c>
      <c r="I297" s="77" t="str">
        <f t="shared" si="50"/>
        <v/>
      </c>
      <c r="J297" s="113"/>
      <c r="K297" s="113"/>
      <c r="L297" s="113"/>
      <c r="M297" s="81"/>
      <c r="O297" s="72" t="str">
        <f t="shared" si="52"/>
        <v/>
      </c>
      <c r="P297" s="72" t="str">
        <f t="shared" si="53"/>
        <v/>
      </c>
      <c r="Q297" s="72" t="str">
        <f t="shared" si="54"/>
        <v/>
      </c>
      <c r="R297" s="72" t="str">
        <f t="shared" si="55"/>
        <v/>
      </c>
      <c r="AB297" s="72" t="s">
        <v>1094</v>
      </c>
      <c r="AC297" s="72" t="s">
        <v>1668</v>
      </c>
      <c r="AD297" s="72" t="s">
        <v>5143</v>
      </c>
      <c r="AE297" s="72" t="s">
        <v>5144</v>
      </c>
      <c r="AF297" s="72" t="s">
        <v>5165</v>
      </c>
      <c r="AG297" s="72" t="s">
        <v>5175</v>
      </c>
    </row>
    <row r="298" spans="1:33">
      <c r="A298" s="76" t="str">
        <f>IF(C298="","",VLOOKUP('OPĆI DIO'!$C$3,'OPĆI DIO'!$L$6:$U$138,10,FALSE))</f>
        <v/>
      </c>
      <c r="B298" s="76" t="str">
        <f>IF(C298="","",VLOOKUP('OPĆI DIO'!$C$3,'OPĆI DIO'!$L$6:$U$138,9,FALSE))</f>
        <v/>
      </c>
      <c r="C298" s="82"/>
      <c r="D298" s="77" t="str">
        <f t="shared" si="51"/>
        <v/>
      </c>
      <c r="E298" s="82"/>
      <c r="F298" s="77" t="str">
        <f t="shared" si="56"/>
        <v/>
      </c>
      <c r="G298" s="114"/>
      <c r="H298" s="77" t="str">
        <f t="shared" si="49"/>
        <v/>
      </c>
      <c r="I298" s="77" t="str">
        <f t="shared" si="50"/>
        <v/>
      </c>
      <c r="J298" s="113"/>
      <c r="K298" s="113"/>
      <c r="L298" s="113"/>
      <c r="M298" s="81"/>
      <c r="O298" s="72" t="str">
        <f t="shared" si="52"/>
        <v/>
      </c>
      <c r="P298" s="72" t="str">
        <f t="shared" si="53"/>
        <v/>
      </c>
      <c r="Q298" s="72" t="str">
        <f t="shared" si="54"/>
        <v/>
      </c>
      <c r="R298" s="72" t="str">
        <f t="shared" si="55"/>
        <v/>
      </c>
      <c r="AB298" s="72" t="s">
        <v>1095</v>
      </c>
      <c r="AC298" s="72" t="s">
        <v>1096</v>
      </c>
      <c r="AD298" s="72" t="s">
        <v>5143</v>
      </c>
      <c r="AE298" s="72" t="s">
        <v>5144</v>
      </c>
      <c r="AF298" s="72" t="s">
        <v>5165</v>
      </c>
      <c r="AG298" s="72" t="s">
        <v>5175</v>
      </c>
    </row>
    <row r="299" spans="1:33">
      <c r="A299" s="76" t="str">
        <f>IF(C299="","",VLOOKUP('OPĆI DIO'!$C$3,'OPĆI DIO'!$L$6:$U$138,10,FALSE))</f>
        <v/>
      </c>
      <c r="B299" s="76" t="str">
        <f>IF(C299="","",VLOOKUP('OPĆI DIO'!$C$3,'OPĆI DIO'!$L$6:$U$138,9,FALSE))</f>
        <v/>
      </c>
      <c r="C299" s="82"/>
      <c r="D299" s="77" t="str">
        <f t="shared" si="51"/>
        <v/>
      </c>
      <c r="E299" s="82"/>
      <c r="F299" s="77" t="str">
        <f t="shared" si="56"/>
        <v/>
      </c>
      <c r="G299" s="114"/>
      <c r="H299" s="77" t="str">
        <f t="shared" si="49"/>
        <v/>
      </c>
      <c r="I299" s="77" t="str">
        <f t="shared" si="50"/>
        <v/>
      </c>
      <c r="J299" s="113"/>
      <c r="K299" s="113"/>
      <c r="L299" s="113"/>
      <c r="M299" s="81"/>
      <c r="O299" s="72" t="str">
        <f t="shared" si="52"/>
        <v/>
      </c>
      <c r="P299" s="72" t="str">
        <f t="shared" si="53"/>
        <v/>
      </c>
      <c r="Q299" s="72" t="str">
        <f t="shared" si="54"/>
        <v/>
      </c>
      <c r="R299" s="72" t="str">
        <f t="shared" si="55"/>
        <v/>
      </c>
      <c r="AB299" s="72" t="s">
        <v>1097</v>
      </c>
      <c r="AC299" s="72" t="s">
        <v>1669</v>
      </c>
      <c r="AD299" s="72" t="s">
        <v>5143</v>
      </c>
      <c r="AE299" s="72" t="s">
        <v>5144</v>
      </c>
      <c r="AF299" s="72" t="s">
        <v>5165</v>
      </c>
      <c r="AG299" s="72" t="s">
        <v>5175</v>
      </c>
    </row>
    <row r="300" spans="1:33">
      <c r="A300" s="76" t="str">
        <f>IF(C300="","",VLOOKUP('OPĆI DIO'!$C$3,'OPĆI DIO'!$L$6:$U$138,10,FALSE))</f>
        <v/>
      </c>
      <c r="B300" s="76" t="str">
        <f>IF(C300="","",VLOOKUP('OPĆI DIO'!$C$3,'OPĆI DIO'!$L$6:$U$138,9,FALSE))</f>
        <v/>
      </c>
      <c r="C300" s="82"/>
      <c r="D300" s="77" t="str">
        <f t="shared" si="51"/>
        <v/>
      </c>
      <c r="E300" s="82"/>
      <c r="F300" s="77" t="str">
        <f t="shared" si="56"/>
        <v/>
      </c>
      <c r="G300" s="114"/>
      <c r="H300" s="77" t="str">
        <f t="shared" si="49"/>
        <v/>
      </c>
      <c r="I300" s="77" t="str">
        <f t="shared" si="50"/>
        <v/>
      </c>
      <c r="J300" s="113"/>
      <c r="K300" s="113"/>
      <c r="L300" s="113"/>
      <c r="M300" s="81"/>
      <c r="O300" s="72" t="str">
        <f t="shared" si="52"/>
        <v/>
      </c>
      <c r="P300" s="72" t="str">
        <f t="shared" si="53"/>
        <v/>
      </c>
      <c r="Q300" s="72" t="str">
        <f t="shared" si="54"/>
        <v/>
      </c>
      <c r="R300" s="72" t="str">
        <f t="shared" si="55"/>
        <v/>
      </c>
      <c r="AB300" s="72" t="s">
        <v>1098</v>
      </c>
      <c r="AC300" s="72" t="s">
        <v>1670</v>
      </c>
      <c r="AD300" s="72" t="s">
        <v>5143</v>
      </c>
      <c r="AE300" s="72" t="s">
        <v>5144</v>
      </c>
      <c r="AF300" s="72" t="s">
        <v>5165</v>
      </c>
      <c r="AG300" s="72" t="s">
        <v>5175</v>
      </c>
    </row>
    <row r="301" spans="1:33">
      <c r="A301" s="76" t="str">
        <f>IF(C301="","",VLOOKUP('OPĆI DIO'!$C$3,'OPĆI DIO'!$L$6:$U$138,10,FALSE))</f>
        <v/>
      </c>
      <c r="B301" s="76" t="str">
        <f>IF(C301="","",VLOOKUP('OPĆI DIO'!$C$3,'OPĆI DIO'!$L$6:$U$138,9,FALSE))</f>
        <v/>
      </c>
      <c r="C301" s="82"/>
      <c r="D301" s="77" t="str">
        <f t="shared" si="51"/>
        <v/>
      </c>
      <c r="E301" s="82"/>
      <c r="F301" s="77" t="str">
        <f t="shared" si="56"/>
        <v/>
      </c>
      <c r="G301" s="114"/>
      <c r="H301" s="77" t="str">
        <f t="shared" si="49"/>
        <v/>
      </c>
      <c r="I301" s="77" t="str">
        <f t="shared" si="50"/>
        <v/>
      </c>
      <c r="J301" s="113"/>
      <c r="K301" s="113"/>
      <c r="L301" s="113"/>
      <c r="M301" s="81"/>
      <c r="O301" s="72" t="str">
        <f t="shared" si="52"/>
        <v/>
      </c>
      <c r="P301" s="72" t="str">
        <f t="shared" si="53"/>
        <v/>
      </c>
      <c r="Q301" s="72" t="str">
        <f t="shared" si="54"/>
        <v/>
      </c>
      <c r="R301" s="72" t="str">
        <f t="shared" si="55"/>
        <v/>
      </c>
      <c r="AB301" s="72" t="s">
        <v>1099</v>
      </c>
      <c r="AC301" s="72" t="s">
        <v>1100</v>
      </c>
      <c r="AD301" s="72" t="s">
        <v>5143</v>
      </c>
      <c r="AE301" s="72" t="s">
        <v>5144</v>
      </c>
      <c r="AF301" s="72" t="s">
        <v>5165</v>
      </c>
      <c r="AG301" s="72" t="s">
        <v>5175</v>
      </c>
    </row>
    <row r="302" spans="1:33">
      <c r="A302" s="76" t="str">
        <f>IF(C302="","",VLOOKUP('OPĆI DIO'!$C$3,'OPĆI DIO'!$L$6:$U$138,10,FALSE))</f>
        <v/>
      </c>
      <c r="B302" s="76" t="str">
        <f>IF(C302="","",VLOOKUP('OPĆI DIO'!$C$3,'OPĆI DIO'!$L$6:$U$138,9,FALSE))</f>
        <v/>
      </c>
      <c r="C302" s="82"/>
      <c r="D302" s="77" t="str">
        <f t="shared" si="51"/>
        <v/>
      </c>
      <c r="E302" s="82"/>
      <c r="F302" s="77" t="str">
        <f t="shared" si="56"/>
        <v/>
      </c>
      <c r="G302" s="114"/>
      <c r="H302" s="77" t="str">
        <f t="shared" si="49"/>
        <v/>
      </c>
      <c r="I302" s="77" t="str">
        <f t="shared" si="50"/>
        <v/>
      </c>
      <c r="J302" s="113"/>
      <c r="K302" s="113"/>
      <c r="L302" s="113"/>
      <c r="M302" s="81"/>
      <c r="O302" s="72" t="str">
        <f t="shared" si="52"/>
        <v/>
      </c>
      <c r="P302" s="72" t="str">
        <f t="shared" si="53"/>
        <v/>
      </c>
      <c r="Q302" s="72" t="str">
        <f t="shared" si="54"/>
        <v/>
      </c>
      <c r="R302" s="72" t="str">
        <f t="shared" si="55"/>
        <v/>
      </c>
      <c r="AB302" s="72" t="s">
        <v>1101</v>
      </c>
      <c r="AC302" s="72" t="s">
        <v>1102</v>
      </c>
      <c r="AD302" s="72" t="s">
        <v>5143</v>
      </c>
      <c r="AE302" s="72" t="s">
        <v>5144</v>
      </c>
      <c r="AF302" s="72" t="s">
        <v>5165</v>
      </c>
      <c r="AG302" s="72" t="s">
        <v>5175</v>
      </c>
    </row>
    <row r="303" spans="1:33">
      <c r="A303" s="76" t="str">
        <f>IF(C303="","",VLOOKUP('OPĆI DIO'!$C$3,'OPĆI DIO'!$L$6:$U$138,10,FALSE))</f>
        <v/>
      </c>
      <c r="B303" s="76" t="str">
        <f>IF(C303="","",VLOOKUP('OPĆI DIO'!$C$3,'OPĆI DIO'!$L$6:$U$138,9,FALSE))</f>
        <v/>
      </c>
      <c r="C303" s="82"/>
      <c r="D303" s="77" t="str">
        <f t="shared" si="51"/>
        <v/>
      </c>
      <c r="E303" s="82"/>
      <c r="F303" s="77" t="str">
        <f t="shared" si="56"/>
        <v/>
      </c>
      <c r="G303" s="114"/>
      <c r="H303" s="77" t="str">
        <f t="shared" si="49"/>
        <v/>
      </c>
      <c r="I303" s="77" t="str">
        <f t="shared" si="50"/>
        <v/>
      </c>
      <c r="J303" s="113"/>
      <c r="K303" s="113"/>
      <c r="L303" s="113"/>
      <c r="M303" s="81"/>
      <c r="O303" s="72" t="str">
        <f t="shared" si="52"/>
        <v/>
      </c>
      <c r="P303" s="72" t="str">
        <f t="shared" si="53"/>
        <v/>
      </c>
      <c r="Q303" s="72" t="str">
        <f t="shared" si="54"/>
        <v/>
      </c>
      <c r="R303" s="72" t="str">
        <f t="shared" si="55"/>
        <v/>
      </c>
      <c r="AB303" s="72" t="s">
        <v>1957</v>
      </c>
      <c r="AC303" s="72" t="s">
        <v>1958</v>
      </c>
      <c r="AD303" s="72" t="s">
        <v>5143</v>
      </c>
      <c r="AE303" s="72" t="s">
        <v>5144</v>
      </c>
      <c r="AF303" s="72" t="s">
        <v>5165</v>
      </c>
      <c r="AG303" s="72" t="s">
        <v>5175</v>
      </c>
    </row>
    <row r="304" spans="1:33">
      <c r="A304" s="76" t="str">
        <f>IF(C304="","",VLOOKUP('OPĆI DIO'!$C$3,'OPĆI DIO'!$L$6:$U$138,10,FALSE))</f>
        <v/>
      </c>
      <c r="B304" s="76" t="str">
        <f>IF(C304="","",VLOOKUP('OPĆI DIO'!$C$3,'OPĆI DIO'!$L$6:$U$138,9,FALSE))</f>
        <v/>
      </c>
      <c r="C304" s="82"/>
      <c r="D304" s="77" t="str">
        <f t="shared" si="51"/>
        <v/>
      </c>
      <c r="E304" s="82"/>
      <c r="F304" s="77" t="str">
        <f t="shared" si="56"/>
        <v/>
      </c>
      <c r="G304" s="114"/>
      <c r="H304" s="77" t="str">
        <f t="shared" si="49"/>
        <v/>
      </c>
      <c r="I304" s="77" t="str">
        <f t="shared" si="50"/>
        <v/>
      </c>
      <c r="J304" s="113"/>
      <c r="K304" s="113"/>
      <c r="L304" s="113"/>
      <c r="M304" s="81"/>
      <c r="O304" s="72" t="str">
        <f t="shared" si="52"/>
        <v/>
      </c>
      <c r="P304" s="72" t="str">
        <f t="shared" si="53"/>
        <v/>
      </c>
      <c r="Q304" s="72" t="str">
        <f t="shared" si="54"/>
        <v/>
      </c>
      <c r="R304" s="72" t="str">
        <f t="shared" si="55"/>
        <v/>
      </c>
      <c r="AB304" s="72" t="s">
        <v>1959</v>
      </c>
      <c r="AC304" s="72" t="s">
        <v>1960</v>
      </c>
      <c r="AD304" s="72" t="s">
        <v>5143</v>
      </c>
      <c r="AE304" s="72" t="s">
        <v>5144</v>
      </c>
      <c r="AF304" s="72" t="s">
        <v>5165</v>
      </c>
      <c r="AG304" s="72" t="s">
        <v>5175</v>
      </c>
    </row>
    <row r="305" spans="1:33">
      <c r="A305" s="76" t="str">
        <f>IF(C305="","",VLOOKUP('OPĆI DIO'!$C$3,'OPĆI DIO'!$L$6:$U$138,10,FALSE))</f>
        <v/>
      </c>
      <c r="B305" s="76" t="str">
        <f>IF(C305="","",VLOOKUP('OPĆI DIO'!$C$3,'OPĆI DIO'!$L$6:$U$138,9,FALSE))</f>
        <v/>
      </c>
      <c r="C305" s="82"/>
      <c r="D305" s="77" t="str">
        <f t="shared" si="51"/>
        <v/>
      </c>
      <c r="E305" s="82"/>
      <c r="F305" s="77" t="str">
        <f t="shared" si="56"/>
        <v/>
      </c>
      <c r="G305" s="114"/>
      <c r="H305" s="77" t="str">
        <f t="shared" si="49"/>
        <v/>
      </c>
      <c r="I305" s="77" t="str">
        <f t="shared" si="50"/>
        <v/>
      </c>
      <c r="J305" s="113"/>
      <c r="K305" s="113"/>
      <c r="L305" s="113"/>
      <c r="M305" s="81"/>
      <c r="O305" s="72" t="str">
        <f t="shared" si="52"/>
        <v/>
      </c>
      <c r="P305" s="72" t="str">
        <f t="shared" si="53"/>
        <v/>
      </c>
      <c r="Q305" s="72" t="str">
        <f t="shared" si="54"/>
        <v/>
      </c>
      <c r="R305" s="72" t="str">
        <f t="shared" si="55"/>
        <v/>
      </c>
      <c r="AB305" s="72" t="s">
        <v>1961</v>
      </c>
      <c r="AC305" s="72" t="s">
        <v>1962</v>
      </c>
      <c r="AD305" s="72" t="s">
        <v>5143</v>
      </c>
      <c r="AE305" s="72" t="s">
        <v>5144</v>
      </c>
      <c r="AF305" s="72" t="s">
        <v>5165</v>
      </c>
      <c r="AG305" s="72" t="s">
        <v>5175</v>
      </c>
    </row>
    <row r="306" spans="1:33">
      <c r="A306" s="76" t="str">
        <f>IF(C306="","",VLOOKUP('OPĆI DIO'!$C$3,'OPĆI DIO'!$L$6:$U$138,10,FALSE))</f>
        <v/>
      </c>
      <c r="B306" s="76" t="str">
        <f>IF(C306="","",VLOOKUP('OPĆI DIO'!$C$3,'OPĆI DIO'!$L$6:$U$138,9,FALSE))</f>
        <v/>
      </c>
      <c r="C306" s="82"/>
      <c r="D306" s="77" t="str">
        <f t="shared" si="51"/>
        <v/>
      </c>
      <c r="E306" s="82"/>
      <c r="F306" s="77" t="str">
        <f t="shared" si="56"/>
        <v/>
      </c>
      <c r="G306" s="114"/>
      <c r="H306" s="77" t="str">
        <f t="shared" si="49"/>
        <v/>
      </c>
      <c r="I306" s="77" t="str">
        <f t="shared" si="50"/>
        <v/>
      </c>
      <c r="J306" s="113"/>
      <c r="K306" s="113"/>
      <c r="L306" s="113"/>
      <c r="M306" s="81"/>
      <c r="O306" s="72" t="str">
        <f t="shared" si="52"/>
        <v/>
      </c>
      <c r="P306" s="72" t="str">
        <f t="shared" si="53"/>
        <v/>
      </c>
      <c r="Q306" s="72" t="str">
        <f t="shared" si="54"/>
        <v/>
      </c>
      <c r="R306" s="72" t="str">
        <f t="shared" si="55"/>
        <v/>
      </c>
      <c r="AB306" s="72" t="s">
        <v>3506</v>
      </c>
      <c r="AC306" s="72" t="s">
        <v>3507</v>
      </c>
      <c r="AD306" s="72" t="s">
        <v>5143</v>
      </c>
      <c r="AE306" s="72" t="s">
        <v>5144</v>
      </c>
      <c r="AF306" s="72" t="s">
        <v>5165</v>
      </c>
      <c r="AG306" s="72" t="s">
        <v>5175</v>
      </c>
    </row>
    <row r="307" spans="1:33">
      <c r="A307" s="76" t="str">
        <f>IF(C307="","",VLOOKUP('OPĆI DIO'!$C$3,'OPĆI DIO'!$L$6:$U$138,10,FALSE))</f>
        <v/>
      </c>
      <c r="B307" s="76" t="str">
        <f>IF(C307="","",VLOOKUP('OPĆI DIO'!$C$3,'OPĆI DIO'!$L$6:$U$138,9,FALSE))</f>
        <v/>
      </c>
      <c r="C307" s="82"/>
      <c r="D307" s="77" t="str">
        <f t="shared" si="51"/>
        <v/>
      </c>
      <c r="E307" s="82"/>
      <c r="F307" s="77" t="str">
        <f t="shared" si="56"/>
        <v/>
      </c>
      <c r="G307" s="114"/>
      <c r="H307" s="77" t="str">
        <f t="shared" si="49"/>
        <v/>
      </c>
      <c r="I307" s="77" t="str">
        <f t="shared" si="50"/>
        <v/>
      </c>
      <c r="J307" s="113"/>
      <c r="K307" s="113"/>
      <c r="L307" s="113"/>
      <c r="M307" s="81"/>
      <c r="O307" s="72" t="str">
        <f t="shared" si="52"/>
        <v/>
      </c>
      <c r="P307" s="72" t="str">
        <f t="shared" si="53"/>
        <v/>
      </c>
      <c r="Q307" s="72" t="str">
        <f t="shared" si="54"/>
        <v/>
      </c>
      <c r="R307" s="72" t="str">
        <f t="shared" si="55"/>
        <v/>
      </c>
      <c r="AB307" s="72" t="s">
        <v>3508</v>
      </c>
      <c r="AC307" s="72" t="s">
        <v>3509</v>
      </c>
      <c r="AD307" s="72" t="s">
        <v>5143</v>
      </c>
      <c r="AE307" s="72" t="s">
        <v>5144</v>
      </c>
      <c r="AF307" s="72" t="s">
        <v>5165</v>
      </c>
      <c r="AG307" s="72" t="s">
        <v>5175</v>
      </c>
    </row>
    <row r="308" spans="1:33">
      <c r="A308" s="76" t="str">
        <f>IF(C308="","",VLOOKUP('OPĆI DIO'!$C$3,'OPĆI DIO'!$L$6:$U$138,10,FALSE))</f>
        <v/>
      </c>
      <c r="B308" s="76" t="str">
        <f>IF(C308="","",VLOOKUP('OPĆI DIO'!$C$3,'OPĆI DIO'!$L$6:$U$138,9,FALSE))</f>
        <v/>
      </c>
      <c r="C308" s="82"/>
      <c r="D308" s="77" t="str">
        <f t="shared" si="51"/>
        <v/>
      </c>
      <c r="E308" s="82"/>
      <c r="F308" s="77" t="str">
        <f t="shared" si="56"/>
        <v/>
      </c>
      <c r="G308" s="114"/>
      <c r="H308" s="77" t="str">
        <f t="shared" si="49"/>
        <v/>
      </c>
      <c r="I308" s="77" t="str">
        <f t="shared" si="50"/>
        <v/>
      </c>
      <c r="J308" s="113"/>
      <c r="K308" s="113"/>
      <c r="L308" s="113"/>
      <c r="M308" s="81"/>
      <c r="O308" s="72" t="str">
        <f t="shared" si="52"/>
        <v/>
      </c>
      <c r="P308" s="72" t="str">
        <f t="shared" si="53"/>
        <v/>
      </c>
      <c r="Q308" s="72" t="str">
        <f t="shared" si="54"/>
        <v/>
      </c>
      <c r="R308" s="72" t="str">
        <f t="shared" si="55"/>
        <v/>
      </c>
      <c r="AB308" s="72" t="s">
        <v>1105</v>
      </c>
      <c r="AC308" s="72" t="s">
        <v>1106</v>
      </c>
      <c r="AD308" s="72" t="s">
        <v>5159</v>
      </c>
      <c r="AE308" s="72" t="s">
        <v>5160</v>
      </c>
      <c r="AF308" s="72" t="s">
        <v>5165</v>
      </c>
      <c r="AG308" s="72" t="s">
        <v>5177</v>
      </c>
    </row>
    <row r="309" spans="1:33">
      <c r="A309" s="76" t="str">
        <f>IF(C309="","",VLOOKUP('OPĆI DIO'!$C$3,'OPĆI DIO'!$L$6:$U$138,10,FALSE))</f>
        <v/>
      </c>
      <c r="B309" s="76" t="str">
        <f>IF(C309="","",VLOOKUP('OPĆI DIO'!$C$3,'OPĆI DIO'!$L$6:$U$138,9,FALSE))</f>
        <v/>
      </c>
      <c r="C309" s="82"/>
      <c r="D309" s="77" t="str">
        <f t="shared" si="51"/>
        <v/>
      </c>
      <c r="E309" s="82"/>
      <c r="F309" s="77" t="str">
        <f t="shared" si="56"/>
        <v/>
      </c>
      <c r="G309" s="114"/>
      <c r="H309" s="77" t="str">
        <f t="shared" si="49"/>
        <v/>
      </c>
      <c r="I309" s="77" t="str">
        <f t="shared" si="50"/>
        <v/>
      </c>
      <c r="J309" s="113"/>
      <c r="K309" s="113"/>
      <c r="L309" s="113"/>
      <c r="M309" s="81"/>
      <c r="O309" s="72" t="str">
        <f t="shared" si="52"/>
        <v/>
      </c>
      <c r="P309" s="72" t="str">
        <f t="shared" si="53"/>
        <v/>
      </c>
      <c r="Q309" s="72" t="str">
        <f t="shared" si="54"/>
        <v/>
      </c>
      <c r="R309" s="72" t="str">
        <f t="shared" si="55"/>
        <v/>
      </c>
      <c r="AB309" s="72" t="s">
        <v>1105</v>
      </c>
      <c r="AC309" s="72" t="s">
        <v>1106</v>
      </c>
      <c r="AD309" s="72" t="s">
        <v>5143</v>
      </c>
      <c r="AE309" s="72" t="s">
        <v>5144</v>
      </c>
      <c r="AF309" s="72" t="s">
        <v>5165</v>
      </c>
      <c r="AG309" s="72" t="s">
        <v>5175</v>
      </c>
    </row>
    <row r="310" spans="1:33">
      <c r="A310" s="76" t="str">
        <f>IF(C310="","",VLOOKUP('OPĆI DIO'!$C$3,'OPĆI DIO'!$L$6:$U$138,10,FALSE))</f>
        <v/>
      </c>
      <c r="B310" s="76" t="str">
        <f>IF(C310="","",VLOOKUP('OPĆI DIO'!$C$3,'OPĆI DIO'!$L$6:$U$138,9,FALSE))</f>
        <v/>
      </c>
      <c r="C310" s="82"/>
      <c r="D310" s="77" t="str">
        <f t="shared" si="51"/>
        <v/>
      </c>
      <c r="E310" s="82"/>
      <c r="F310" s="77" t="str">
        <f t="shared" si="56"/>
        <v/>
      </c>
      <c r="G310" s="114"/>
      <c r="H310" s="77" t="str">
        <f t="shared" si="49"/>
        <v/>
      </c>
      <c r="I310" s="77" t="str">
        <f t="shared" si="50"/>
        <v/>
      </c>
      <c r="J310" s="113"/>
      <c r="K310" s="113"/>
      <c r="L310" s="113"/>
      <c r="M310" s="81"/>
      <c r="O310" s="72" t="str">
        <f t="shared" si="52"/>
        <v/>
      </c>
      <c r="P310" s="72" t="str">
        <f t="shared" si="53"/>
        <v/>
      </c>
      <c r="Q310" s="72" t="str">
        <f t="shared" si="54"/>
        <v/>
      </c>
      <c r="R310" s="72" t="str">
        <f t="shared" si="55"/>
        <v/>
      </c>
      <c r="AB310" s="72" t="s">
        <v>1107</v>
      </c>
      <c r="AC310" s="72" t="s">
        <v>1108</v>
      </c>
      <c r="AD310" s="72" t="s">
        <v>5143</v>
      </c>
      <c r="AE310" s="72" t="s">
        <v>5144</v>
      </c>
      <c r="AF310" s="72" t="s">
        <v>5165</v>
      </c>
      <c r="AG310" s="72" t="s">
        <v>5175</v>
      </c>
    </row>
    <row r="311" spans="1:33">
      <c r="A311" s="76" t="str">
        <f>IF(C311="","",VLOOKUP('OPĆI DIO'!$C$3,'OPĆI DIO'!$L$6:$U$138,10,FALSE))</f>
        <v/>
      </c>
      <c r="B311" s="76" t="str">
        <f>IF(C311="","",VLOOKUP('OPĆI DIO'!$C$3,'OPĆI DIO'!$L$6:$U$138,9,FALSE))</f>
        <v/>
      </c>
      <c r="C311" s="82"/>
      <c r="D311" s="77" t="str">
        <f t="shared" si="51"/>
        <v/>
      </c>
      <c r="E311" s="82"/>
      <c r="F311" s="77" t="str">
        <f t="shared" si="56"/>
        <v/>
      </c>
      <c r="G311" s="114"/>
      <c r="H311" s="77" t="str">
        <f t="shared" si="49"/>
        <v/>
      </c>
      <c r="I311" s="77" t="str">
        <f t="shared" si="50"/>
        <v/>
      </c>
      <c r="J311" s="113"/>
      <c r="K311" s="113"/>
      <c r="L311" s="113"/>
      <c r="M311" s="81"/>
      <c r="O311" s="72" t="str">
        <f t="shared" si="52"/>
        <v/>
      </c>
      <c r="P311" s="72" t="str">
        <f t="shared" si="53"/>
        <v/>
      </c>
      <c r="Q311" s="72" t="str">
        <f t="shared" si="54"/>
        <v/>
      </c>
      <c r="R311" s="72" t="str">
        <f t="shared" si="55"/>
        <v/>
      </c>
      <c r="AB311" s="72" t="s">
        <v>1109</v>
      </c>
      <c r="AC311" s="72" t="s">
        <v>1110</v>
      </c>
      <c r="AD311" s="72" t="s">
        <v>5143</v>
      </c>
      <c r="AE311" s="72" t="s">
        <v>5144</v>
      </c>
      <c r="AF311" s="72" t="s">
        <v>5165</v>
      </c>
      <c r="AG311" s="72" t="s">
        <v>5175</v>
      </c>
    </row>
    <row r="312" spans="1:33">
      <c r="A312" s="76" t="str">
        <f>IF(C312="","",VLOOKUP('OPĆI DIO'!$C$3,'OPĆI DIO'!$L$6:$U$138,10,FALSE))</f>
        <v/>
      </c>
      <c r="B312" s="76" t="str">
        <f>IF(C312="","",VLOOKUP('OPĆI DIO'!$C$3,'OPĆI DIO'!$L$6:$U$138,9,FALSE))</f>
        <v/>
      </c>
      <c r="C312" s="82"/>
      <c r="D312" s="77" t="str">
        <f t="shared" si="51"/>
        <v/>
      </c>
      <c r="E312" s="82"/>
      <c r="F312" s="77" t="str">
        <f t="shared" si="56"/>
        <v/>
      </c>
      <c r="G312" s="114"/>
      <c r="H312" s="77" t="str">
        <f t="shared" si="49"/>
        <v/>
      </c>
      <c r="I312" s="77" t="str">
        <f t="shared" si="50"/>
        <v/>
      </c>
      <c r="J312" s="113"/>
      <c r="K312" s="113"/>
      <c r="L312" s="113"/>
      <c r="M312" s="81"/>
      <c r="O312" s="72" t="str">
        <f t="shared" si="52"/>
        <v/>
      </c>
      <c r="P312" s="72" t="str">
        <f t="shared" si="53"/>
        <v/>
      </c>
      <c r="Q312" s="72" t="str">
        <f t="shared" si="54"/>
        <v/>
      </c>
      <c r="R312" s="72" t="str">
        <f t="shared" si="55"/>
        <v/>
      </c>
      <c r="AB312" s="72" t="s">
        <v>1111</v>
      </c>
      <c r="AC312" s="72" t="s">
        <v>1112</v>
      </c>
      <c r="AD312" s="72" t="s">
        <v>5143</v>
      </c>
      <c r="AE312" s="72" t="s">
        <v>5144</v>
      </c>
      <c r="AF312" s="72" t="s">
        <v>5165</v>
      </c>
      <c r="AG312" s="72" t="s">
        <v>5175</v>
      </c>
    </row>
    <row r="313" spans="1:33">
      <c r="A313" s="76" t="str">
        <f>IF(C313="","",VLOOKUP('OPĆI DIO'!$C$3,'OPĆI DIO'!$L$6:$U$138,10,FALSE))</f>
        <v/>
      </c>
      <c r="B313" s="76" t="str">
        <f>IF(C313="","",VLOOKUP('OPĆI DIO'!$C$3,'OPĆI DIO'!$L$6:$U$138,9,FALSE))</f>
        <v/>
      </c>
      <c r="C313" s="82"/>
      <c r="D313" s="77" t="str">
        <f t="shared" si="51"/>
        <v/>
      </c>
      <c r="E313" s="82"/>
      <c r="F313" s="77" t="str">
        <f t="shared" si="56"/>
        <v/>
      </c>
      <c r="G313" s="114"/>
      <c r="H313" s="77" t="str">
        <f t="shared" si="49"/>
        <v/>
      </c>
      <c r="I313" s="77" t="str">
        <f t="shared" si="50"/>
        <v/>
      </c>
      <c r="J313" s="113"/>
      <c r="K313" s="113"/>
      <c r="L313" s="113"/>
      <c r="M313" s="81"/>
      <c r="O313" s="72" t="str">
        <f t="shared" si="52"/>
        <v/>
      </c>
      <c r="P313" s="72" t="str">
        <f t="shared" si="53"/>
        <v/>
      </c>
      <c r="Q313" s="72" t="str">
        <f t="shared" si="54"/>
        <v/>
      </c>
      <c r="R313" s="72" t="str">
        <f t="shared" si="55"/>
        <v/>
      </c>
      <c r="AB313" s="72" t="s">
        <v>1113</v>
      </c>
      <c r="AC313" s="72" t="s">
        <v>1114</v>
      </c>
      <c r="AD313" s="72" t="s">
        <v>5143</v>
      </c>
      <c r="AE313" s="72" t="s">
        <v>5144</v>
      </c>
      <c r="AF313" s="72" t="s">
        <v>5165</v>
      </c>
      <c r="AG313" s="72" t="s">
        <v>5175</v>
      </c>
    </row>
    <row r="314" spans="1:33">
      <c r="A314" s="76" t="str">
        <f>IF(C314="","",VLOOKUP('OPĆI DIO'!$C$3,'OPĆI DIO'!$L$6:$U$138,10,FALSE))</f>
        <v/>
      </c>
      <c r="B314" s="76" t="str">
        <f>IF(C314="","",VLOOKUP('OPĆI DIO'!$C$3,'OPĆI DIO'!$L$6:$U$138,9,FALSE))</f>
        <v/>
      </c>
      <c r="C314" s="82"/>
      <c r="D314" s="77" t="str">
        <f t="shared" si="51"/>
        <v/>
      </c>
      <c r="E314" s="82"/>
      <c r="F314" s="77" t="str">
        <f t="shared" si="56"/>
        <v/>
      </c>
      <c r="G314" s="114"/>
      <c r="H314" s="77" t="str">
        <f t="shared" si="49"/>
        <v/>
      </c>
      <c r="I314" s="77" t="str">
        <f t="shared" si="50"/>
        <v/>
      </c>
      <c r="J314" s="113"/>
      <c r="K314" s="113"/>
      <c r="L314" s="113"/>
      <c r="M314" s="81"/>
      <c r="O314" s="72" t="str">
        <f t="shared" si="52"/>
        <v/>
      </c>
      <c r="P314" s="72" t="str">
        <f t="shared" si="53"/>
        <v/>
      </c>
      <c r="Q314" s="72" t="str">
        <f t="shared" si="54"/>
        <v/>
      </c>
      <c r="R314" s="72" t="str">
        <f t="shared" si="55"/>
        <v/>
      </c>
      <c r="AB314" s="72" t="s">
        <v>1115</v>
      </c>
      <c r="AC314" s="72" t="s">
        <v>1116</v>
      </c>
      <c r="AD314" s="72" t="s">
        <v>5143</v>
      </c>
      <c r="AE314" s="72" t="s">
        <v>5144</v>
      </c>
      <c r="AF314" s="72" t="s">
        <v>5165</v>
      </c>
      <c r="AG314" s="72" t="s">
        <v>5175</v>
      </c>
    </row>
    <row r="315" spans="1:33">
      <c r="A315" s="76" t="str">
        <f>IF(C315="","",VLOOKUP('OPĆI DIO'!$C$3,'OPĆI DIO'!$L$6:$U$138,10,FALSE))</f>
        <v/>
      </c>
      <c r="B315" s="76" t="str">
        <f>IF(C315="","",VLOOKUP('OPĆI DIO'!$C$3,'OPĆI DIO'!$L$6:$U$138,9,FALSE))</f>
        <v/>
      </c>
      <c r="C315" s="82"/>
      <c r="D315" s="77" t="str">
        <f t="shared" si="51"/>
        <v/>
      </c>
      <c r="E315" s="82"/>
      <c r="F315" s="77" t="str">
        <f t="shared" si="56"/>
        <v/>
      </c>
      <c r="G315" s="114"/>
      <c r="H315" s="77" t="str">
        <f t="shared" si="49"/>
        <v/>
      </c>
      <c r="I315" s="77" t="str">
        <f t="shared" si="50"/>
        <v/>
      </c>
      <c r="J315" s="113"/>
      <c r="K315" s="113"/>
      <c r="L315" s="113"/>
      <c r="M315" s="81"/>
      <c r="O315" s="72" t="str">
        <f t="shared" si="52"/>
        <v/>
      </c>
      <c r="P315" s="72" t="str">
        <f t="shared" si="53"/>
        <v/>
      </c>
      <c r="Q315" s="72" t="str">
        <f t="shared" si="54"/>
        <v/>
      </c>
      <c r="R315" s="72" t="str">
        <f t="shared" si="55"/>
        <v/>
      </c>
      <c r="AB315" s="72" t="s">
        <v>1117</v>
      </c>
      <c r="AC315" s="72" t="s">
        <v>1118</v>
      </c>
      <c r="AD315" s="72" t="s">
        <v>5143</v>
      </c>
      <c r="AE315" s="72" t="s">
        <v>5144</v>
      </c>
      <c r="AF315" s="72" t="s">
        <v>5165</v>
      </c>
      <c r="AG315" s="72" t="s">
        <v>5175</v>
      </c>
    </row>
    <row r="316" spans="1:33">
      <c r="A316" s="76" t="str">
        <f>IF(C316="","",VLOOKUP('OPĆI DIO'!$C$3,'OPĆI DIO'!$L$6:$U$138,10,FALSE))</f>
        <v/>
      </c>
      <c r="B316" s="76" t="str">
        <f>IF(C316="","",VLOOKUP('OPĆI DIO'!$C$3,'OPĆI DIO'!$L$6:$U$138,9,FALSE))</f>
        <v/>
      </c>
      <c r="C316" s="82"/>
      <c r="D316" s="77" t="str">
        <f t="shared" si="51"/>
        <v/>
      </c>
      <c r="E316" s="82"/>
      <c r="F316" s="77" t="str">
        <f t="shared" si="56"/>
        <v/>
      </c>
      <c r="G316" s="114"/>
      <c r="H316" s="77" t="str">
        <f t="shared" si="49"/>
        <v/>
      </c>
      <c r="I316" s="77" t="str">
        <f t="shared" si="50"/>
        <v/>
      </c>
      <c r="J316" s="113"/>
      <c r="K316" s="113"/>
      <c r="L316" s="113"/>
      <c r="M316" s="81"/>
      <c r="O316" s="72" t="str">
        <f t="shared" si="52"/>
        <v/>
      </c>
      <c r="P316" s="72" t="str">
        <f t="shared" si="53"/>
        <v/>
      </c>
      <c r="Q316" s="72" t="str">
        <f t="shared" si="54"/>
        <v/>
      </c>
      <c r="R316" s="72" t="str">
        <f t="shared" si="55"/>
        <v/>
      </c>
      <c r="AB316" s="72" t="s">
        <v>1119</v>
      </c>
      <c r="AC316" s="72" t="s">
        <v>1120</v>
      </c>
      <c r="AD316" s="72" t="s">
        <v>5143</v>
      </c>
      <c r="AE316" s="72" t="s">
        <v>5144</v>
      </c>
      <c r="AF316" s="72" t="s">
        <v>5165</v>
      </c>
      <c r="AG316" s="72" t="s">
        <v>5175</v>
      </c>
    </row>
    <row r="317" spans="1:33">
      <c r="A317" s="76" t="str">
        <f>IF(C317="","",VLOOKUP('OPĆI DIO'!$C$3,'OPĆI DIO'!$L$6:$U$138,10,FALSE))</f>
        <v/>
      </c>
      <c r="B317" s="76" t="str">
        <f>IF(C317="","",VLOOKUP('OPĆI DIO'!$C$3,'OPĆI DIO'!$L$6:$U$138,9,FALSE))</f>
        <v/>
      </c>
      <c r="C317" s="82"/>
      <c r="D317" s="77" t="str">
        <f t="shared" si="51"/>
        <v/>
      </c>
      <c r="E317" s="82"/>
      <c r="F317" s="77" t="str">
        <f t="shared" si="56"/>
        <v/>
      </c>
      <c r="G317" s="114"/>
      <c r="H317" s="77" t="str">
        <f t="shared" si="49"/>
        <v/>
      </c>
      <c r="I317" s="77" t="str">
        <f t="shared" si="50"/>
        <v/>
      </c>
      <c r="J317" s="113"/>
      <c r="K317" s="113"/>
      <c r="L317" s="113"/>
      <c r="M317" s="81"/>
      <c r="O317" s="72" t="str">
        <f t="shared" si="52"/>
        <v/>
      </c>
      <c r="P317" s="72" t="str">
        <f t="shared" si="53"/>
        <v/>
      </c>
      <c r="Q317" s="72" t="str">
        <f t="shared" si="54"/>
        <v/>
      </c>
      <c r="R317" s="72" t="str">
        <f t="shared" si="55"/>
        <v/>
      </c>
      <c r="AB317" s="72" t="s">
        <v>1121</v>
      </c>
      <c r="AC317" s="72" t="s">
        <v>1122</v>
      </c>
      <c r="AD317" s="72" t="s">
        <v>5159</v>
      </c>
      <c r="AE317" s="72" t="s">
        <v>5160</v>
      </c>
      <c r="AF317" s="72" t="s">
        <v>5165</v>
      </c>
      <c r="AG317" s="72" t="s">
        <v>5177</v>
      </c>
    </row>
    <row r="318" spans="1:33">
      <c r="A318" s="76" t="str">
        <f>IF(C318="","",VLOOKUP('OPĆI DIO'!$C$3,'OPĆI DIO'!$L$6:$U$138,10,FALSE))</f>
        <v/>
      </c>
      <c r="B318" s="76" t="str">
        <f>IF(C318="","",VLOOKUP('OPĆI DIO'!$C$3,'OPĆI DIO'!$L$6:$U$138,9,FALSE))</f>
        <v/>
      </c>
      <c r="C318" s="82"/>
      <c r="D318" s="77" t="str">
        <f t="shared" si="51"/>
        <v/>
      </c>
      <c r="E318" s="82"/>
      <c r="F318" s="77" t="str">
        <f t="shared" si="56"/>
        <v/>
      </c>
      <c r="G318" s="114"/>
      <c r="H318" s="77" t="str">
        <f t="shared" si="49"/>
        <v/>
      </c>
      <c r="I318" s="77" t="str">
        <f t="shared" si="50"/>
        <v/>
      </c>
      <c r="J318" s="113"/>
      <c r="K318" s="113"/>
      <c r="L318" s="113"/>
      <c r="M318" s="81"/>
      <c r="O318" s="72" t="str">
        <f t="shared" si="52"/>
        <v/>
      </c>
      <c r="P318" s="72" t="str">
        <f t="shared" si="53"/>
        <v/>
      </c>
      <c r="Q318" s="72" t="str">
        <f t="shared" si="54"/>
        <v/>
      </c>
      <c r="R318" s="72" t="str">
        <f t="shared" si="55"/>
        <v/>
      </c>
      <c r="AB318" s="72" t="s">
        <v>1121</v>
      </c>
      <c r="AC318" s="72" t="s">
        <v>1122</v>
      </c>
      <c r="AD318" s="72" t="s">
        <v>5143</v>
      </c>
      <c r="AE318" s="72" t="s">
        <v>5144</v>
      </c>
      <c r="AF318" s="72" t="s">
        <v>5165</v>
      </c>
      <c r="AG318" s="72" t="s">
        <v>5175</v>
      </c>
    </row>
    <row r="319" spans="1:33">
      <c r="A319" s="76" t="str">
        <f>IF(C319="","",VLOOKUP('OPĆI DIO'!$C$3,'OPĆI DIO'!$L$6:$U$138,10,FALSE))</f>
        <v/>
      </c>
      <c r="B319" s="76" t="str">
        <f>IF(C319="","",VLOOKUP('OPĆI DIO'!$C$3,'OPĆI DIO'!$L$6:$U$138,9,FALSE))</f>
        <v/>
      </c>
      <c r="C319" s="82"/>
      <c r="D319" s="77" t="str">
        <f t="shared" si="51"/>
        <v/>
      </c>
      <c r="E319" s="82"/>
      <c r="F319" s="77" t="str">
        <f t="shared" si="56"/>
        <v/>
      </c>
      <c r="G319" s="114"/>
      <c r="H319" s="77" t="str">
        <f t="shared" si="49"/>
        <v/>
      </c>
      <c r="I319" s="77" t="str">
        <f t="shared" si="50"/>
        <v/>
      </c>
      <c r="J319" s="113"/>
      <c r="K319" s="113"/>
      <c r="L319" s="113"/>
      <c r="M319" s="81"/>
      <c r="O319" s="72" t="str">
        <f t="shared" si="52"/>
        <v/>
      </c>
      <c r="P319" s="72" t="str">
        <f t="shared" si="53"/>
        <v/>
      </c>
      <c r="Q319" s="72" t="str">
        <f t="shared" si="54"/>
        <v/>
      </c>
      <c r="R319" s="72" t="str">
        <f t="shared" si="55"/>
        <v/>
      </c>
      <c r="AB319" s="72" t="s">
        <v>1123</v>
      </c>
      <c r="AC319" s="72" t="s">
        <v>1124</v>
      </c>
      <c r="AD319" s="72" t="s">
        <v>5143</v>
      </c>
      <c r="AE319" s="72" t="s">
        <v>5144</v>
      </c>
      <c r="AF319" s="72" t="s">
        <v>5165</v>
      </c>
      <c r="AG319" s="72" t="s">
        <v>5175</v>
      </c>
    </row>
    <row r="320" spans="1:33">
      <c r="A320" s="76" t="str">
        <f>IF(C320="","",VLOOKUP('OPĆI DIO'!$C$3,'OPĆI DIO'!$L$6:$U$138,10,FALSE))</f>
        <v/>
      </c>
      <c r="B320" s="76" t="str">
        <f>IF(C320="","",VLOOKUP('OPĆI DIO'!$C$3,'OPĆI DIO'!$L$6:$U$138,9,FALSE))</f>
        <v/>
      </c>
      <c r="C320" s="82"/>
      <c r="D320" s="77" t="str">
        <f t="shared" si="51"/>
        <v/>
      </c>
      <c r="E320" s="82"/>
      <c r="F320" s="77" t="str">
        <f t="shared" si="56"/>
        <v/>
      </c>
      <c r="G320" s="114"/>
      <c r="H320" s="77" t="str">
        <f t="shared" si="49"/>
        <v/>
      </c>
      <c r="I320" s="77" t="str">
        <f t="shared" si="50"/>
        <v/>
      </c>
      <c r="J320" s="113"/>
      <c r="K320" s="113"/>
      <c r="L320" s="113"/>
      <c r="M320" s="81"/>
      <c r="O320" s="72" t="str">
        <f t="shared" si="52"/>
        <v/>
      </c>
      <c r="P320" s="72" t="str">
        <f t="shared" si="53"/>
        <v/>
      </c>
      <c r="Q320" s="72" t="str">
        <f t="shared" si="54"/>
        <v/>
      </c>
      <c r="R320" s="72" t="str">
        <f t="shared" si="55"/>
        <v/>
      </c>
      <c r="AB320" s="72" t="s">
        <v>1125</v>
      </c>
      <c r="AC320" s="72" t="s">
        <v>1126</v>
      </c>
      <c r="AD320" s="72" t="s">
        <v>5143</v>
      </c>
      <c r="AE320" s="72" t="s">
        <v>5144</v>
      </c>
      <c r="AF320" s="72" t="s">
        <v>5165</v>
      </c>
      <c r="AG320" s="72" t="s">
        <v>5175</v>
      </c>
    </row>
    <row r="321" spans="1:33">
      <c r="A321" s="76" t="str">
        <f>IF(C321="","",VLOOKUP('OPĆI DIO'!$C$3,'OPĆI DIO'!$L$6:$U$138,10,FALSE))</f>
        <v/>
      </c>
      <c r="B321" s="76" t="str">
        <f>IF(C321="","",VLOOKUP('OPĆI DIO'!$C$3,'OPĆI DIO'!$L$6:$U$138,9,FALSE))</f>
        <v/>
      </c>
      <c r="C321" s="82"/>
      <c r="D321" s="77" t="str">
        <f t="shared" si="51"/>
        <v/>
      </c>
      <c r="E321" s="82"/>
      <c r="F321" s="77" t="str">
        <f t="shared" si="56"/>
        <v/>
      </c>
      <c r="G321" s="114"/>
      <c r="H321" s="77" t="str">
        <f t="shared" si="49"/>
        <v/>
      </c>
      <c r="I321" s="77" t="str">
        <f t="shared" si="50"/>
        <v/>
      </c>
      <c r="J321" s="113"/>
      <c r="K321" s="113"/>
      <c r="L321" s="113"/>
      <c r="M321" s="81"/>
      <c r="O321" s="72" t="str">
        <f t="shared" si="52"/>
        <v/>
      </c>
      <c r="P321" s="72" t="str">
        <f t="shared" si="53"/>
        <v/>
      </c>
      <c r="Q321" s="72" t="str">
        <f t="shared" si="54"/>
        <v/>
      </c>
      <c r="R321" s="72" t="str">
        <f t="shared" si="55"/>
        <v/>
      </c>
      <c r="AB321" s="72" t="s">
        <v>1963</v>
      </c>
      <c r="AC321" s="72" t="s">
        <v>1964</v>
      </c>
      <c r="AD321" s="72" t="s">
        <v>5143</v>
      </c>
      <c r="AE321" s="72" t="s">
        <v>5144</v>
      </c>
      <c r="AF321" s="72" t="s">
        <v>5165</v>
      </c>
      <c r="AG321" s="72" t="s">
        <v>5175</v>
      </c>
    </row>
    <row r="322" spans="1:33">
      <c r="A322" s="76" t="str">
        <f>IF(C322="","",VLOOKUP('OPĆI DIO'!$C$3,'OPĆI DIO'!$L$6:$U$138,10,FALSE))</f>
        <v/>
      </c>
      <c r="B322" s="76" t="str">
        <f>IF(C322="","",VLOOKUP('OPĆI DIO'!$C$3,'OPĆI DIO'!$L$6:$U$138,9,FALSE))</f>
        <v/>
      </c>
      <c r="C322" s="82"/>
      <c r="D322" s="77" t="str">
        <f t="shared" si="51"/>
        <v/>
      </c>
      <c r="E322" s="82"/>
      <c r="F322" s="77" t="str">
        <f t="shared" si="56"/>
        <v/>
      </c>
      <c r="G322" s="114"/>
      <c r="H322" s="77" t="str">
        <f t="shared" si="49"/>
        <v/>
      </c>
      <c r="I322" s="77" t="str">
        <f t="shared" si="50"/>
        <v/>
      </c>
      <c r="J322" s="113"/>
      <c r="K322" s="113"/>
      <c r="L322" s="113"/>
      <c r="M322" s="81"/>
      <c r="O322" s="72" t="str">
        <f t="shared" si="52"/>
        <v/>
      </c>
      <c r="P322" s="72" t="str">
        <f t="shared" si="53"/>
        <v/>
      </c>
      <c r="Q322" s="72" t="str">
        <f t="shared" si="54"/>
        <v/>
      </c>
      <c r="R322" s="72" t="str">
        <f t="shared" si="55"/>
        <v/>
      </c>
      <c r="AB322" s="72" t="s">
        <v>1965</v>
      </c>
      <c r="AC322" s="72" t="s">
        <v>1966</v>
      </c>
      <c r="AD322" s="72" t="s">
        <v>5143</v>
      </c>
      <c r="AE322" s="72" t="s">
        <v>5144</v>
      </c>
      <c r="AF322" s="72" t="s">
        <v>5165</v>
      </c>
      <c r="AG322" s="72" t="s">
        <v>5175</v>
      </c>
    </row>
    <row r="323" spans="1:33">
      <c r="A323" s="76" t="str">
        <f>IF(C323="","",VLOOKUP('OPĆI DIO'!$C$3,'OPĆI DIO'!$L$6:$U$138,10,FALSE))</f>
        <v/>
      </c>
      <c r="B323" s="76" t="str">
        <f>IF(C323="","",VLOOKUP('OPĆI DIO'!$C$3,'OPĆI DIO'!$L$6:$U$138,9,FALSE))</f>
        <v/>
      </c>
      <c r="C323" s="82"/>
      <c r="D323" s="77" t="str">
        <f t="shared" si="51"/>
        <v/>
      </c>
      <c r="E323" s="82"/>
      <c r="F323" s="77" t="str">
        <f t="shared" si="56"/>
        <v/>
      </c>
      <c r="G323" s="114"/>
      <c r="H323" s="77" t="str">
        <f t="shared" ref="H323:H386" si="57">IFERROR(VLOOKUP(G323,$AB$6:$AC$337,2,FALSE),"")</f>
        <v/>
      </c>
      <c r="I323" s="77" t="str">
        <f t="shared" ref="I323:I386" si="58">IFERROR(VLOOKUP(G323,$AB$6:$AF$337,3,FALSE),"")</f>
        <v/>
      </c>
      <c r="J323" s="113"/>
      <c r="K323" s="113"/>
      <c r="L323" s="113"/>
      <c r="M323" s="81"/>
      <c r="O323" s="72" t="str">
        <f t="shared" si="52"/>
        <v/>
      </c>
      <c r="P323" s="72" t="str">
        <f t="shared" si="53"/>
        <v/>
      </c>
      <c r="Q323" s="72" t="str">
        <f t="shared" si="54"/>
        <v/>
      </c>
      <c r="R323" s="72" t="str">
        <f t="shared" si="55"/>
        <v/>
      </c>
      <c r="AB323" s="72" t="s">
        <v>1967</v>
      </c>
      <c r="AC323" s="72" t="s">
        <v>1968</v>
      </c>
      <c r="AD323" s="72" t="s">
        <v>5143</v>
      </c>
      <c r="AE323" s="72" t="s">
        <v>5144</v>
      </c>
      <c r="AF323" s="72" t="s">
        <v>5165</v>
      </c>
      <c r="AG323" s="72" t="s">
        <v>5175</v>
      </c>
    </row>
    <row r="324" spans="1:33">
      <c r="A324" s="76" t="str">
        <f>IF(C324="","",VLOOKUP('OPĆI DIO'!$C$3,'OPĆI DIO'!$L$6:$U$138,10,FALSE))</f>
        <v/>
      </c>
      <c r="B324" s="76" t="str">
        <f>IF(C324="","",VLOOKUP('OPĆI DIO'!$C$3,'OPĆI DIO'!$L$6:$U$138,9,FALSE))</f>
        <v/>
      </c>
      <c r="C324" s="82"/>
      <c r="D324" s="77" t="str">
        <f t="shared" si="51"/>
        <v/>
      </c>
      <c r="E324" s="82"/>
      <c r="F324" s="77" t="str">
        <f t="shared" si="56"/>
        <v/>
      </c>
      <c r="G324" s="114"/>
      <c r="H324" s="77" t="str">
        <f t="shared" si="57"/>
        <v/>
      </c>
      <c r="I324" s="77" t="str">
        <f t="shared" si="58"/>
        <v/>
      </c>
      <c r="J324" s="113"/>
      <c r="K324" s="113"/>
      <c r="L324" s="113"/>
      <c r="M324" s="81"/>
      <c r="O324" s="72" t="str">
        <f t="shared" si="52"/>
        <v/>
      </c>
      <c r="P324" s="72" t="str">
        <f t="shared" si="53"/>
        <v/>
      </c>
      <c r="Q324" s="72" t="str">
        <f t="shared" si="54"/>
        <v/>
      </c>
      <c r="R324" s="72" t="str">
        <f t="shared" si="55"/>
        <v/>
      </c>
      <c r="AB324" s="72" t="s">
        <v>3510</v>
      </c>
      <c r="AC324" s="72" t="s">
        <v>3511</v>
      </c>
      <c r="AD324" s="72" t="s">
        <v>5143</v>
      </c>
      <c r="AE324" s="72" t="s">
        <v>5144</v>
      </c>
      <c r="AF324" s="72" t="s">
        <v>5165</v>
      </c>
      <c r="AG324" s="72" t="s">
        <v>5175</v>
      </c>
    </row>
    <row r="325" spans="1:33">
      <c r="A325" s="76" t="str">
        <f>IF(C325="","",VLOOKUP('OPĆI DIO'!$C$3,'OPĆI DIO'!$L$6:$U$138,10,FALSE))</f>
        <v/>
      </c>
      <c r="B325" s="76" t="str">
        <f>IF(C325="","",VLOOKUP('OPĆI DIO'!$C$3,'OPĆI DIO'!$L$6:$U$138,9,FALSE))</f>
        <v/>
      </c>
      <c r="C325" s="82"/>
      <c r="D325" s="77" t="str">
        <f t="shared" si="51"/>
        <v/>
      </c>
      <c r="E325" s="82"/>
      <c r="F325" s="77" t="str">
        <f t="shared" si="56"/>
        <v/>
      </c>
      <c r="G325" s="114"/>
      <c r="H325" s="77" t="str">
        <f t="shared" si="57"/>
        <v/>
      </c>
      <c r="I325" s="77" t="str">
        <f t="shared" si="58"/>
        <v/>
      </c>
      <c r="J325" s="113"/>
      <c r="K325" s="113"/>
      <c r="L325" s="113"/>
      <c r="M325" s="81"/>
      <c r="O325" s="72" t="str">
        <f t="shared" si="52"/>
        <v/>
      </c>
      <c r="P325" s="72" t="str">
        <f t="shared" si="53"/>
        <v/>
      </c>
      <c r="Q325" s="72" t="str">
        <f t="shared" si="54"/>
        <v/>
      </c>
      <c r="R325" s="72" t="str">
        <f t="shared" si="55"/>
        <v/>
      </c>
      <c r="AB325" s="72" t="s">
        <v>1127</v>
      </c>
      <c r="AC325" s="72" t="s">
        <v>684</v>
      </c>
      <c r="AD325" s="72" t="s">
        <v>5159</v>
      </c>
      <c r="AE325" s="72" t="s">
        <v>5160</v>
      </c>
      <c r="AF325" s="72" t="s">
        <v>5165</v>
      </c>
      <c r="AG325" s="72" t="s">
        <v>5177</v>
      </c>
    </row>
    <row r="326" spans="1:33">
      <c r="A326" s="76" t="str">
        <f>IF(C326="","",VLOOKUP('OPĆI DIO'!$C$3,'OPĆI DIO'!$L$6:$U$138,10,FALSE))</f>
        <v/>
      </c>
      <c r="B326" s="76" t="str">
        <f>IF(C326="","",VLOOKUP('OPĆI DIO'!$C$3,'OPĆI DIO'!$L$6:$U$138,9,FALSE))</f>
        <v/>
      </c>
      <c r="C326" s="82"/>
      <c r="D326" s="77" t="str">
        <f t="shared" si="51"/>
        <v/>
      </c>
      <c r="E326" s="82"/>
      <c r="F326" s="77" t="str">
        <f t="shared" si="56"/>
        <v/>
      </c>
      <c r="G326" s="114"/>
      <c r="H326" s="77" t="str">
        <f t="shared" si="57"/>
        <v/>
      </c>
      <c r="I326" s="77" t="str">
        <f t="shared" si="58"/>
        <v/>
      </c>
      <c r="J326" s="113"/>
      <c r="K326" s="113"/>
      <c r="L326" s="113"/>
      <c r="M326" s="81"/>
      <c r="O326" s="72" t="str">
        <f t="shared" si="52"/>
        <v/>
      </c>
      <c r="P326" s="72" t="str">
        <f t="shared" si="53"/>
        <v/>
      </c>
      <c r="Q326" s="72" t="str">
        <f t="shared" si="54"/>
        <v/>
      </c>
      <c r="R326" s="72" t="str">
        <f t="shared" si="55"/>
        <v/>
      </c>
      <c r="AB326" s="72" t="s">
        <v>1128</v>
      </c>
      <c r="AC326" s="72" t="s">
        <v>1129</v>
      </c>
      <c r="AD326" s="72" t="s">
        <v>5159</v>
      </c>
      <c r="AE326" s="72" t="s">
        <v>5160</v>
      </c>
      <c r="AF326" s="72" t="s">
        <v>5165</v>
      </c>
      <c r="AG326" s="72" t="s">
        <v>5177</v>
      </c>
    </row>
    <row r="327" spans="1:33">
      <c r="A327" s="76" t="str">
        <f>IF(C327="","",VLOOKUP('OPĆI DIO'!$C$3,'OPĆI DIO'!$L$6:$U$138,10,FALSE))</f>
        <v/>
      </c>
      <c r="B327" s="76" t="str">
        <f>IF(C327="","",VLOOKUP('OPĆI DIO'!$C$3,'OPĆI DIO'!$L$6:$U$138,9,FALSE))</f>
        <v/>
      </c>
      <c r="C327" s="82"/>
      <c r="D327" s="77" t="str">
        <f t="shared" si="51"/>
        <v/>
      </c>
      <c r="E327" s="82"/>
      <c r="F327" s="77" t="str">
        <f t="shared" si="56"/>
        <v/>
      </c>
      <c r="G327" s="114"/>
      <c r="H327" s="77" t="str">
        <f t="shared" si="57"/>
        <v/>
      </c>
      <c r="I327" s="77" t="str">
        <f t="shared" si="58"/>
        <v/>
      </c>
      <c r="J327" s="113"/>
      <c r="K327" s="113"/>
      <c r="L327" s="113"/>
      <c r="M327" s="81"/>
      <c r="O327" s="72" t="str">
        <f t="shared" si="52"/>
        <v/>
      </c>
      <c r="P327" s="72" t="str">
        <f t="shared" si="53"/>
        <v/>
      </c>
      <c r="Q327" s="72" t="str">
        <f t="shared" si="54"/>
        <v/>
      </c>
      <c r="R327" s="72" t="str">
        <f t="shared" si="55"/>
        <v/>
      </c>
      <c r="AB327" s="72" t="s">
        <v>1791</v>
      </c>
      <c r="AC327" s="72" t="s">
        <v>1792</v>
      </c>
      <c r="AD327" s="72" t="s">
        <v>5141</v>
      </c>
      <c r="AE327" s="72" t="s">
        <v>5142</v>
      </c>
      <c r="AF327" s="72" t="s">
        <v>5167</v>
      </c>
      <c r="AG327" s="72" t="s">
        <v>5168</v>
      </c>
    </row>
    <row r="328" spans="1:33">
      <c r="A328" s="76" t="str">
        <f>IF(C328="","",VLOOKUP('OPĆI DIO'!$C$3,'OPĆI DIO'!$L$6:$U$138,10,FALSE))</f>
        <v/>
      </c>
      <c r="B328" s="76" t="str">
        <f>IF(C328="","",VLOOKUP('OPĆI DIO'!$C$3,'OPĆI DIO'!$L$6:$U$138,9,FALSE))</f>
        <v/>
      </c>
      <c r="C328" s="82"/>
      <c r="D328" s="77" t="str">
        <f t="shared" si="51"/>
        <v/>
      </c>
      <c r="E328" s="82"/>
      <c r="F328" s="77" t="str">
        <f t="shared" si="56"/>
        <v/>
      </c>
      <c r="G328" s="114"/>
      <c r="H328" s="77" t="str">
        <f t="shared" si="57"/>
        <v/>
      </c>
      <c r="I328" s="77" t="str">
        <f t="shared" si="58"/>
        <v/>
      </c>
      <c r="J328" s="113"/>
      <c r="K328" s="113"/>
      <c r="L328" s="113"/>
      <c r="M328" s="81"/>
      <c r="O328" s="72" t="str">
        <f t="shared" si="52"/>
        <v/>
      </c>
      <c r="P328" s="72" t="str">
        <f t="shared" si="53"/>
        <v/>
      </c>
      <c r="Q328" s="72" t="str">
        <f t="shared" si="54"/>
        <v/>
      </c>
      <c r="R328" s="72" t="str">
        <f t="shared" si="55"/>
        <v/>
      </c>
      <c r="AB328" s="72" t="s">
        <v>1823</v>
      </c>
      <c r="AC328" s="72" t="s">
        <v>1824</v>
      </c>
      <c r="AD328" s="72" t="s">
        <v>5141</v>
      </c>
      <c r="AE328" s="72" t="s">
        <v>5142</v>
      </c>
      <c r="AF328" s="72" t="s">
        <v>5167</v>
      </c>
      <c r="AG328" s="72" t="s">
        <v>5168</v>
      </c>
    </row>
    <row r="329" spans="1:33">
      <c r="A329" s="76" t="str">
        <f>IF(C329="","",VLOOKUP('OPĆI DIO'!$C$3,'OPĆI DIO'!$L$6:$U$138,10,FALSE))</f>
        <v/>
      </c>
      <c r="B329" s="76" t="str">
        <f>IF(C329="","",VLOOKUP('OPĆI DIO'!$C$3,'OPĆI DIO'!$L$6:$U$138,9,FALSE))</f>
        <v/>
      </c>
      <c r="C329" s="82"/>
      <c r="D329" s="77" t="str">
        <f t="shared" si="51"/>
        <v/>
      </c>
      <c r="E329" s="82"/>
      <c r="F329" s="77" t="str">
        <f t="shared" si="56"/>
        <v/>
      </c>
      <c r="G329" s="114"/>
      <c r="H329" s="77" t="str">
        <f t="shared" si="57"/>
        <v/>
      </c>
      <c r="I329" s="77" t="str">
        <f t="shared" si="58"/>
        <v/>
      </c>
      <c r="J329" s="113"/>
      <c r="K329" s="113"/>
      <c r="L329" s="113"/>
      <c r="M329" s="81"/>
      <c r="O329" s="72" t="str">
        <f t="shared" si="52"/>
        <v/>
      </c>
      <c r="P329" s="72" t="str">
        <f t="shared" si="53"/>
        <v/>
      </c>
      <c r="Q329" s="72" t="str">
        <f t="shared" si="54"/>
        <v/>
      </c>
      <c r="R329" s="72" t="str">
        <f t="shared" si="55"/>
        <v/>
      </c>
      <c r="AB329" s="72" t="s">
        <v>3512</v>
      </c>
      <c r="AC329" s="72" t="s">
        <v>3513</v>
      </c>
      <c r="AD329" s="72" t="s">
        <v>5141</v>
      </c>
      <c r="AE329" s="72" t="s">
        <v>5142</v>
      </c>
      <c r="AF329" s="72" t="s">
        <v>5167</v>
      </c>
      <c r="AG329" s="72" t="s">
        <v>5168</v>
      </c>
    </row>
    <row r="330" spans="1:33">
      <c r="A330" s="76" t="str">
        <f>IF(C330="","",VLOOKUP('OPĆI DIO'!$C$3,'OPĆI DIO'!$L$6:$U$138,10,FALSE))</f>
        <v/>
      </c>
      <c r="B330" s="76" t="str">
        <f>IF(C330="","",VLOOKUP('OPĆI DIO'!$C$3,'OPĆI DIO'!$L$6:$U$138,9,FALSE))</f>
        <v/>
      </c>
      <c r="C330" s="82"/>
      <c r="D330" s="77" t="str">
        <f t="shared" si="51"/>
        <v/>
      </c>
      <c r="E330" s="82"/>
      <c r="F330" s="77" t="str">
        <f t="shared" si="56"/>
        <v/>
      </c>
      <c r="G330" s="114"/>
      <c r="H330" s="77" t="str">
        <f t="shared" si="57"/>
        <v/>
      </c>
      <c r="I330" s="77" t="str">
        <f t="shared" si="58"/>
        <v/>
      </c>
      <c r="J330" s="113"/>
      <c r="K330" s="113"/>
      <c r="L330" s="113"/>
      <c r="M330" s="81"/>
      <c r="O330" s="72" t="str">
        <f t="shared" si="52"/>
        <v/>
      </c>
      <c r="P330" s="72" t="str">
        <f t="shared" si="53"/>
        <v/>
      </c>
      <c r="Q330" s="72" t="str">
        <f t="shared" si="54"/>
        <v/>
      </c>
      <c r="R330" s="72" t="str">
        <f t="shared" si="55"/>
        <v/>
      </c>
      <c r="AB330" s="72" t="s">
        <v>3514</v>
      </c>
      <c r="AC330" s="72" t="s">
        <v>3515</v>
      </c>
      <c r="AD330" s="72" t="s">
        <v>5141</v>
      </c>
      <c r="AE330" s="72" t="s">
        <v>5142</v>
      </c>
      <c r="AF330" s="72" t="s">
        <v>5167</v>
      </c>
      <c r="AG330" s="72" t="s">
        <v>5168</v>
      </c>
    </row>
    <row r="331" spans="1:33">
      <c r="A331" s="76" t="str">
        <f>IF(C331="","",VLOOKUP('OPĆI DIO'!$C$3,'OPĆI DIO'!$L$6:$U$138,10,FALSE))</f>
        <v/>
      </c>
      <c r="B331" s="76" t="str">
        <f>IF(C331="","",VLOOKUP('OPĆI DIO'!$C$3,'OPĆI DIO'!$L$6:$U$138,9,FALSE))</f>
        <v/>
      </c>
      <c r="C331" s="82"/>
      <c r="D331" s="77" t="str">
        <f t="shared" si="51"/>
        <v/>
      </c>
      <c r="E331" s="82"/>
      <c r="F331" s="77" t="str">
        <f t="shared" si="56"/>
        <v/>
      </c>
      <c r="G331" s="114"/>
      <c r="H331" s="77" t="str">
        <f t="shared" si="57"/>
        <v/>
      </c>
      <c r="I331" s="77" t="str">
        <f t="shared" si="58"/>
        <v/>
      </c>
      <c r="J331" s="113"/>
      <c r="K331" s="113"/>
      <c r="L331" s="113"/>
      <c r="M331" s="81"/>
      <c r="O331" s="72" t="str">
        <f t="shared" si="52"/>
        <v/>
      </c>
      <c r="P331" s="72" t="str">
        <f t="shared" si="53"/>
        <v/>
      </c>
      <c r="Q331" s="72" t="str">
        <f t="shared" si="54"/>
        <v/>
      </c>
      <c r="R331" s="72" t="str">
        <f t="shared" si="55"/>
        <v/>
      </c>
      <c r="AB331" s="72" t="s">
        <v>3516</v>
      </c>
      <c r="AC331" s="72" t="s">
        <v>3517</v>
      </c>
      <c r="AD331" s="72" t="s">
        <v>5141</v>
      </c>
      <c r="AE331" s="72" t="s">
        <v>5142</v>
      </c>
      <c r="AF331" s="72" t="s">
        <v>5167</v>
      </c>
      <c r="AG331" s="72" t="s">
        <v>5168</v>
      </c>
    </row>
    <row r="332" spans="1:33">
      <c r="A332" s="76" t="str">
        <f>IF(C332="","",VLOOKUP('OPĆI DIO'!$C$3,'OPĆI DIO'!$L$6:$U$138,10,FALSE))</f>
        <v/>
      </c>
      <c r="B332" s="76" t="str">
        <f>IF(C332="","",VLOOKUP('OPĆI DIO'!$C$3,'OPĆI DIO'!$L$6:$U$138,9,FALSE))</f>
        <v/>
      </c>
      <c r="C332" s="82"/>
      <c r="D332" s="77" t="str">
        <f t="shared" si="51"/>
        <v/>
      </c>
      <c r="E332" s="82"/>
      <c r="F332" s="77" t="str">
        <f t="shared" si="56"/>
        <v/>
      </c>
      <c r="G332" s="114"/>
      <c r="H332" s="77" t="str">
        <f t="shared" si="57"/>
        <v/>
      </c>
      <c r="I332" s="77" t="str">
        <f t="shared" si="58"/>
        <v/>
      </c>
      <c r="J332" s="113"/>
      <c r="K332" s="113"/>
      <c r="L332" s="113"/>
      <c r="M332" s="81"/>
      <c r="O332" s="72" t="str">
        <f t="shared" si="52"/>
        <v/>
      </c>
      <c r="P332" s="72" t="str">
        <f t="shared" si="53"/>
        <v/>
      </c>
      <c r="Q332" s="72" t="str">
        <f t="shared" si="54"/>
        <v/>
      </c>
      <c r="R332" s="72" t="str">
        <f t="shared" si="55"/>
        <v/>
      </c>
      <c r="AB332" s="72" t="s">
        <v>1867</v>
      </c>
      <c r="AC332" s="72" t="s">
        <v>1868</v>
      </c>
      <c r="AD332" s="72" t="s">
        <v>5141</v>
      </c>
      <c r="AE332" s="72" t="s">
        <v>5142</v>
      </c>
      <c r="AF332" s="72" t="s">
        <v>5167</v>
      </c>
      <c r="AG332" s="72" t="s">
        <v>5168</v>
      </c>
    </row>
    <row r="333" spans="1:33">
      <c r="A333" s="76" t="str">
        <f>IF(C333="","",VLOOKUP('OPĆI DIO'!$C$3,'OPĆI DIO'!$L$6:$U$138,10,FALSE))</f>
        <v/>
      </c>
      <c r="B333" s="76" t="str">
        <f>IF(C333="","",VLOOKUP('OPĆI DIO'!$C$3,'OPĆI DIO'!$L$6:$U$138,9,FALSE))</f>
        <v/>
      </c>
      <c r="C333" s="82"/>
      <c r="D333" s="77" t="str">
        <f t="shared" ref="D333:D384" si="59">IFERROR(VLOOKUP(C333,$S$6:$T$24,2,FALSE),"")</f>
        <v/>
      </c>
      <c r="E333" s="82"/>
      <c r="F333" s="77" t="str">
        <f t="shared" si="56"/>
        <v/>
      </c>
      <c r="G333" s="114"/>
      <c r="H333" s="77" t="str">
        <f t="shared" si="57"/>
        <v/>
      </c>
      <c r="I333" s="77" t="str">
        <f t="shared" si="58"/>
        <v/>
      </c>
      <c r="J333" s="113"/>
      <c r="K333" s="113"/>
      <c r="L333" s="113"/>
      <c r="M333" s="81"/>
      <c r="O333" s="72" t="str">
        <f t="shared" si="52"/>
        <v/>
      </c>
      <c r="P333" s="72" t="str">
        <f t="shared" si="53"/>
        <v/>
      </c>
      <c r="Q333" s="72" t="str">
        <f t="shared" si="54"/>
        <v/>
      </c>
      <c r="R333" s="72" t="str">
        <f t="shared" si="55"/>
        <v/>
      </c>
      <c r="AB333" s="72" t="s">
        <v>959</v>
      </c>
      <c r="AC333" s="72" t="s">
        <v>960</v>
      </c>
      <c r="AD333" s="72" t="s">
        <v>5141</v>
      </c>
      <c r="AE333" s="72" t="s">
        <v>5142</v>
      </c>
      <c r="AF333" s="72" t="s">
        <v>5167</v>
      </c>
      <c r="AG333" s="72" t="s">
        <v>5168</v>
      </c>
    </row>
    <row r="334" spans="1:33">
      <c r="A334" s="76" t="str">
        <f>IF(C334="","",VLOOKUP('OPĆI DIO'!$C$3,'OPĆI DIO'!$L$6:$U$138,10,FALSE))</f>
        <v/>
      </c>
      <c r="B334" s="76" t="str">
        <f>IF(C334="","",VLOOKUP('OPĆI DIO'!$C$3,'OPĆI DIO'!$L$6:$U$138,9,FALSE))</f>
        <v/>
      </c>
      <c r="C334" s="82"/>
      <c r="D334" s="77" t="str">
        <f t="shared" si="59"/>
        <v/>
      </c>
      <c r="E334" s="82"/>
      <c r="F334" s="77" t="str">
        <f t="shared" si="56"/>
        <v/>
      </c>
      <c r="G334" s="114"/>
      <c r="H334" s="77" t="str">
        <f t="shared" si="57"/>
        <v/>
      </c>
      <c r="I334" s="77" t="str">
        <f t="shared" si="58"/>
        <v/>
      </c>
      <c r="J334" s="113"/>
      <c r="K334" s="113"/>
      <c r="L334" s="113"/>
      <c r="M334" s="81"/>
      <c r="O334" s="72" t="str">
        <f t="shared" ref="O334:O397" si="60">LEFT(E334,3)</f>
        <v/>
      </c>
      <c r="P334" s="72" t="str">
        <f t="shared" ref="P334:P397" si="61">LEFT(E334,2)</f>
        <v/>
      </c>
      <c r="Q334" s="72" t="str">
        <f t="shared" ref="Q334:Q384" si="62">LEFT(C334,3)</f>
        <v/>
      </c>
      <c r="R334" s="72" t="str">
        <f t="shared" ref="R334:R397" si="63">MID(I334,2,2)</f>
        <v/>
      </c>
      <c r="AB334" s="72" t="s">
        <v>3518</v>
      </c>
      <c r="AC334" s="72" t="s">
        <v>3519</v>
      </c>
      <c r="AD334" s="72" t="s">
        <v>5141</v>
      </c>
      <c r="AE334" s="72" t="s">
        <v>5142</v>
      </c>
      <c r="AF334" s="72" t="s">
        <v>5167</v>
      </c>
      <c r="AG334" s="72" t="s">
        <v>5168</v>
      </c>
    </row>
    <row r="335" spans="1:33">
      <c r="A335" s="76" t="str">
        <f>IF(C335="","",VLOOKUP('OPĆI DIO'!$C$3,'OPĆI DIO'!$L$6:$U$138,10,FALSE))</f>
        <v/>
      </c>
      <c r="B335" s="76" t="str">
        <f>IF(C335="","",VLOOKUP('OPĆI DIO'!$C$3,'OPĆI DIO'!$L$6:$U$138,9,FALSE))</f>
        <v/>
      </c>
      <c r="C335" s="82"/>
      <c r="D335" s="77" t="str">
        <f t="shared" si="59"/>
        <v/>
      </c>
      <c r="E335" s="82"/>
      <c r="F335" s="77" t="str">
        <f t="shared" si="56"/>
        <v/>
      </c>
      <c r="G335" s="114"/>
      <c r="H335" s="77" t="str">
        <f t="shared" si="57"/>
        <v/>
      </c>
      <c r="I335" s="77" t="str">
        <f t="shared" si="58"/>
        <v/>
      </c>
      <c r="J335" s="113"/>
      <c r="K335" s="113"/>
      <c r="L335" s="113"/>
      <c r="M335" s="81"/>
      <c r="O335" s="72" t="str">
        <f t="shared" si="60"/>
        <v/>
      </c>
      <c r="P335" s="72" t="str">
        <f t="shared" si="61"/>
        <v/>
      </c>
      <c r="Q335" s="72" t="str">
        <f t="shared" si="62"/>
        <v/>
      </c>
      <c r="R335" s="72" t="str">
        <f t="shared" si="63"/>
        <v/>
      </c>
      <c r="AB335" s="72" t="s">
        <v>3520</v>
      </c>
      <c r="AC335" s="72" t="s">
        <v>3521</v>
      </c>
      <c r="AD335" s="72" t="s">
        <v>5141</v>
      </c>
      <c r="AE335" s="72" t="s">
        <v>5142</v>
      </c>
      <c r="AF335" s="72" t="s">
        <v>5167</v>
      </c>
      <c r="AG335" s="72" t="s">
        <v>5168</v>
      </c>
    </row>
    <row r="336" spans="1:33">
      <c r="A336" s="76" t="str">
        <f>IF(C336="","",VLOOKUP('OPĆI DIO'!$C$3,'OPĆI DIO'!$L$6:$U$138,10,FALSE))</f>
        <v/>
      </c>
      <c r="B336" s="76" t="str">
        <f>IF(C336="","",VLOOKUP('OPĆI DIO'!$C$3,'OPĆI DIO'!$L$6:$U$138,9,FALSE))</f>
        <v/>
      </c>
      <c r="C336" s="82"/>
      <c r="D336" s="77" t="str">
        <f t="shared" si="59"/>
        <v/>
      </c>
      <c r="E336" s="82"/>
      <c r="F336" s="77" t="str">
        <f t="shared" si="56"/>
        <v/>
      </c>
      <c r="G336" s="114"/>
      <c r="H336" s="77" t="str">
        <f t="shared" si="57"/>
        <v/>
      </c>
      <c r="I336" s="77" t="str">
        <f t="shared" si="58"/>
        <v/>
      </c>
      <c r="J336" s="113"/>
      <c r="K336" s="113"/>
      <c r="L336" s="113"/>
      <c r="M336" s="81"/>
      <c r="O336" s="72" t="str">
        <f t="shared" si="60"/>
        <v/>
      </c>
      <c r="P336" s="72" t="str">
        <f t="shared" si="61"/>
        <v/>
      </c>
      <c r="Q336" s="72" t="str">
        <f t="shared" si="62"/>
        <v/>
      </c>
      <c r="R336" s="72" t="str">
        <f t="shared" si="63"/>
        <v/>
      </c>
      <c r="AB336" s="72" t="s">
        <v>3522</v>
      </c>
      <c r="AC336" s="72" t="s">
        <v>3523</v>
      </c>
      <c r="AD336" s="72" t="s">
        <v>5141</v>
      </c>
      <c r="AE336" s="72" t="s">
        <v>5142</v>
      </c>
      <c r="AF336" s="72" t="s">
        <v>5167</v>
      </c>
      <c r="AG336" s="72" t="s">
        <v>5168</v>
      </c>
    </row>
    <row r="337" spans="1:33">
      <c r="A337" s="76" t="str">
        <f>IF(C337="","",VLOOKUP('OPĆI DIO'!$C$3,'OPĆI DIO'!$L$6:$U$138,10,FALSE))</f>
        <v/>
      </c>
      <c r="B337" s="76" t="str">
        <f>IF(C337="","",VLOOKUP('OPĆI DIO'!$C$3,'OPĆI DIO'!$L$6:$U$138,9,FALSE))</f>
        <v/>
      </c>
      <c r="C337" s="82"/>
      <c r="D337" s="77" t="str">
        <f t="shared" si="59"/>
        <v/>
      </c>
      <c r="E337" s="82"/>
      <c r="F337" s="77" t="str">
        <f t="shared" si="56"/>
        <v/>
      </c>
      <c r="G337" s="114"/>
      <c r="H337" s="77" t="str">
        <f t="shared" si="57"/>
        <v/>
      </c>
      <c r="I337" s="77" t="str">
        <f t="shared" si="58"/>
        <v/>
      </c>
      <c r="J337" s="113"/>
      <c r="K337" s="113"/>
      <c r="L337" s="113"/>
      <c r="M337" s="81"/>
      <c r="O337" s="72" t="str">
        <f t="shared" si="60"/>
        <v/>
      </c>
      <c r="P337" s="72" t="str">
        <f t="shared" si="61"/>
        <v/>
      </c>
      <c r="Q337" s="72" t="str">
        <f t="shared" si="62"/>
        <v/>
      </c>
      <c r="R337" s="72" t="str">
        <f t="shared" si="63"/>
        <v/>
      </c>
      <c r="AB337" s="72" t="s">
        <v>3460</v>
      </c>
      <c r="AC337" s="72" t="s">
        <v>684</v>
      </c>
      <c r="AD337" s="72" t="s">
        <v>5141</v>
      </c>
      <c r="AE337" s="72" t="s">
        <v>5142</v>
      </c>
      <c r="AF337" s="72" t="s">
        <v>5167</v>
      </c>
      <c r="AG337" s="72" t="s">
        <v>5168</v>
      </c>
    </row>
    <row r="338" spans="1:33">
      <c r="A338" s="76" t="str">
        <f>IF(C338="","",VLOOKUP('OPĆI DIO'!$C$3,'OPĆI DIO'!$L$6:$U$138,10,FALSE))</f>
        <v/>
      </c>
      <c r="B338" s="76" t="str">
        <f>IF(C338="","",VLOOKUP('OPĆI DIO'!$C$3,'OPĆI DIO'!$L$6:$U$138,9,FALSE))</f>
        <v/>
      </c>
      <c r="C338" s="82"/>
      <c r="D338" s="77" t="str">
        <f t="shared" si="59"/>
        <v/>
      </c>
      <c r="E338" s="82"/>
      <c r="F338" s="77" t="str">
        <f t="shared" si="56"/>
        <v/>
      </c>
      <c r="G338" s="114"/>
      <c r="H338" s="77" t="str">
        <f t="shared" si="57"/>
        <v/>
      </c>
      <c r="I338" s="77" t="str">
        <f t="shared" si="58"/>
        <v/>
      </c>
      <c r="J338" s="113"/>
      <c r="K338" s="113"/>
      <c r="L338" s="113"/>
      <c r="M338" s="81"/>
      <c r="O338" s="72" t="str">
        <f t="shared" si="60"/>
        <v/>
      </c>
      <c r="P338" s="72" t="str">
        <f t="shared" si="61"/>
        <v/>
      </c>
      <c r="Q338" s="72" t="str">
        <f t="shared" si="62"/>
        <v/>
      </c>
      <c r="R338" s="72" t="str">
        <f t="shared" si="63"/>
        <v/>
      </c>
    </row>
    <row r="339" spans="1:33">
      <c r="A339" s="76" t="str">
        <f>IF(C339="","",VLOOKUP('OPĆI DIO'!$C$3,'OPĆI DIO'!$L$6:$U$138,10,FALSE))</f>
        <v/>
      </c>
      <c r="B339" s="76" t="str">
        <f>IF(C339="","",VLOOKUP('OPĆI DIO'!$C$3,'OPĆI DIO'!$L$6:$U$138,9,FALSE))</f>
        <v/>
      </c>
      <c r="C339" s="82"/>
      <c r="D339" s="77" t="str">
        <f t="shared" si="59"/>
        <v/>
      </c>
      <c r="E339" s="82"/>
      <c r="F339" s="77" t="str">
        <f t="shared" si="56"/>
        <v/>
      </c>
      <c r="G339" s="114"/>
      <c r="H339" s="77" t="str">
        <f t="shared" si="57"/>
        <v/>
      </c>
      <c r="I339" s="77" t="str">
        <f t="shared" si="58"/>
        <v/>
      </c>
      <c r="J339" s="113"/>
      <c r="K339" s="113"/>
      <c r="L339" s="113"/>
      <c r="M339" s="81"/>
      <c r="O339" s="72" t="str">
        <f t="shared" si="60"/>
        <v/>
      </c>
      <c r="P339" s="72" t="str">
        <f t="shared" si="61"/>
        <v/>
      </c>
      <c r="Q339" s="72" t="str">
        <f t="shared" si="62"/>
        <v/>
      </c>
      <c r="R339" s="72" t="str">
        <f t="shared" si="63"/>
        <v/>
      </c>
    </row>
    <row r="340" spans="1:33">
      <c r="A340" s="76" t="str">
        <f>IF(C340="","",VLOOKUP('OPĆI DIO'!$C$3,'OPĆI DIO'!$L$6:$U$138,10,FALSE))</f>
        <v/>
      </c>
      <c r="B340" s="76" t="str">
        <f>IF(C340="","",VLOOKUP('OPĆI DIO'!$C$3,'OPĆI DIO'!$L$6:$U$138,9,FALSE))</f>
        <v/>
      </c>
      <c r="C340" s="82"/>
      <c r="D340" s="77" t="str">
        <f t="shared" si="59"/>
        <v/>
      </c>
      <c r="E340" s="82"/>
      <c r="F340" s="77" t="str">
        <f t="shared" si="56"/>
        <v/>
      </c>
      <c r="G340" s="114"/>
      <c r="H340" s="77" t="str">
        <f t="shared" si="57"/>
        <v/>
      </c>
      <c r="I340" s="77" t="str">
        <f t="shared" si="58"/>
        <v/>
      </c>
      <c r="J340" s="113"/>
      <c r="K340" s="113"/>
      <c r="L340" s="113"/>
      <c r="M340" s="81"/>
      <c r="O340" s="72" t="str">
        <f t="shared" si="60"/>
        <v/>
      </c>
      <c r="P340" s="72" t="str">
        <f t="shared" si="61"/>
        <v/>
      </c>
      <c r="Q340" s="72" t="str">
        <f t="shared" si="62"/>
        <v/>
      </c>
      <c r="R340" s="72" t="str">
        <f t="shared" si="63"/>
        <v/>
      </c>
    </row>
    <row r="341" spans="1:33">
      <c r="A341" s="76" t="str">
        <f>IF(C341="","",VLOOKUP('OPĆI DIO'!$C$3,'OPĆI DIO'!$L$6:$U$138,10,FALSE))</f>
        <v/>
      </c>
      <c r="B341" s="76" t="str">
        <f>IF(C341="","",VLOOKUP('OPĆI DIO'!$C$3,'OPĆI DIO'!$L$6:$U$138,9,FALSE))</f>
        <v/>
      </c>
      <c r="C341" s="82"/>
      <c r="D341" s="77" t="str">
        <f t="shared" si="59"/>
        <v/>
      </c>
      <c r="E341" s="82"/>
      <c r="F341" s="77" t="str">
        <f t="shared" si="56"/>
        <v/>
      </c>
      <c r="G341" s="114"/>
      <c r="H341" s="77" t="str">
        <f t="shared" si="57"/>
        <v/>
      </c>
      <c r="I341" s="77" t="str">
        <f t="shared" si="58"/>
        <v/>
      </c>
      <c r="J341" s="113"/>
      <c r="K341" s="113"/>
      <c r="L341" s="113"/>
      <c r="M341" s="81"/>
      <c r="O341" s="72" t="str">
        <f t="shared" si="60"/>
        <v/>
      </c>
      <c r="P341" s="72" t="str">
        <f t="shared" si="61"/>
        <v/>
      </c>
      <c r="Q341" s="72" t="str">
        <f t="shared" si="62"/>
        <v/>
      </c>
      <c r="R341" s="72" t="str">
        <f t="shared" si="63"/>
        <v/>
      </c>
    </row>
    <row r="342" spans="1:33">
      <c r="A342" s="76" t="str">
        <f>IF(C342="","",VLOOKUP('OPĆI DIO'!$C$3,'OPĆI DIO'!$L$6:$U$138,10,FALSE))</f>
        <v/>
      </c>
      <c r="B342" s="76" t="str">
        <f>IF(C342="","",VLOOKUP('OPĆI DIO'!$C$3,'OPĆI DIO'!$L$6:$U$138,9,FALSE))</f>
        <v/>
      </c>
      <c r="C342" s="82"/>
      <c r="D342" s="77" t="str">
        <f t="shared" si="59"/>
        <v/>
      </c>
      <c r="E342" s="82"/>
      <c r="F342" s="77" t="str">
        <f t="shared" si="56"/>
        <v/>
      </c>
      <c r="G342" s="114"/>
      <c r="H342" s="77" t="str">
        <f t="shared" si="57"/>
        <v/>
      </c>
      <c r="I342" s="77" t="str">
        <f t="shared" si="58"/>
        <v/>
      </c>
      <c r="J342" s="113"/>
      <c r="K342" s="113"/>
      <c r="L342" s="113"/>
      <c r="M342" s="81"/>
      <c r="O342" s="72" t="str">
        <f t="shared" si="60"/>
        <v/>
      </c>
      <c r="P342" s="72" t="str">
        <f t="shared" si="61"/>
        <v/>
      </c>
      <c r="Q342" s="72" t="str">
        <f t="shared" si="62"/>
        <v/>
      </c>
      <c r="R342" s="72" t="str">
        <f t="shared" si="63"/>
        <v/>
      </c>
    </row>
    <row r="343" spans="1:33">
      <c r="A343" s="76" t="str">
        <f>IF(C343="","",VLOOKUP('OPĆI DIO'!$C$3,'OPĆI DIO'!$L$6:$U$138,10,FALSE))</f>
        <v/>
      </c>
      <c r="B343" s="76" t="str">
        <f>IF(C343="","",VLOOKUP('OPĆI DIO'!$C$3,'OPĆI DIO'!$L$6:$U$138,9,FALSE))</f>
        <v/>
      </c>
      <c r="C343" s="82"/>
      <c r="D343" s="77" t="str">
        <f t="shared" si="59"/>
        <v/>
      </c>
      <c r="E343" s="82"/>
      <c r="F343" s="77" t="str">
        <f t="shared" si="56"/>
        <v/>
      </c>
      <c r="G343" s="114"/>
      <c r="H343" s="77" t="str">
        <f t="shared" si="57"/>
        <v/>
      </c>
      <c r="I343" s="77" t="str">
        <f t="shared" si="58"/>
        <v/>
      </c>
      <c r="J343" s="113"/>
      <c r="K343" s="113"/>
      <c r="L343" s="113"/>
      <c r="M343" s="81"/>
      <c r="O343" s="72" t="str">
        <f t="shared" si="60"/>
        <v/>
      </c>
      <c r="P343" s="72" t="str">
        <f t="shared" si="61"/>
        <v/>
      </c>
      <c r="Q343" s="72" t="str">
        <f t="shared" si="62"/>
        <v/>
      </c>
      <c r="R343" s="72" t="str">
        <f t="shared" si="63"/>
        <v/>
      </c>
    </row>
    <row r="344" spans="1:33">
      <c r="A344" s="76" t="str">
        <f>IF(C344="","",VLOOKUP('OPĆI DIO'!$C$3,'OPĆI DIO'!$L$6:$U$138,10,FALSE))</f>
        <v/>
      </c>
      <c r="B344" s="76" t="str">
        <f>IF(C344="","",VLOOKUP('OPĆI DIO'!$C$3,'OPĆI DIO'!$L$6:$U$138,9,FALSE))</f>
        <v/>
      </c>
      <c r="C344" s="82"/>
      <c r="D344" s="77" t="str">
        <f t="shared" si="59"/>
        <v/>
      </c>
      <c r="E344" s="82"/>
      <c r="F344" s="77" t="str">
        <f t="shared" si="56"/>
        <v/>
      </c>
      <c r="G344" s="114"/>
      <c r="H344" s="77" t="str">
        <f t="shared" si="57"/>
        <v/>
      </c>
      <c r="I344" s="77" t="str">
        <f t="shared" si="58"/>
        <v/>
      </c>
      <c r="J344" s="113"/>
      <c r="K344" s="113"/>
      <c r="L344" s="113"/>
      <c r="M344" s="81"/>
      <c r="O344" s="72" t="str">
        <f t="shared" si="60"/>
        <v/>
      </c>
      <c r="P344" s="72" t="str">
        <f t="shared" si="61"/>
        <v/>
      </c>
      <c r="Q344" s="72" t="str">
        <f t="shared" si="62"/>
        <v/>
      </c>
      <c r="R344" s="72" t="str">
        <f t="shared" si="63"/>
        <v/>
      </c>
    </row>
    <row r="345" spans="1:33">
      <c r="A345" s="76" t="str">
        <f>IF(C345="","",VLOOKUP('OPĆI DIO'!$C$3,'OPĆI DIO'!$L$6:$U$138,10,FALSE))</f>
        <v/>
      </c>
      <c r="B345" s="76" t="str">
        <f>IF(C345="","",VLOOKUP('OPĆI DIO'!$C$3,'OPĆI DIO'!$L$6:$U$138,9,FALSE))</f>
        <v/>
      </c>
      <c r="C345" s="82"/>
      <c r="D345" s="77" t="str">
        <f t="shared" si="59"/>
        <v/>
      </c>
      <c r="E345" s="82"/>
      <c r="F345" s="77" t="str">
        <f t="shared" si="56"/>
        <v/>
      </c>
      <c r="G345" s="114"/>
      <c r="H345" s="77" t="str">
        <f t="shared" si="57"/>
        <v/>
      </c>
      <c r="I345" s="77" t="str">
        <f t="shared" si="58"/>
        <v/>
      </c>
      <c r="J345" s="113"/>
      <c r="K345" s="113"/>
      <c r="L345" s="113"/>
      <c r="M345" s="81"/>
      <c r="O345" s="72" t="str">
        <f t="shared" si="60"/>
        <v/>
      </c>
      <c r="P345" s="72" t="str">
        <f t="shared" si="61"/>
        <v/>
      </c>
      <c r="Q345" s="72" t="str">
        <f t="shared" si="62"/>
        <v/>
      </c>
      <c r="R345" s="72" t="str">
        <f t="shared" si="63"/>
        <v/>
      </c>
    </row>
    <row r="346" spans="1:33">
      <c r="A346" s="76" t="str">
        <f>IF(C346="","",VLOOKUP('OPĆI DIO'!$C$3,'OPĆI DIO'!$L$6:$U$138,10,FALSE))</f>
        <v/>
      </c>
      <c r="B346" s="76" t="str">
        <f>IF(C346="","",VLOOKUP('OPĆI DIO'!$C$3,'OPĆI DIO'!$L$6:$U$138,9,FALSE))</f>
        <v/>
      </c>
      <c r="C346" s="82"/>
      <c r="D346" s="77" t="str">
        <f t="shared" si="59"/>
        <v/>
      </c>
      <c r="E346" s="82"/>
      <c r="F346" s="77" t="str">
        <f t="shared" si="56"/>
        <v/>
      </c>
      <c r="G346" s="114"/>
      <c r="H346" s="77" t="str">
        <f t="shared" si="57"/>
        <v/>
      </c>
      <c r="I346" s="77" t="str">
        <f t="shared" si="58"/>
        <v/>
      </c>
      <c r="J346" s="113"/>
      <c r="K346" s="113"/>
      <c r="L346" s="113"/>
      <c r="M346" s="81"/>
      <c r="O346" s="72" t="str">
        <f t="shared" si="60"/>
        <v/>
      </c>
      <c r="P346" s="72" t="str">
        <f t="shared" si="61"/>
        <v/>
      </c>
      <c r="Q346" s="72" t="str">
        <f t="shared" si="62"/>
        <v/>
      </c>
      <c r="R346" s="72" t="str">
        <f t="shared" si="63"/>
        <v/>
      </c>
    </row>
    <row r="347" spans="1:33">
      <c r="A347" s="76" t="str">
        <f>IF(C347="","",VLOOKUP('OPĆI DIO'!$C$3,'OPĆI DIO'!$L$6:$U$138,10,FALSE))</f>
        <v/>
      </c>
      <c r="B347" s="76" t="str">
        <f>IF(C347="","",VLOOKUP('OPĆI DIO'!$C$3,'OPĆI DIO'!$L$6:$U$138,9,FALSE))</f>
        <v/>
      </c>
      <c r="C347" s="82"/>
      <c r="D347" s="77" t="str">
        <f t="shared" si="59"/>
        <v/>
      </c>
      <c r="E347" s="82"/>
      <c r="F347" s="77" t="str">
        <f t="shared" si="56"/>
        <v/>
      </c>
      <c r="G347" s="114"/>
      <c r="H347" s="77" t="str">
        <f t="shared" si="57"/>
        <v/>
      </c>
      <c r="I347" s="77" t="str">
        <f t="shared" si="58"/>
        <v/>
      </c>
      <c r="J347" s="113"/>
      <c r="K347" s="113"/>
      <c r="L347" s="113"/>
      <c r="M347" s="81"/>
      <c r="O347" s="72" t="str">
        <f t="shared" si="60"/>
        <v/>
      </c>
      <c r="P347" s="72" t="str">
        <f t="shared" si="61"/>
        <v/>
      </c>
      <c r="Q347" s="72" t="str">
        <f t="shared" si="62"/>
        <v/>
      </c>
      <c r="R347" s="72" t="str">
        <f t="shared" si="63"/>
        <v/>
      </c>
    </row>
    <row r="348" spans="1:33">
      <c r="A348" s="76" t="str">
        <f>IF(C348="","",VLOOKUP('OPĆI DIO'!$C$3,'OPĆI DIO'!$L$6:$U$138,10,FALSE))</f>
        <v/>
      </c>
      <c r="B348" s="76" t="str">
        <f>IF(C348="","",VLOOKUP('OPĆI DIO'!$C$3,'OPĆI DIO'!$L$6:$U$138,9,FALSE))</f>
        <v/>
      </c>
      <c r="C348" s="82"/>
      <c r="D348" s="77" t="str">
        <f t="shared" si="59"/>
        <v/>
      </c>
      <c r="E348" s="82"/>
      <c r="F348" s="77" t="str">
        <f t="shared" si="56"/>
        <v/>
      </c>
      <c r="G348" s="114"/>
      <c r="H348" s="77" t="str">
        <f t="shared" si="57"/>
        <v/>
      </c>
      <c r="I348" s="77" t="str">
        <f t="shared" si="58"/>
        <v/>
      </c>
      <c r="J348" s="113"/>
      <c r="K348" s="113"/>
      <c r="L348" s="113"/>
      <c r="M348" s="81"/>
      <c r="O348" s="72" t="str">
        <f t="shared" si="60"/>
        <v/>
      </c>
      <c r="P348" s="72" t="str">
        <f t="shared" si="61"/>
        <v/>
      </c>
      <c r="Q348" s="72" t="str">
        <f t="shared" si="62"/>
        <v/>
      </c>
      <c r="R348" s="72" t="str">
        <f t="shared" si="63"/>
        <v/>
      </c>
    </row>
    <row r="349" spans="1:33">
      <c r="A349" s="76" t="str">
        <f>IF(C349="","",VLOOKUP('OPĆI DIO'!$C$3,'OPĆI DIO'!$L$6:$U$138,10,FALSE))</f>
        <v/>
      </c>
      <c r="B349" s="76" t="str">
        <f>IF(C349="","",VLOOKUP('OPĆI DIO'!$C$3,'OPĆI DIO'!$L$6:$U$138,9,FALSE))</f>
        <v/>
      </c>
      <c r="C349" s="82"/>
      <c r="D349" s="77" t="str">
        <f t="shared" si="59"/>
        <v/>
      </c>
      <c r="E349" s="82"/>
      <c r="F349" s="77" t="str">
        <f t="shared" si="56"/>
        <v/>
      </c>
      <c r="G349" s="114"/>
      <c r="H349" s="77" t="str">
        <f t="shared" si="57"/>
        <v/>
      </c>
      <c r="I349" s="77" t="str">
        <f t="shared" si="58"/>
        <v/>
      </c>
      <c r="J349" s="113"/>
      <c r="K349" s="113"/>
      <c r="L349" s="113"/>
      <c r="M349" s="81"/>
      <c r="O349" s="72" t="str">
        <f t="shared" si="60"/>
        <v/>
      </c>
      <c r="P349" s="72" t="str">
        <f t="shared" si="61"/>
        <v/>
      </c>
      <c r="Q349" s="72" t="str">
        <f t="shared" si="62"/>
        <v/>
      </c>
      <c r="R349" s="72" t="str">
        <f t="shared" si="63"/>
        <v/>
      </c>
    </row>
    <row r="350" spans="1:33">
      <c r="A350" s="76" t="str">
        <f>IF(C350="","",VLOOKUP('OPĆI DIO'!$C$3,'OPĆI DIO'!$L$6:$U$138,10,FALSE))</f>
        <v/>
      </c>
      <c r="B350" s="76" t="str">
        <f>IF(C350="","",VLOOKUP('OPĆI DIO'!$C$3,'OPĆI DIO'!$L$6:$U$138,9,FALSE))</f>
        <v/>
      </c>
      <c r="C350" s="82"/>
      <c r="D350" s="77" t="str">
        <f t="shared" si="59"/>
        <v/>
      </c>
      <c r="E350" s="82"/>
      <c r="F350" s="77" t="str">
        <f t="shared" si="56"/>
        <v/>
      </c>
      <c r="G350" s="114"/>
      <c r="H350" s="77" t="str">
        <f t="shared" si="57"/>
        <v/>
      </c>
      <c r="I350" s="77" t="str">
        <f t="shared" si="58"/>
        <v/>
      </c>
      <c r="J350" s="113"/>
      <c r="K350" s="113"/>
      <c r="L350" s="113"/>
      <c r="M350" s="81"/>
      <c r="O350" s="72" t="str">
        <f t="shared" si="60"/>
        <v/>
      </c>
      <c r="P350" s="72" t="str">
        <f t="shared" si="61"/>
        <v/>
      </c>
      <c r="Q350" s="72" t="str">
        <f t="shared" si="62"/>
        <v/>
      </c>
      <c r="R350" s="72" t="str">
        <f t="shared" si="63"/>
        <v/>
      </c>
    </row>
    <row r="351" spans="1:33">
      <c r="A351" s="76" t="str">
        <f>IF(C351="","",VLOOKUP('OPĆI DIO'!$C$3,'OPĆI DIO'!$L$6:$U$138,10,FALSE))</f>
        <v/>
      </c>
      <c r="B351" s="76" t="str">
        <f>IF(C351="","",VLOOKUP('OPĆI DIO'!$C$3,'OPĆI DIO'!$L$6:$U$138,9,FALSE))</f>
        <v/>
      </c>
      <c r="C351" s="82"/>
      <c r="D351" s="77" t="str">
        <f t="shared" si="59"/>
        <v/>
      </c>
      <c r="E351" s="82"/>
      <c r="F351" s="77" t="str">
        <f t="shared" si="56"/>
        <v/>
      </c>
      <c r="G351" s="114"/>
      <c r="H351" s="77" t="str">
        <f t="shared" si="57"/>
        <v/>
      </c>
      <c r="I351" s="77" t="str">
        <f t="shared" si="58"/>
        <v/>
      </c>
      <c r="J351" s="113"/>
      <c r="K351" s="113"/>
      <c r="L351" s="113"/>
      <c r="M351" s="81"/>
      <c r="O351" s="72" t="str">
        <f t="shared" si="60"/>
        <v/>
      </c>
      <c r="P351" s="72" t="str">
        <f t="shared" si="61"/>
        <v/>
      </c>
      <c r="Q351" s="72" t="str">
        <f t="shared" si="62"/>
        <v/>
      </c>
      <c r="R351" s="72" t="str">
        <f t="shared" si="63"/>
        <v/>
      </c>
    </row>
    <row r="352" spans="1:33">
      <c r="A352" s="76" t="str">
        <f>IF(C352="","",VLOOKUP('OPĆI DIO'!$C$3,'OPĆI DIO'!$L$6:$U$138,10,FALSE))</f>
        <v/>
      </c>
      <c r="B352" s="76" t="str">
        <f>IF(C352="","",VLOOKUP('OPĆI DIO'!$C$3,'OPĆI DIO'!$L$6:$U$138,9,FALSE))</f>
        <v/>
      </c>
      <c r="C352" s="82"/>
      <c r="D352" s="77" t="str">
        <f t="shared" si="59"/>
        <v/>
      </c>
      <c r="E352" s="82"/>
      <c r="F352" s="77" t="str">
        <f t="shared" si="56"/>
        <v/>
      </c>
      <c r="G352" s="114"/>
      <c r="H352" s="77" t="str">
        <f t="shared" si="57"/>
        <v/>
      </c>
      <c r="I352" s="77" t="str">
        <f t="shared" si="58"/>
        <v/>
      </c>
      <c r="J352" s="113"/>
      <c r="K352" s="113"/>
      <c r="L352" s="113"/>
      <c r="M352" s="81"/>
      <c r="O352" s="72" t="str">
        <f t="shared" si="60"/>
        <v/>
      </c>
      <c r="P352" s="72" t="str">
        <f t="shared" si="61"/>
        <v/>
      </c>
      <c r="Q352" s="72" t="str">
        <f t="shared" si="62"/>
        <v/>
      </c>
      <c r="R352" s="72" t="str">
        <f t="shared" si="63"/>
        <v/>
      </c>
    </row>
    <row r="353" spans="1:18">
      <c r="A353" s="76" t="str">
        <f>IF(C353="","",VLOOKUP('OPĆI DIO'!$C$3,'OPĆI DIO'!$L$6:$U$138,10,FALSE))</f>
        <v/>
      </c>
      <c r="B353" s="76" t="str">
        <f>IF(C353="","",VLOOKUP('OPĆI DIO'!$C$3,'OPĆI DIO'!$L$6:$U$138,9,FALSE))</f>
        <v/>
      </c>
      <c r="C353" s="82"/>
      <c r="D353" s="77" t="str">
        <f t="shared" si="59"/>
        <v/>
      </c>
      <c r="E353" s="82"/>
      <c r="F353" s="77" t="str">
        <f t="shared" si="56"/>
        <v/>
      </c>
      <c r="G353" s="114"/>
      <c r="H353" s="77" t="str">
        <f t="shared" si="57"/>
        <v/>
      </c>
      <c r="I353" s="77" t="str">
        <f t="shared" si="58"/>
        <v/>
      </c>
      <c r="J353" s="113"/>
      <c r="K353" s="113"/>
      <c r="L353" s="113"/>
      <c r="M353" s="81"/>
      <c r="O353" s="72" t="str">
        <f t="shared" si="60"/>
        <v/>
      </c>
      <c r="P353" s="72" t="str">
        <f t="shared" si="61"/>
        <v/>
      </c>
      <c r="Q353" s="72" t="str">
        <f t="shared" si="62"/>
        <v/>
      </c>
      <c r="R353" s="72" t="str">
        <f t="shared" si="63"/>
        <v/>
      </c>
    </row>
    <row r="354" spans="1:18">
      <c r="A354" s="76" t="str">
        <f>IF(C354="","",VLOOKUP('OPĆI DIO'!$C$3,'OPĆI DIO'!$L$6:$U$138,10,FALSE))</f>
        <v/>
      </c>
      <c r="B354" s="76" t="str">
        <f>IF(C354="","",VLOOKUP('OPĆI DIO'!$C$3,'OPĆI DIO'!$L$6:$U$138,9,FALSE))</f>
        <v/>
      </c>
      <c r="C354" s="82"/>
      <c r="D354" s="77" t="str">
        <f t="shared" si="59"/>
        <v/>
      </c>
      <c r="E354" s="82"/>
      <c r="F354" s="77" t="str">
        <f t="shared" si="56"/>
        <v/>
      </c>
      <c r="G354" s="114"/>
      <c r="H354" s="77" t="str">
        <f t="shared" si="57"/>
        <v/>
      </c>
      <c r="I354" s="77" t="str">
        <f t="shared" si="58"/>
        <v/>
      </c>
      <c r="J354" s="113"/>
      <c r="K354" s="113"/>
      <c r="L354" s="113"/>
      <c r="M354" s="81"/>
      <c r="O354" s="72" t="str">
        <f t="shared" si="60"/>
        <v/>
      </c>
      <c r="P354" s="72" t="str">
        <f t="shared" si="61"/>
        <v/>
      </c>
      <c r="Q354" s="72" t="str">
        <f t="shared" si="62"/>
        <v/>
      </c>
      <c r="R354" s="72" t="str">
        <f t="shared" si="63"/>
        <v/>
      </c>
    </row>
    <row r="355" spans="1:18">
      <c r="A355" s="76" t="str">
        <f>IF(C355="","",VLOOKUP('OPĆI DIO'!$C$3,'OPĆI DIO'!$L$6:$U$138,10,FALSE))</f>
        <v/>
      </c>
      <c r="B355" s="76" t="str">
        <f>IF(C355="","",VLOOKUP('OPĆI DIO'!$C$3,'OPĆI DIO'!$L$6:$U$138,9,FALSE))</f>
        <v/>
      </c>
      <c r="C355" s="82"/>
      <c r="D355" s="77" t="str">
        <f t="shared" si="59"/>
        <v/>
      </c>
      <c r="E355" s="82"/>
      <c r="F355" s="77" t="str">
        <f t="shared" si="56"/>
        <v/>
      </c>
      <c r="G355" s="114"/>
      <c r="H355" s="77" t="str">
        <f t="shared" si="57"/>
        <v/>
      </c>
      <c r="I355" s="77" t="str">
        <f t="shared" si="58"/>
        <v/>
      </c>
      <c r="J355" s="113"/>
      <c r="K355" s="113"/>
      <c r="L355" s="113"/>
      <c r="M355" s="81"/>
      <c r="O355" s="72" t="str">
        <f t="shared" si="60"/>
        <v/>
      </c>
      <c r="P355" s="72" t="str">
        <f t="shared" si="61"/>
        <v/>
      </c>
      <c r="Q355" s="72" t="str">
        <f t="shared" si="62"/>
        <v/>
      </c>
      <c r="R355" s="72" t="str">
        <f t="shared" si="63"/>
        <v/>
      </c>
    </row>
    <row r="356" spans="1:18">
      <c r="A356" s="76" t="str">
        <f>IF(C356="","",VLOOKUP('OPĆI DIO'!$C$3,'OPĆI DIO'!$L$6:$U$138,10,FALSE))</f>
        <v/>
      </c>
      <c r="B356" s="76" t="str">
        <f>IF(C356="","",VLOOKUP('OPĆI DIO'!$C$3,'OPĆI DIO'!$L$6:$U$138,9,FALSE))</f>
        <v/>
      </c>
      <c r="C356" s="82"/>
      <c r="D356" s="77" t="str">
        <f t="shared" si="59"/>
        <v/>
      </c>
      <c r="E356" s="82"/>
      <c r="F356" s="77" t="str">
        <f t="shared" si="56"/>
        <v/>
      </c>
      <c r="G356" s="114"/>
      <c r="H356" s="77" t="str">
        <f t="shared" si="57"/>
        <v/>
      </c>
      <c r="I356" s="77" t="str">
        <f t="shared" si="58"/>
        <v/>
      </c>
      <c r="J356" s="113"/>
      <c r="K356" s="113"/>
      <c r="L356" s="113"/>
      <c r="M356" s="81"/>
      <c r="O356" s="72" t="str">
        <f t="shared" si="60"/>
        <v/>
      </c>
      <c r="P356" s="72" t="str">
        <f t="shared" si="61"/>
        <v/>
      </c>
      <c r="Q356" s="72" t="str">
        <f t="shared" si="62"/>
        <v/>
      </c>
      <c r="R356" s="72" t="str">
        <f t="shared" si="63"/>
        <v/>
      </c>
    </row>
    <row r="357" spans="1:18">
      <c r="A357" s="76" t="str">
        <f>IF(C357="","",VLOOKUP('OPĆI DIO'!$C$3,'OPĆI DIO'!$L$6:$U$138,10,FALSE))</f>
        <v/>
      </c>
      <c r="B357" s="76" t="str">
        <f>IF(C357="","",VLOOKUP('OPĆI DIO'!$C$3,'OPĆI DIO'!$L$6:$U$138,9,FALSE))</f>
        <v/>
      </c>
      <c r="C357" s="82"/>
      <c r="D357" s="77" t="str">
        <f t="shared" si="59"/>
        <v/>
      </c>
      <c r="E357" s="82"/>
      <c r="F357" s="77" t="str">
        <f t="shared" si="56"/>
        <v/>
      </c>
      <c r="G357" s="114"/>
      <c r="H357" s="77" t="str">
        <f t="shared" si="57"/>
        <v/>
      </c>
      <c r="I357" s="77" t="str">
        <f t="shared" si="58"/>
        <v/>
      </c>
      <c r="J357" s="113"/>
      <c r="K357" s="113"/>
      <c r="L357" s="113"/>
      <c r="M357" s="81"/>
      <c r="O357" s="72" t="str">
        <f t="shared" si="60"/>
        <v/>
      </c>
      <c r="P357" s="72" t="str">
        <f t="shared" si="61"/>
        <v/>
      </c>
      <c r="Q357" s="72" t="str">
        <f t="shared" si="62"/>
        <v/>
      </c>
      <c r="R357" s="72" t="str">
        <f t="shared" si="63"/>
        <v/>
      </c>
    </row>
    <row r="358" spans="1:18">
      <c r="A358" s="76" t="str">
        <f>IF(C358="","",VLOOKUP('OPĆI DIO'!$C$3,'OPĆI DIO'!$L$6:$U$138,10,FALSE))</f>
        <v/>
      </c>
      <c r="B358" s="76" t="str">
        <f>IF(C358="","",VLOOKUP('OPĆI DIO'!$C$3,'OPĆI DIO'!$L$6:$U$138,9,FALSE))</f>
        <v/>
      </c>
      <c r="C358" s="82"/>
      <c r="D358" s="77" t="str">
        <f t="shared" si="59"/>
        <v/>
      </c>
      <c r="E358" s="82"/>
      <c r="F358" s="77" t="str">
        <f t="shared" ref="F358:F421" si="64">IFERROR(VLOOKUP(E358,$V$5:$X$139,2,FALSE),"")</f>
        <v/>
      </c>
      <c r="G358" s="114"/>
      <c r="H358" s="77" t="str">
        <f t="shared" si="57"/>
        <v/>
      </c>
      <c r="I358" s="77" t="str">
        <f t="shared" si="58"/>
        <v/>
      </c>
      <c r="J358" s="113"/>
      <c r="K358" s="113"/>
      <c r="L358" s="113"/>
      <c r="M358" s="81"/>
      <c r="O358" s="72" t="str">
        <f t="shared" si="60"/>
        <v/>
      </c>
      <c r="P358" s="72" t="str">
        <f t="shared" si="61"/>
        <v/>
      </c>
      <c r="Q358" s="72" t="str">
        <f t="shared" si="62"/>
        <v/>
      </c>
      <c r="R358" s="72" t="str">
        <f t="shared" si="63"/>
        <v/>
      </c>
    </row>
    <row r="359" spans="1:18">
      <c r="A359" s="76" t="str">
        <f>IF(C359="","",VLOOKUP('OPĆI DIO'!$C$3,'OPĆI DIO'!$L$6:$U$138,10,FALSE))</f>
        <v/>
      </c>
      <c r="B359" s="76" t="str">
        <f>IF(C359="","",VLOOKUP('OPĆI DIO'!$C$3,'OPĆI DIO'!$L$6:$U$138,9,FALSE))</f>
        <v/>
      </c>
      <c r="C359" s="82"/>
      <c r="D359" s="77" t="str">
        <f t="shared" si="59"/>
        <v/>
      </c>
      <c r="E359" s="82"/>
      <c r="F359" s="77" t="str">
        <f t="shared" si="64"/>
        <v/>
      </c>
      <c r="G359" s="114"/>
      <c r="H359" s="77" t="str">
        <f t="shared" si="57"/>
        <v/>
      </c>
      <c r="I359" s="77" t="str">
        <f t="shared" si="58"/>
        <v/>
      </c>
      <c r="J359" s="113"/>
      <c r="K359" s="113"/>
      <c r="L359" s="113"/>
      <c r="M359" s="81"/>
      <c r="O359" s="72" t="str">
        <f t="shared" si="60"/>
        <v/>
      </c>
      <c r="P359" s="72" t="str">
        <f t="shared" si="61"/>
        <v/>
      </c>
      <c r="Q359" s="72" t="str">
        <f t="shared" si="62"/>
        <v/>
      </c>
      <c r="R359" s="72" t="str">
        <f t="shared" si="63"/>
        <v/>
      </c>
    </row>
    <row r="360" spans="1:18">
      <c r="A360" s="76" t="str">
        <f>IF(C360="","",VLOOKUP('OPĆI DIO'!$C$3,'OPĆI DIO'!$L$6:$U$138,10,FALSE))</f>
        <v/>
      </c>
      <c r="B360" s="76" t="str">
        <f>IF(C360="","",VLOOKUP('OPĆI DIO'!$C$3,'OPĆI DIO'!$L$6:$U$138,9,FALSE))</f>
        <v/>
      </c>
      <c r="C360" s="82"/>
      <c r="D360" s="77" t="str">
        <f t="shared" si="59"/>
        <v/>
      </c>
      <c r="E360" s="82"/>
      <c r="F360" s="77" t="str">
        <f t="shared" si="64"/>
        <v/>
      </c>
      <c r="G360" s="114"/>
      <c r="H360" s="77" t="str">
        <f t="shared" si="57"/>
        <v/>
      </c>
      <c r="I360" s="77" t="str">
        <f t="shared" si="58"/>
        <v/>
      </c>
      <c r="J360" s="113"/>
      <c r="K360" s="113"/>
      <c r="L360" s="113"/>
      <c r="M360" s="81"/>
      <c r="O360" s="72" t="str">
        <f t="shared" si="60"/>
        <v/>
      </c>
      <c r="P360" s="72" t="str">
        <f t="shared" si="61"/>
        <v/>
      </c>
      <c r="Q360" s="72" t="str">
        <f t="shared" si="62"/>
        <v/>
      </c>
      <c r="R360" s="72" t="str">
        <f t="shared" si="63"/>
        <v/>
      </c>
    </row>
    <row r="361" spans="1:18">
      <c r="A361" s="76" t="str">
        <f>IF(C361="","",VLOOKUP('OPĆI DIO'!$C$3,'OPĆI DIO'!$L$6:$U$138,10,FALSE))</f>
        <v/>
      </c>
      <c r="B361" s="76" t="str">
        <f>IF(C361="","",VLOOKUP('OPĆI DIO'!$C$3,'OPĆI DIO'!$L$6:$U$138,9,FALSE))</f>
        <v/>
      </c>
      <c r="C361" s="82"/>
      <c r="D361" s="77" t="str">
        <f t="shared" si="59"/>
        <v/>
      </c>
      <c r="E361" s="82"/>
      <c r="F361" s="77" t="str">
        <f t="shared" si="64"/>
        <v/>
      </c>
      <c r="G361" s="114"/>
      <c r="H361" s="77" t="str">
        <f t="shared" si="57"/>
        <v/>
      </c>
      <c r="I361" s="77" t="str">
        <f t="shared" si="58"/>
        <v/>
      </c>
      <c r="J361" s="113"/>
      <c r="K361" s="113"/>
      <c r="L361" s="113"/>
      <c r="M361" s="81"/>
      <c r="O361" s="72" t="str">
        <f t="shared" si="60"/>
        <v/>
      </c>
      <c r="P361" s="72" t="str">
        <f t="shared" si="61"/>
        <v/>
      </c>
      <c r="Q361" s="72" t="str">
        <f t="shared" si="62"/>
        <v/>
      </c>
      <c r="R361" s="72" t="str">
        <f t="shared" si="63"/>
        <v/>
      </c>
    </row>
    <row r="362" spans="1:18">
      <c r="A362" s="76" t="str">
        <f>IF(C362="","",VLOOKUP('OPĆI DIO'!$C$3,'OPĆI DIO'!$L$6:$U$138,10,FALSE))</f>
        <v/>
      </c>
      <c r="B362" s="76" t="str">
        <f>IF(C362="","",VLOOKUP('OPĆI DIO'!$C$3,'OPĆI DIO'!$L$6:$U$138,9,FALSE))</f>
        <v/>
      </c>
      <c r="C362" s="82"/>
      <c r="D362" s="77" t="str">
        <f t="shared" si="59"/>
        <v/>
      </c>
      <c r="E362" s="82"/>
      <c r="F362" s="77" t="str">
        <f t="shared" si="64"/>
        <v/>
      </c>
      <c r="G362" s="114"/>
      <c r="H362" s="77" t="str">
        <f t="shared" si="57"/>
        <v/>
      </c>
      <c r="I362" s="77" t="str">
        <f t="shared" si="58"/>
        <v/>
      </c>
      <c r="J362" s="113"/>
      <c r="K362" s="113"/>
      <c r="L362" s="113"/>
      <c r="M362" s="81"/>
      <c r="O362" s="72" t="str">
        <f t="shared" si="60"/>
        <v/>
      </c>
      <c r="P362" s="72" t="str">
        <f t="shared" si="61"/>
        <v/>
      </c>
      <c r="Q362" s="72" t="str">
        <f t="shared" si="62"/>
        <v/>
      </c>
      <c r="R362" s="72" t="str">
        <f t="shared" si="63"/>
        <v/>
      </c>
    </row>
    <row r="363" spans="1:18">
      <c r="A363" s="76" t="str">
        <f>IF(C363="","",VLOOKUP('OPĆI DIO'!$C$3,'OPĆI DIO'!$L$6:$U$138,10,FALSE))</f>
        <v/>
      </c>
      <c r="B363" s="76" t="str">
        <f>IF(C363="","",VLOOKUP('OPĆI DIO'!$C$3,'OPĆI DIO'!$L$6:$U$138,9,FALSE))</f>
        <v/>
      </c>
      <c r="C363" s="82"/>
      <c r="D363" s="77" t="str">
        <f t="shared" si="59"/>
        <v/>
      </c>
      <c r="E363" s="82"/>
      <c r="F363" s="77" t="str">
        <f t="shared" si="64"/>
        <v/>
      </c>
      <c r="G363" s="114"/>
      <c r="H363" s="77" t="str">
        <f t="shared" si="57"/>
        <v/>
      </c>
      <c r="I363" s="77" t="str">
        <f t="shared" si="58"/>
        <v/>
      </c>
      <c r="J363" s="113"/>
      <c r="K363" s="113"/>
      <c r="L363" s="113"/>
      <c r="M363" s="81"/>
      <c r="O363" s="72" t="str">
        <f t="shared" si="60"/>
        <v/>
      </c>
      <c r="P363" s="72" t="str">
        <f t="shared" si="61"/>
        <v/>
      </c>
      <c r="Q363" s="72" t="str">
        <f t="shared" si="62"/>
        <v/>
      </c>
      <c r="R363" s="72" t="str">
        <f t="shared" si="63"/>
        <v/>
      </c>
    </row>
    <row r="364" spans="1:18">
      <c r="A364" s="76" t="str">
        <f>IF(C364="","",VLOOKUP('OPĆI DIO'!$C$3,'OPĆI DIO'!$L$6:$U$138,10,FALSE))</f>
        <v/>
      </c>
      <c r="B364" s="76" t="str">
        <f>IF(C364="","",VLOOKUP('OPĆI DIO'!$C$3,'OPĆI DIO'!$L$6:$U$138,9,FALSE))</f>
        <v/>
      </c>
      <c r="C364" s="82"/>
      <c r="D364" s="77" t="str">
        <f t="shared" si="59"/>
        <v/>
      </c>
      <c r="E364" s="82"/>
      <c r="F364" s="77" t="str">
        <f t="shared" si="64"/>
        <v/>
      </c>
      <c r="G364" s="114"/>
      <c r="H364" s="77" t="str">
        <f t="shared" si="57"/>
        <v/>
      </c>
      <c r="I364" s="77" t="str">
        <f t="shared" si="58"/>
        <v/>
      </c>
      <c r="J364" s="113"/>
      <c r="K364" s="113"/>
      <c r="L364" s="113"/>
      <c r="M364" s="81"/>
      <c r="O364" s="72" t="str">
        <f t="shared" si="60"/>
        <v/>
      </c>
      <c r="P364" s="72" t="str">
        <f t="shared" si="61"/>
        <v/>
      </c>
      <c r="Q364" s="72" t="str">
        <f t="shared" si="62"/>
        <v/>
      </c>
      <c r="R364" s="72" t="str">
        <f t="shared" si="63"/>
        <v/>
      </c>
    </row>
    <row r="365" spans="1:18">
      <c r="A365" s="76" t="str">
        <f>IF(C365="","",VLOOKUP('OPĆI DIO'!$C$3,'OPĆI DIO'!$L$6:$U$138,10,FALSE))</f>
        <v/>
      </c>
      <c r="B365" s="76" t="str">
        <f>IF(C365="","",VLOOKUP('OPĆI DIO'!$C$3,'OPĆI DIO'!$L$6:$U$138,9,FALSE))</f>
        <v/>
      </c>
      <c r="C365" s="82"/>
      <c r="D365" s="77" t="str">
        <f t="shared" si="59"/>
        <v/>
      </c>
      <c r="E365" s="82"/>
      <c r="F365" s="77" t="str">
        <f t="shared" si="64"/>
        <v/>
      </c>
      <c r="G365" s="114"/>
      <c r="H365" s="77" t="str">
        <f t="shared" si="57"/>
        <v/>
      </c>
      <c r="I365" s="77" t="str">
        <f t="shared" si="58"/>
        <v/>
      </c>
      <c r="J365" s="113"/>
      <c r="K365" s="113"/>
      <c r="L365" s="113"/>
      <c r="M365" s="81"/>
      <c r="O365" s="72" t="str">
        <f t="shared" si="60"/>
        <v/>
      </c>
      <c r="P365" s="72" t="str">
        <f t="shared" si="61"/>
        <v/>
      </c>
      <c r="Q365" s="72" t="str">
        <f t="shared" si="62"/>
        <v/>
      </c>
      <c r="R365" s="72" t="str">
        <f t="shared" si="63"/>
        <v/>
      </c>
    </row>
    <row r="366" spans="1:18">
      <c r="A366" s="76" t="str">
        <f>IF(C366="","",VLOOKUP('OPĆI DIO'!$C$3,'OPĆI DIO'!$L$6:$U$138,10,FALSE))</f>
        <v/>
      </c>
      <c r="B366" s="76" t="str">
        <f>IF(C366="","",VLOOKUP('OPĆI DIO'!$C$3,'OPĆI DIO'!$L$6:$U$138,9,FALSE))</f>
        <v/>
      </c>
      <c r="C366" s="82"/>
      <c r="D366" s="77" t="str">
        <f t="shared" si="59"/>
        <v/>
      </c>
      <c r="E366" s="82"/>
      <c r="F366" s="77" t="str">
        <f t="shared" si="64"/>
        <v/>
      </c>
      <c r="G366" s="114"/>
      <c r="H366" s="77" t="str">
        <f t="shared" si="57"/>
        <v/>
      </c>
      <c r="I366" s="77" t="str">
        <f t="shared" si="58"/>
        <v/>
      </c>
      <c r="J366" s="113"/>
      <c r="K366" s="113"/>
      <c r="L366" s="113"/>
      <c r="M366" s="81"/>
      <c r="O366" s="72" t="str">
        <f t="shared" si="60"/>
        <v/>
      </c>
      <c r="P366" s="72" t="str">
        <f t="shared" si="61"/>
        <v/>
      </c>
      <c r="Q366" s="72" t="str">
        <f t="shared" si="62"/>
        <v/>
      </c>
      <c r="R366" s="72" t="str">
        <f t="shared" si="63"/>
        <v/>
      </c>
    </row>
    <row r="367" spans="1:18">
      <c r="A367" s="76" t="str">
        <f>IF(C367="","",VLOOKUP('OPĆI DIO'!$C$3,'OPĆI DIO'!$L$6:$U$138,10,FALSE))</f>
        <v/>
      </c>
      <c r="B367" s="76" t="str">
        <f>IF(C367="","",VLOOKUP('OPĆI DIO'!$C$3,'OPĆI DIO'!$L$6:$U$138,9,FALSE))</f>
        <v/>
      </c>
      <c r="C367" s="82"/>
      <c r="D367" s="77" t="str">
        <f t="shared" si="59"/>
        <v/>
      </c>
      <c r="E367" s="82"/>
      <c r="F367" s="77" t="str">
        <f t="shared" si="64"/>
        <v/>
      </c>
      <c r="G367" s="114"/>
      <c r="H367" s="77" t="str">
        <f t="shared" si="57"/>
        <v/>
      </c>
      <c r="I367" s="77" t="str">
        <f t="shared" si="58"/>
        <v/>
      </c>
      <c r="J367" s="113"/>
      <c r="K367" s="113"/>
      <c r="L367" s="113"/>
      <c r="M367" s="81"/>
      <c r="O367" s="72" t="str">
        <f t="shared" si="60"/>
        <v/>
      </c>
      <c r="P367" s="72" t="str">
        <f t="shared" si="61"/>
        <v/>
      </c>
      <c r="Q367" s="72" t="str">
        <f t="shared" si="62"/>
        <v/>
      </c>
      <c r="R367" s="72" t="str">
        <f t="shared" si="63"/>
        <v/>
      </c>
    </row>
    <row r="368" spans="1:18">
      <c r="A368" s="76" t="str">
        <f>IF(C368="","",VLOOKUP('OPĆI DIO'!$C$3,'OPĆI DIO'!$L$6:$U$138,10,FALSE))</f>
        <v/>
      </c>
      <c r="B368" s="76" t="str">
        <f>IF(C368="","",VLOOKUP('OPĆI DIO'!$C$3,'OPĆI DIO'!$L$6:$U$138,9,FALSE))</f>
        <v/>
      </c>
      <c r="C368" s="82"/>
      <c r="D368" s="77" t="str">
        <f t="shared" si="59"/>
        <v/>
      </c>
      <c r="E368" s="82"/>
      <c r="F368" s="77" t="str">
        <f t="shared" si="64"/>
        <v/>
      </c>
      <c r="G368" s="114"/>
      <c r="H368" s="77" t="str">
        <f t="shared" si="57"/>
        <v/>
      </c>
      <c r="I368" s="77" t="str">
        <f t="shared" si="58"/>
        <v/>
      </c>
      <c r="J368" s="113"/>
      <c r="K368" s="113"/>
      <c r="L368" s="113"/>
      <c r="M368" s="81"/>
      <c r="O368" s="72" t="str">
        <f t="shared" si="60"/>
        <v/>
      </c>
      <c r="P368" s="72" t="str">
        <f t="shared" si="61"/>
        <v/>
      </c>
      <c r="Q368" s="72" t="str">
        <f t="shared" si="62"/>
        <v/>
      </c>
      <c r="R368" s="72" t="str">
        <f t="shared" si="63"/>
        <v/>
      </c>
    </row>
    <row r="369" spans="1:18">
      <c r="A369" s="76" t="str">
        <f>IF(C369="","",VLOOKUP('OPĆI DIO'!$C$3,'OPĆI DIO'!$L$6:$U$138,10,FALSE))</f>
        <v/>
      </c>
      <c r="B369" s="76" t="str">
        <f>IF(C369="","",VLOOKUP('OPĆI DIO'!$C$3,'OPĆI DIO'!$L$6:$U$138,9,FALSE))</f>
        <v/>
      </c>
      <c r="C369" s="82"/>
      <c r="D369" s="77" t="str">
        <f t="shared" si="59"/>
        <v/>
      </c>
      <c r="E369" s="82"/>
      <c r="F369" s="77" t="str">
        <f t="shared" si="64"/>
        <v/>
      </c>
      <c r="G369" s="114"/>
      <c r="H369" s="77" t="str">
        <f t="shared" si="57"/>
        <v/>
      </c>
      <c r="I369" s="77" t="str">
        <f t="shared" si="58"/>
        <v/>
      </c>
      <c r="J369" s="113"/>
      <c r="K369" s="113"/>
      <c r="L369" s="113"/>
      <c r="M369" s="81"/>
      <c r="O369" s="72" t="str">
        <f t="shared" si="60"/>
        <v/>
      </c>
      <c r="P369" s="72" t="str">
        <f t="shared" si="61"/>
        <v/>
      </c>
      <c r="Q369" s="72" t="str">
        <f t="shared" si="62"/>
        <v/>
      </c>
      <c r="R369" s="72" t="str">
        <f t="shared" si="63"/>
        <v/>
      </c>
    </row>
    <row r="370" spans="1:18">
      <c r="A370" s="76" t="str">
        <f>IF(C370="","",VLOOKUP('OPĆI DIO'!$C$3,'OPĆI DIO'!$L$6:$U$138,10,FALSE))</f>
        <v/>
      </c>
      <c r="B370" s="76" t="str">
        <f>IF(C370="","",VLOOKUP('OPĆI DIO'!$C$3,'OPĆI DIO'!$L$6:$U$138,9,FALSE))</f>
        <v/>
      </c>
      <c r="C370" s="82"/>
      <c r="D370" s="77" t="str">
        <f t="shared" si="59"/>
        <v/>
      </c>
      <c r="E370" s="82"/>
      <c r="F370" s="77" t="str">
        <f t="shared" si="64"/>
        <v/>
      </c>
      <c r="G370" s="114"/>
      <c r="H370" s="77" t="str">
        <f t="shared" si="57"/>
        <v/>
      </c>
      <c r="I370" s="77" t="str">
        <f t="shared" si="58"/>
        <v/>
      </c>
      <c r="J370" s="113"/>
      <c r="K370" s="113"/>
      <c r="L370" s="113"/>
      <c r="M370" s="81"/>
      <c r="O370" s="72" t="str">
        <f t="shared" si="60"/>
        <v/>
      </c>
      <c r="P370" s="72" t="str">
        <f t="shared" si="61"/>
        <v/>
      </c>
      <c r="Q370" s="72" t="str">
        <f t="shared" si="62"/>
        <v/>
      </c>
      <c r="R370" s="72" t="str">
        <f t="shared" si="63"/>
        <v/>
      </c>
    </row>
    <row r="371" spans="1:18">
      <c r="A371" s="76" t="str">
        <f>IF(C371="","",VLOOKUP('OPĆI DIO'!$C$3,'OPĆI DIO'!$L$6:$U$138,10,FALSE))</f>
        <v/>
      </c>
      <c r="B371" s="76" t="str">
        <f>IF(C371="","",VLOOKUP('OPĆI DIO'!$C$3,'OPĆI DIO'!$L$6:$U$138,9,FALSE))</f>
        <v/>
      </c>
      <c r="C371" s="82"/>
      <c r="D371" s="77" t="str">
        <f t="shared" si="59"/>
        <v/>
      </c>
      <c r="E371" s="82"/>
      <c r="F371" s="77" t="str">
        <f t="shared" si="64"/>
        <v/>
      </c>
      <c r="G371" s="114"/>
      <c r="H371" s="77" t="str">
        <f t="shared" si="57"/>
        <v/>
      </c>
      <c r="I371" s="77" t="str">
        <f t="shared" si="58"/>
        <v/>
      </c>
      <c r="J371" s="113"/>
      <c r="K371" s="113"/>
      <c r="L371" s="113"/>
      <c r="M371" s="81"/>
      <c r="O371" s="72" t="str">
        <f t="shared" si="60"/>
        <v/>
      </c>
      <c r="P371" s="72" t="str">
        <f t="shared" si="61"/>
        <v/>
      </c>
      <c r="Q371" s="72" t="str">
        <f t="shared" si="62"/>
        <v/>
      </c>
      <c r="R371" s="72" t="str">
        <f t="shared" si="63"/>
        <v/>
      </c>
    </row>
    <row r="372" spans="1:18">
      <c r="A372" s="76" t="str">
        <f>IF(C372="","",VLOOKUP('OPĆI DIO'!$C$3,'OPĆI DIO'!$L$6:$U$138,10,FALSE))</f>
        <v/>
      </c>
      <c r="B372" s="76" t="str">
        <f>IF(C372="","",VLOOKUP('OPĆI DIO'!$C$3,'OPĆI DIO'!$L$6:$U$138,9,FALSE))</f>
        <v/>
      </c>
      <c r="C372" s="82"/>
      <c r="D372" s="77" t="str">
        <f t="shared" si="59"/>
        <v/>
      </c>
      <c r="E372" s="82"/>
      <c r="F372" s="77" t="str">
        <f t="shared" si="64"/>
        <v/>
      </c>
      <c r="G372" s="114"/>
      <c r="H372" s="77" t="str">
        <f t="shared" si="57"/>
        <v/>
      </c>
      <c r="I372" s="77" t="str">
        <f t="shared" si="58"/>
        <v/>
      </c>
      <c r="J372" s="113"/>
      <c r="K372" s="113"/>
      <c r="L372" s="113"/>
      <c r="M372" s="81"/>
      <c r="O372" s="72" t="str">
        <f t="shared" si="60"/>
        <v/>
      </c>
      <c r="P372" s="72" t="str">
        <f t="shared" si="61"/>
        <v/>
      </c>
      <c r="Q372" s="72" t="str">
        <f t="shared" si="62"/>
        <v/>
      </c>
      <c r="R372" s="72" t="str">
        <f t="shared" si="63"/>
        <v/>
      </c>
    </row>
    <row r="373" spans="1:18">
      <c r="A373" s="76" t="str">
        <f>IF(C373="","",VLOOKUP('OPĆI DIO'!$C$3,'OPĆI DIO'!$L$6:$U$138,10,FALSE))</f>
        <v/>
      </c>
      <c r="B373" s="76" t="str">
        <f>IF(C373="","",VLOOKUP('OPĆI DIO'!$C$3,'OPĆI DIO'!$L$6:$U$138,9,FALSE))</f>
        <v/>
      </c>
      <c r="C373" s="82"/>
      <c r="D373" s="77" t="str">
        <f t="shared" si="59"/>
        <v/>
      </c>
      <c r="E373" s="82"/>
      <c r="F373" s="77" t="str">
        <f t="shared" si="64"/>
        <v/>
      </c>
      <c r="G373" s="114"/>
      <c r="H373" s="77" t="str">
        <f t="shared" si="57"/>
        <v/>
      </c>
      <c r="I373" s="77" t="str">
        <f t="shared" si="58"/>
        <v/>
      </c>
      <c r="J373" s="113"/>
      <c r="K373" s="113"/>
      <c r="L373" s="113"/>
      <c r="M373" s="81"/>
      <c r="O373" s="72" t="str">
        <f t="shared" si="60"/>
        <v/>
      </c>
      <c r="P373" s="72" t="str">
        <f t="shared" si="61"/>
        <v/>
      </c>
      <c r="Q373" s="72" t="str">
        <f t="shared" si="62"/>
        <v/>
      </c>
      <c r="R373" s="72" t="str">
        <f t="shared" si="63"/>
        <v/>
      </c>
    </row>
    <row r="374" spans="1:18">
      <c r="A374" s="76" t="str">
        <f>IF(C374="","",VLOOKUP('OPĆI DIO'!$C$3,'OPĆI DIO'!$L$6:$U$138,10,FALSE))</f>
        <v/>
      </c>
      <c r="B374" s="76" t="str">
        <f>IF(C374="","",VLOOKUP('OPĆI DIO'!$C$3,'OPĆI DIO'!$L$6:$U$138,9,FALSE))</f>
        <v/>
      </c>
      <c r="C374" s="82"/>
      <c r="D374" s="77" t="str">
        <f t="shared" si="59"/>
        <v/>
      </c>
      <c r="E374" s="82"/>
      <c r="F374" s="77" t="str">
        <f t="shared" si="64"/>
        <v/>
      </c>
      <c r="G374" s="114"/>
      <c r="H374" s="77" t="str">
        <f t="shared" si="57"/>
        <v/>
      </c>
      <c r="I374" s="77" t="str">
        <f t="shared" si="58"/>
        <v/>
      </c>
      <c r="J374" s="113"/>
      <c r="K374" s="113"/>
      <c r="L374" s="113"/>
      <c r="M374" s="81"/>
      <c r="O374" s="72" t="str">
        <f t="shared" si="60"/>
        <v/>
      </c>
      <c r="P374" s="72" t="str">
        <f t="shared" si="61"/>
        <v/>
      </c>
      <c r="Q374" s="72" t="str">
        <f t="shared" si="62"/>
        <v/>
      </c>
      <c r="R374" s="72" t="str">
        <f t="shared" si="63"/>
        <v/>
      </c>
    </row>
    <row r="375" spans="1:18">
      <c r="A375" s="76" t="str">
        <f>IF(C375="","",VLOOKUP('OPĆI DIO'!$C$3,'OPĆI DIO'!$L$6:$U$138,10,FALSE))</f>
        <v/>
      </c>
      <c r="B375" s="76" t="str">
        <f>IF(C375="","",VLOOKUP('OPĆI DIO'!$C$3,'OPĆI DIO'!$L$6:$U$138,9,FALSE))</f>
        <v/>
      </c>
      <c r="C375" s="82"/>
      <c r="D375" s="77" t="str">
        <f t="shared" si="59"/>
        <v/>
      </c>
      <c r="E375" s="82"/>
      <c r="F375" s="77" t="str">
        <f t="shared" si="64"/>
        <v/>
      </c>
      <c r="G375" s="114"/>
      <c r="H375" s="77" t="str">
        <f t="shared" si="57"/>
        <v/>
      </c>
      <c r="I375" s="77" t="str">
        <f t="shared" si="58"/>
        <v/>
      </c>
      <c r="J375" s="113"/>
      <c r="K375" s="113"/>
      <c r="L375" s="113"/>
      <c r="M375" s="81"/>
      <c r="O375" s="72" t="str">
        <f t="shared" si="60"/>
        <v/>
      </c>
      <c r="P375" s="72" t="str">
        <f t="shared" si="61"/>
        <v/>
      </c>
      <c r="Q375" s="72" t="str">
        <f t="shared" si="62"/>
        <v/>
      </c>
      <c r="R375" s="72" t="str">
        <f t="shared" si="63"/>
        <v/>
      </c>
    </row>
    <row r="376" spans="1:18">
      <c r="A376" s="76" t="str">
        <f>IF(C376="","",VLOOKUP('OPĆI DIO'!$C$3,'OPĆI DIO'!$L$6:$U$138,10,FALSE))</f>
        <v/>
      </c>
      <c r="B376" s="76" t="str">
        <f>IF(C376="","",VLOOKUP('OPĆI DIO'!$C$3,'OPĆI DIO'!$L$6:$U$138,9,FALSE))</f>
        <v/>
      </c>
      <c r="C376" s="82"/>
      <c r="D376" s="77" t="str">
        <f t="shared" si="59"/>
        <v/>
      </c>
      <c r="E376" s="82"/>
      <c r="F376" s="77" t="str">
        <f t="shared" si="64"/>
        <v/>
      </c>
      <c r="G376" s="114"/>
      <c r="H376" s="77" t="str">
        <f t="shared" si="57"/>
        <v/>
      </c>
      <c r="I376" s="77" t="str">
        <f t="shared" si="58"/>
        <v/>
      </c>
      <c r="J376" s="113"/>
      <c r="K376" s="113"/>
      <c r="L376" s="113"/>
      <c r="M376" s="81"/>
      <c r="O376" s="72" t="str">
        <f t="shared" si="60"/>
        <v/>
      </c>
      <c r="P376" s="72" t="str">
        <f t="shared" si="61"/>
        <v/>
      </c>
      <c r="Q376" s="72" t="str">
        <f t="shared" si="62"/>
        <v/>
      </c>
      <c r="R376" s="72" t="str">
        <f t="shared" si="63"/>
        <v/>
      </c>
    </row>
    <row r="377" spans="1:18">
      <c r="A377" s="76" t="str">
        <f>IF(C377="","",VLOOKUP('OPĆI DIO'!$C$3,'OPĆI DIO'!$L$6:$U$138,10,FALSE))</f>
        <v/>
      </c>
      <c r="B377" s="76" t="str">
        <f>IF(C377="","",VLOOKUP('OPĆI DIO'!$C$3,'OPĆI DIO'!$L$6:$U$138,9,FALSE))</f>
        <v/>
      </c>
      <c r="C377" s="82"/>
      <c r="D377" s="77" t="str">
        <f t="shared" si="59"/>
        <v/>
      </c>
      <c r="E377" s="82"/>
      <c r="F377" s="77" t="str">
        <f t="shared" si="64"/>
        <v/>
      </c>
      <c r="G377" s="114"/>
      <c r="H377" s="77" t="str">
        <f t="shared" si="57"/>
        <v/>
      </c>
      <c r="I377" s="77" t="str">
        <f t="shared" si="58"/>
        <v/>
      </c>
      <c r="J377" s="113"/>
      <c r="K377" s="113"/>
      <c r="L377" s="113"/>
      <c r="M377" s="81"/>
      <c r="O377" s="72" t="str">
        <f t="shared" si="60"/>
        <v/>
      </c>
      <c r="P377" s="72" t="str">
        <f t="shared" si="61"/>
        <v/>
      </c>
      <c r="Q377" s="72" t="str">
        <f t="shared" si="62"/>
        <v/>
      </c>
      <c r="R377" s="72" t="str">
        <f t="shared" si="63"/>
        <v/>
      </c>
    </row>
    <row r="378" spans="1:18">
      <c r="A378" s="76" t="str">
        <f>IF(C378="","",VLOOKUP('OPĆI DIO'!$C$3,'OPĆI DIO'!$L$6:$U$138,10,FALSE))</f>
        <v/>
      </c>
      <c r="B378" s="76" t="str">
        <f>IF(C378="","",VLOOKUP('OPĆI DIO'!$C$3,'OPĆI DIO'!$L$6:$U$138,9,FALSE))</f>
        <v/>
      </c>
      <c r="C378" s="82"/>
      <c r="D378" s="77" t="str">
        <f t="shared" si="59"/>
        <v/>
      </c>
      <c r="E378" s="82"/>
      <c r="F378" s="77" t="str">
        <f t="shared" si="64"/>
        <v/>
      </c>
      <c r="G378" s="114"/>
      <c r="H378" s="77" t="str">
        <f t="shared" si="57"/>
        <v/>
      </c>
      <c r="I378" s="77" t="str">
        <f t="shared" si="58"/>
        <v/>
      </c>
      <c r="J378" s="113"/>
      <c r="K378" s="113"/>
      <c r="L378" s="113"/>
      <c r="M378" s="81"/>
      <c r="O378" s="72" t="str">
        <f t="shared" si="60"/>
        <v/>
      </c>
      <c r="P378" s="72" t="str">
        <f t="shared" si="61"/>
        <v/>
      </c>
      <c r="Q378" s="72" t="str">
        <f t="shared" si="62"/>
        <v/>
      </c>
      <c r="R378" s="72" t="str">
        <f t="shared" si="63"/>
        <v/>
      </c>
    </row>
    <row r="379" spans="1:18">
      <c r="A379" s="76" t="str">
        <f>IF(C379="","",VLOOKUP('OPĆI DIO'!$C$3,'OPĆI DIO'!$L$6:$U$138,10,FALSE))</f>
        <v/>
      </c>
      <c r="B379" s="76" t="str">
        <f>IF(C379="","",VLOOKUP('OPĆI DIO'!$C$3,'OPĆI DIO'!$L$6:$U$138,9,FALSE))</f>
        <v/>
      </c>
      <c r="C379" s="82"/>
      <c r="D379" s="77" t="str">
        <f t="shared" si="59"/>
        <v/>
      </c>
      <c r="E379" s="82"/>
      <c r="F379" s="77" t="str">
        <f t="shared" si="64"/>
        <v/>
      </c>
      <c r="G379" s="114"/>
      <c r="H379" s="77" t="str">
        <f t="shared" si="57"/>
        <v/>
      </c>
      <c r="I379" s="77" t="str">
        <f t="shared" si="58"/>
        <v/>
      </c>
      <c r="J379" s="113"/>
      <c r="K379" s="113"/>
      <c r="L379" s="113"/>
      <c r="M379" s="81"/>
      <c r="O379" s="72" t="str">
        <f t="shared" si="60"/>
        <v/>
      </c>
      <c r="P379" s="72" t="str">
        <f t="shared" si="61"/>
        <v/>
      </c>
      <c r="Q379" s="72" t="str">
        <f t="shared" si="62"/>
        <v/>
      </c>
      <c r="R379" s="72" t="str">
        <f t="shared" si="63"/>
        <v/>
      </c>
    </row>
    <row r="380" spans="1:18">
      <c r="A380" s="76" t="str">
        <f>IF(C380="","",VLOOKUP('OPĆI DIO'!$C$3,'OPĆI DIO'!$L$6:$U$138,10,FALSE))</f>
        <v/>
      </c>
      <c r="B380" s="76" t="str">
        <f>IF(C380="","",VLOOKUP('OPĆI DIO'!$C$3,'OPĆI DIO'!$L$6:$U$138,9,FALSE))</f>
        <v/>
      </c>
      <c r="C380" s="82"/>
      <c r="D380" s="77" t="str">
        <f t="shared" si="59"/>
        <v/>
      </c>
      <c r="E380" s="82"/>
      <c r="F380" s="77" t="str">
        <f t="shared" si="64"/>
        <v/>
      </c>
      <c r="G380" s="114"/>
      <c r="H380" s="77" t="str">
        <f t="shared" si="57"/>
        <v/>
      </c>
      <c r="I380" s="77" t="str">
        <f t="shared" si="58"/>
        <v/>
      </c>
      <c r="J380" s="113"/>
      <c r="K380" s="113"/>
      <c r="L380" s="113"/>
      <c r="M380" s="81"/>
      <c r="O380" s="72" t="str">
        <f t="shared" si="60"/>
        <v/>
      </c>
      <c r="P380" s="72" t="str">
        <f t="shared" si="61"/>
        <v/>
      </c>
      <c r="Q380" s="72" t="str">
        <f t="shared" si="62"/>
        <v/>
      </c>
      <c r="R380" s="72" t="str">
        <f t="shared" si="63"/>
        <v/>
      </c>
    </row>
    <row r="381" spans="1:18">
      <c r="A381" s="76" t="str">
        <f>IF(C381="","",VLOOKUP('OPĆI DIO'!$C$3,'OPĆI DIO'!$L$6:$U$138,10,FALSE))</f>
        <v/>
      </c>
      <c r="B381" s="76" t="str">
        <f>IF(C381="","",VLOOKUP('OPĆI DIO'!$C$3,'OPĆI DIO'!$L$6:$U$138,9,FALSE))</f>
        <v/>
      </c>
      <c r="C381" s="82"/>
      <c r="D381" s="77" t="str">
        <f t="shared" si="59"/>
        <v/>
      </c>
      <c r="E381" s="82"/>
      <c r="F381" s="77" t="str">
        <f t="shared" si="64"/>
        <v/>
      </c>
      <c r="G381" s="114"/>
      <c r="H381" s="77" t="str">
        <f t="shared" si="57"/>
        <v/>
      </c>
      <c r="I381" s="77" t="str">
        <f t="shared" si="58"/>
        <v/>
      </c>
      <c r="J381" s="113"/>
      <c r="K381" s="113"/>
      <c r="L381" s="113"/>
      <c r="M381" s="81"/>
      <c r="O381" s="72" t="str">
        <f t="shared" si="60"/>
        <v/>
      </c>
      <c r="P381" s="72" t="str">
        <f t="shared" si="61"/>
        <v/>
      </c>
      <c r="Q381" s="72" t="str">
        <f t="shared" si="62"/>
        <v/>
      </c>
      <c r="R381" s="72" t="str">
        <f t="shared" si="63"/>
        <v/>
      </c>
    </row>
    <row r="382" spans="1:18">
      <c r="A382" s="76" t="str">
        <f>IF(C382="","",VLOOKUP('OPĆI DIO'!$C$3,'OPĆI DIO'!$L$6:$U$138,10,FALSE))</f>
        <v/>
      </c>
      <c r="B382" s="76" t="str">
        <f>IF(C382="","",VLOOKUP('OPĆI DIO'!$C$3,'OPĆI DIO'!$L$6:$U$138,9,FALSE))</f>
        <v/>
      </c>
      <c r="C382" s="82"/>
      <c r="D382" s="77" t="str">
        <f t="shared" si="59"/>
        <v/>
      </c>
      <c r="E382" s="82"/>
      <c r="F382" s="77" t="str">
        <f t="shared" si="64"/>
        <v/>
      </c>
      <c r="G382" s="114"/>
      <c r="H382" s="77" t="str">
        <f t="shared" si="57"/>
        <v/>
      </c>
      <c r="I382" s="77" t="str">
        <f t="shared" si="58"/>
        <v/>
      </c>
      <c r="J382" s="113"/>
      <c r="K382" s="113"/>
      <c r="L382" s="113"/>
      <c r="M382" s="81"/>
      <c r="O382" s="72" t="str">
        <f t="shared" si="60"/>
        <v/>
      </c>
      <c r="P382" s="72" t="str">
        <f t="shared" si="61"/>
        <v/>
      </c>
      <c r="Q382" s="72" t="str">
        <f t="shared" si="62"/>
        <v/>
      </c>
      <c r="R382" s="72" t="str">
        <f t="shared" si="63"/>
        <v/>
      </c>
    </row>
    <row r="383" spans="1:18">
      <c r="A383" s="76" t="str">
        <f>IF(C383="","",VLOOKUP('OPĆI DIO'!$C$3,'OPĆI DIO'!$L$6:$U$138,10,FALSE))</f>
        <v/>
      </c>
      <c r="B383" s="76" t="str">
        <f>IF(C383="","",VLOOKUP('OPĆI DIO'!$C$3,'OPĆI DIO'!$L$6:$U$138,9,FALSE))</f>
        <v/>
      </c>
      <c r="C383" s="82"/>
      <c r="D383" s="77" t="str">
        <f t="shared" si="59"/>
        <v/>
      </c>
      <c r="E383" s="82"/>
      <c r="F383" s="77" t="str">
        <f t="shared" si="64"/>
        <v/>
      </c>
      <c r="G383" s="114"/>
      <c r="H383" s="77" t="str">
        <f t="shared" si="57"/>
        <v/>
      </c>
      <c r="I383" s="77" t="str">
        <f t="shared" si="58"/>
        <v/>
      </c>
      <c r="J383" s="113"/>
      <c r="K383" s="113"/>
      <c r="L383" s="113"/>
      <c r="M383" s="81"/>
      <c r="O383" s="72" t="str">
        <f t="shared" si="60"/>
        <v/>
      </c>
      <c r="P383" s="72" t="str">
        <f t="shared" si="61"/>
        <v/>
      </c>
      <c r="Q383" s="72" t="str">
        <f t="shared" si="62"/>
        <v/>
      </c>
      <c r="R383" s="72" t="str">
        <f t="shared" si="63"/>
        <v/>
      </c>
    </row>
    <row r="384" spans="1:18">
      <c r="A384" s="76" t="str">
        <f>IF(C384="","",VLOOKUP('OPĆI DIO'!$C$3,'OPĆI DIO'!$L$6:$U$138,10,FALSE))</f>
        <v/>
      </c>
      <c r="B384" s="76" t="str">
        <f>IF(C384="","",VLOOKUP('OPĆI DIO'!$C$3,'OPĆI DIO'!$L$6:$U$138,9,FALSE))</f>
        <v/>
      </c>
      <c r="C384" s="82"/>
      <c r="D384" s="77" t="str">
        <f t="shared" si="59"/>
        <v/>
      </c>
      <c r="E384" s="82"/>
      <c r="F384" s="77" t="str">
        <f t="shared" si="64"/>
        <v/>
      </c>
      <c r="G384" s="114"/>
      <c r="H384" s="77" t="str">
        <f t="shared" si="57"/>
        <v/>
      </c>
      <c r="I384" s="77" t="str">
        <f t="shared" si="58"/>
        <v/>
      </c>
      <c r="J384" s="113"/>
      <c r="K384" s="113"/>
      <c r="L384" s="113"/>
      <c r="M384" s="81"/>
      <c r="O384" s="72" t="str">
        <f t="shared" si="60"/>
        <v/>
      </c>
      <c r="P384" s="72" t="str">
        <f t="shared" si="61"/>
        <v/>
      </c>
      <c r="Q384" s="72" t="str">
        <f t="shared" si="62"/>
        <v/>
      </c>
      <c r="R384" s="72" t="str">
        <f t="shared" si="63"/>
        <v/>
      </c>
    </row>
    <row r="385" spans="5:18">
      <c r="E385" s="82"/>
      <c r="F385" s="77" t="str">
        <f t="shared" si="64"/>
        <v/>
      </c>
      <c r="G385" s="114"/>
      <c r="H385" s="77" t="str">
        <f t="shared" si="57"/>
        <v/>
      </c>
      <c r="I385" s="77" t="str">
        <f t="shared" si="58"/>
        <v/>
      </c>
      <c r="J385" s="113"/>
      <c r="K385" s="113"/>
      <c r="L385" s="113"/>
      <c r="M385" s="81"/>
      <c r="O385" s="72" t="str">
        <f t="shared" si="60"/>
        <v/>
      </c>
      <c r="P385" s="72" t="str">
        <f t="shared" si="61"/>
        <v/>
      </c>
      <c r="Q385" s="72" t="str">
        <f t="shared" ref="Q385:Q418" si="65">LEFT(C3,3)</f>
        <v>11</v>
      </c>
      <c r="R385" s="72" t="str">
        <f t="shared" si="63"/>
        <v/>
      </c>
    </row>
    <row r="386" spans="5:18">
      <c r="E386" s="82"/>
      <c r="F386" s="77" t="str">
        <f t="shared" si="64"/>
        <v/>
      </c>
      <c r="G386" s="114"/>
      <c r="H386" s="77" t="str">
        <f t="shared" si="57"/>
        <v/>
      </c>
      <c r="I386" s="77" t="str">
        <f t="shared" si="58"/>
        <v/>
      </c>
      <c r="J386" s="113"/>
      <c r="K386" s="113"/>
      <c r="L386" s="113"/>
      <c r="M386" s="81"/>
      <c r="O386" s="72" t="str">
        <f t="shared" si="60"/>
        <v/>
      </c>
      <c r="P386" s="72" t="str">
        <f t="shared" si="61"/>
        <v/>
      </c>
      <c r="Q386" s="72" t="str">
        <f t="shared" si="65"/>
        <v>11</v>
      </c>
      <c r="R386" s="72" t="str">
        <f t="shared" si="63"/>
        <v/>
      </c>
    </row>
    <row r="387" spans="5:18">
      <c r="E387" s="82"/>
      <c r="F387" s="77" t="str">
        <f t="shared" si="64"/>
        <v/>
      </c>
      <c r="G387" s="114"/>
      <c r="H387" s="77" t="str">
        <f t="shared" ref="H387:H450" si="66">IFERROR(VLOOKUP(G387,$AB$6:$AC$337,2,FALSE),"")</f>
        <v/>
      </c>
      <c r="I387" s="77" t="str">
        <f t="shared" ref="I387:I450" si="67">IFERROR(VLOOKUP(G387,$AB$6:$AF$337,3,FALSE),"")</f>
        <v/>
      </c>
      <c r="J387" s="113"/>
      <c r="K387" s="113"/>
      <c r="L387" s="113"/>
      <c r="M387" s="81"/>
      <c r="O387" s="72" t="str">
        <f t="shared" si="60"/>
        <v/>
      </c>
      <c r="P387" s="72" t="str">
        <f t="shared" si="61"/>
        <v/>
      </c>
      <c r="Q387" s="72" t="str">
        <f t="shared" si="65"/>
        <v>11</v>
      </c>
      <c r="R387" s="72" t="str">
        <f t="shared" si="63"/>
        <v/>
      </c>
    </row>
    <row r="388" spans="5:18">
      <c r="E388" s="82"/>
      <c r="F388" s="77" t="str">
        <f t="shared" si="64"/>
        <v/>
      </c>
      <c r="G388" s="114"/>
      <c r="H388" s="77" t="str">
        <f t="shared" si="66"/>
        <v/>
      </c>
      <c r="I388" s="77" t="str">
        <f t="shared" si="67"/>
        <v/>
      </c>
      <c r="J388" s="113"/>
      <c r="K388" s="113"/>
      <c r="L388" s="113"/>
      <c r="M388" s="81"/>
      <c r="O388" s="72" t="str">
        <f t="shared" si="60"/>
        <v/>
      </c>
      <c r="P388" s="72" t="str">
        <f t="shared" si="61"/>
        <v/>
      </c>
      <c r="Q388" s="72" t="str">
        <f t="shared" si="65"/>
        <v>11</v>
      </c>
      <c r="R388" s="72" t="str">
        <f t="shared" si="63"/>
        <v/>
      </c>
    </row>
    <row r="389" spans="5:18">
      <c r="E389" s="82"/>
      <c r="F389" s="77" t="str">
        <f t="shared" si="64"/>
        <v/>
      </c>
      <c r="G389" s="114"/>
      <c r="H389" s="77" t="str">
        <f t="shared" si="66"/>
        <v/>
      </c>
      <c r="I389" s="77" t="str">
        <f t="shared" si="67"/>
        <v/>
      </c>
      <c r="J389" s="113"/>
      <c r="K389" s="113"/>
      <c r="L389" s="113"/>
      <c r="M389" s="81"/>
      <c r="O389" s="72" t="str">
        <f t="shared" si="60"/>
        <v/>
      </c>
      <c r="P389" s="72" t="str">
        <f t="shared" si="61"/>
        <v/>
      </c>
      <c r="Q389" s="72" t="str">
        <f t="shared" si="65"/>
        <v>11</v>
      </c>
      <c r="R389" s="72" t="str">
        <f t="shared" si="63"/>
        <v/>
      </c>
    </row>
    <row r="390" spans="5:18">
      <c r="E390" s="82"/>
      <c r="F390" s="77" t="str">
        <f t="shared" si="64"/>
        <v/>
      </c>
      <c r="G390" s="114"/>
      <c r="H390" s="77" t="str">
        <f t="shared" si="66"/>
        <v/>
      </c>
      <c r="I390" s="77" t="str">
        <f t="shared" si="67"/>
        <v/>
      </c>
      <c r="J390" s="113"/>
      <c r="K390" s="113"/>
      <c r="L390" s="113"/>
      <c r="M390" s="81"/>
      <c r="O390" s="72" t="str">
        <f t="shared" si="60"/>
        <v/>
      </c>
      <c r="P390" s="72" t="str">
        <f t="shared" si="61"/>
        <v/>
      </c>
      <c r="Q390" s="72" t="str">
        <f t="shared" si="65"/>
        <v>11</v>
      </c>
      <c r="R390" s="72" t="str">
        <f t="shared" si="63"/>
        <v/>
      </c>
    </row>
    <row r="391" spans="5:18">
      <c r="E391" s="82"/>
      <c r="F391" s="77" t="str">
        <f t="shared" si="64"/>
        <v/>
      </c>
      <c r="G391" s="114"/>
      <c r="H391" s="77" t="str">
        <f t="shared" si="66"/>
        <v/>
      </c>
      <c r="I391" s="77" t="str">
        <f t="shared" si="67"/>
        <v/>
      </c>
      <c r="J391" s="113"/>
      <c r="K391" s="113"/>
      <c r="L391" s="113"/>
      <c r="M391" s="81"/>
      <c r="O391" s="72" t="str">
        <f t="shared" si="60"/>
        <v/>
      </c>
      <c r="P391" s="72" t="str">
        <f t="shared" si="61"/>
        <v/>
      </c>
      <c r="Q391" s="72" t="str">
        <f t="shared" si="65"/>
        <v>11</v>
      </c>
      <c r="R391" s="72" t="str">
        <f t="shared" si="63"/>
        <v/>
      </c>
    </row>
    <row r="392" spans="5:18">
      <c r="E392" s="82"/>
      <c r="F392" s="77" t="str">
        <f t="shared" si="64"/>
        <v/>
      </c>
      <c r="G392" s="114"/>
      <c r="H392" s="77" t="str">
        <f t="shared" si="66"/>
        <v/>
      </c>
      <c r="I392" s="77" t="str">
        <f t="shared" si="67"/>
        <v/>
      </c>
      <c r="J392" s="113"/>
      <c r="K392" s="113"/>
      <c r="L392" s="113"/>
      <c r="M392" s="81"/>
      <c r="O392" s="72" t="str">
        <f t="shared" si="60"/>
        <v/>
      </c>
      <c r="P392" s="72" t="str">
        <f t="shared" si="61"/>
        <v/>
      </c>
      <c r="Q392" s="72" t="str">
        <f t="shared" si="65"/>
        <v>11</v>
      </c>
      <c r="R392" s="72" t="str">
        <f t="shared" si="63"/>
        <v/>
      </c>
    </row>
    <row r="393" spans="5:18">
      <c r="E393" s="82"/>
      <c r="F393" s="77" t="str">
        <f t="shared" si="64"/>
        <v/>
      </c>
      <c r="G393" s="114"/>
      <c r="H393" s="77" t="str">
        <f t="shared" si="66"/>
        <v/>
      </c>
      <c r="I393" s="77" t="str">
        <f t="shared" si="67"/>
        <v/>
      </c>
      <c r="J393" s="113"/>
      <c r="K393" s="113"/>
      <c r="L393" s="113"/>
      <c r="M393" s="81"/>
      <c r="O393" s="72" t="str">
        <f t="shared" si="60"/>
        <v/>
      </c>
      <c r="P393" s="72" t="str">
        <f t="shared" si="61"/>
        <v/>
      </c>
      <c r="Q393" s="72" t="str">
        <f t="shared" si="65"/>
        <v>11</v>
      </c>
      <c r="R393" s="72" t="str">
        <f t="shared" si="63"/>
        <v/>
      </c>
    </row>
    <row r="394" spans="5:18">
      <c r="E394" s="82"/>
      <c r="F394" s="77" t="str">
        <f t="shared" si="64"/>
        <v/>
      </c>
      <c r="G394" s="114"/>
      <c r="H394" s="77" t="str">
        <f t="shared" si="66"/>
        <v/>
      </c>
      <c r="I394" s="77" t="str">
        <f t="shared" si="67"/>
        <v/>
      </c>
      <c r="J394" s="113"/>
      <c r="K394" s="113"/>
      <c r="L394" s="113"/>
      <c r="M394" s="81"/>
      <c r="O394" s="72" t="str">
        <f t="shared" si="60"/>
        <v/>
      </c>
      <c r="P394" s="72" t="str">
        <f t="shared" si="61"/>
        <v/>
      </c>
      <c r="Q394" s="72" t="str">
        <f t="shared" si="65"/>
        <v>11</v>
      </c>
      <c r="R394" s="72" t="str">
        <f t="shared" si="63"/>
        <v/>
      </c>
    </row>
    <row r="395" spans="5:18">
      <c r="E395" s="82"/>
      <c r="F395" s="77" t="str">
        <f t="shared" si="64"/>
        <v/>
      </c>
      <c r="G395" s="114"/>
      <c r="H395" s="77" t="str">
        <f t="shared" si="66"/>
        <v/>
      </c>
      <c r="I395" s="77" t="str">
        <f t="shared" si="67"/>
        <v/>
      </c>
      <c r="J395" s="113"/>
      <c r="K395" s="113"/>
      <c r="L395" s="113"/>
      <c r="M395" s="81"/>
      <c r="O395" s="72" t="str">
        <f t="shared" si="60"/>
        <v/>
      </c>
      <c r="P395" s="72" t="str">
        <f t="shared" si="61"/>
        <v/>
      </c>
      <c r="Q395" s="72" t="str">
        <f t="shared" si="65"/>
        <v>11</v>
      </c>
      <c r="R395" s="72" t="str">
        <f t="shared" si="63"/>
        <v/>
      </c>
    </row>
    <row r="396" spans="5:18">
      <c r="E396" s="82"/>
      <c r="F396" s="77" t="str">
        <f t="shared" si="64"/>
        <v/>
      </c>
      <c r="G396" s="114"/>
      <c r="H396" s="77" t="str">
        <f t="shared" si="66"/>
        <v/>
      </c>
      <c r="I396" s="77" t="str">
        <f t="shared" si="67"/>
        <v/>
      </c>
      <c r="J396" s="113"/>
      <c r="K396" s="113"/>
      <c r="L396" s="113"/>
      <c r="M396" s="81"/>
      <c r="O396" s="72" t="str">
        <f t="shared" si="60"/>
        <v/>
      </c>
      <c r="P396" s="72" t="str">
        <f t="shared" si="61"/>
        <v/>
      </c>
      <c r="Q396" s="72" t="str">
        <f t="shared" si="65"/>
        <v>11</v>
      </c>
      <c r="R396" s="72" t="str">
        <f t="shared" si="63"/>
        <v/>
      </c>
    </row>
    <row r="397" spans="5:18">
      <c r="E397" s="82"/>
      <c r="F397" s="77" t="str">
        <f t="shared" si="64"/>
        <v/>
      </c>
      <c r="G397" s="114"/>
      <c r="H397" s="77" t="str">
        <f t="shared" si="66"/>
        <v/>
      </c>
      <c r="I397" s="77" t="str">
        <f t="shared" si="67"/>
        <v/>
      </c>
      <c r="J397" s="113"/>
      <c r="K397" s="113"/>
      <c r="L397" s="113"/>
      <c r="M397" s="81"/>
      <c r="O397" s="72" t="str">
        <f t="shared" si="60"/>
        <v/>
      </c>
      <c r="P397" s="72" t="str">
        <f t="shared" si="61"/>
        <v/>
      </c>
      <c r="Q397" s="72" t="str">
        <f t="shared" si="65"/>
        <v>11</v>
      </c>
      <c r="R397" s="72" t="str">
        <f t="shared" si="63"/>
        <v/>
      </c>
    </row>
    <row r="398" spans="5:18">
      <c r="E398" s="82"/>
      <c r="F398" s="77" t="str">
        <f t="shared" si="64"/>
        <v/>
      </c>
      <c r="G398" s="114"/>
      <c r="H398" s="77" t="str">
        <f t="shared" si="66"/>
        <v/>
      </c>
      <c r="I398" s="77" t="str">
        <f t="shared" si="67"/>
        <v/>
      </c>
      <c r="J398" s="113"/>
      <c r="K398" s="113"/>
      <c r="L398" s="113"/>
      <c r="M398" s="81"/>
      <c r="O398" s="72" t="str">
        <f t="shared" ref="O398:O461" si="68">LEFT(E398,3)</f>
        <v/>
      </c>
      <c r="P398" s="72" t="str">
        <f t="shared" ref="P398:P461" si="69">LEFT(E398,2)</f>
        <v/>
      </c>
      <c r="Q398" s="72" t="str">
        <f t="shared" si="65"/>
        <v>11</v>
      </c>
      <c r="R398" s="72" t="str">
        <f t="shared" ref="R398:R461" si="70">MID(I398,2,2)</f>
        <v/>
      </c>
    </row>
    <row r="399" spans="5:18">
      <c r="E399" s="82"/>
      <c r="F399" s="77" t="str">
        <f t="shared" si="64"/>
        <v/>
      </c>
      <c r="G399" s="114"/>
      <c r="H399" s="77" t="str">
        <f t="shared" si="66"/>
        <v/>
      </c>
      <c r="I399" s="77" t="str">
        <f t="shared" si="67"/>
        <v/>
      </c>
      <c r="J399" s="113"/>
      <c r="K399" s="113"/>
      <c r="L399" s="113"/>
      <c r="M399" s="81"/>
      <c r="O399" s="72" t="str">
        <f t="shared" si="68"/>
        <v/>
      </c>
      <c r="P399" s="72" t="str">
        <f t="shared" si="69"/>
        <v/>
      </c>
      <c r="Q399" s="72" t="str">
        <f t="shared" si="65"/>
        <v>11</v>
      </c>
      <c r="R399" s="72" t="str">
        <f t="shared" si="70"/>
        <v/>
      </c>
    </row>
    <row r="400" spans="5:18">
      <c r="E400" s="82"/>
      <c r="F400" s="77" t="str">
        <f t="shared" si="64"/>
        <v/>
      </c>
      <c r="G400" s="114"/>
      <c r="H400" s="77" t="str">
        <f t="shared" si="66"/>
        <v/>
      </c>
      <c r="I400" s="77" t="str">
        <f t="shared" si="67"/>
        <v/>
      </c>
      <c r="J400" s="113"/>
      <c r="K400" s="113"/>
      <c r="L400" s="113"/>
      <c r="M400" s="81"/>
      <c r="O400" s="72" t="str">
        <f t="shared" si="68"/>
        <v/>
      </c>
      <c r="P400" s="72" t="str">
        <f t="shared" si="69"/>
        <v/>
      </c>
      <c r="Q400" s="72" t="str">
        <f t="shared" si="65"/>
        <v>11</v>
      </c>
      <c r="R400" s="72" t="str">
        <f t="shared" si="70"/>
        <v/>
      </c>
    </row>
    <row r="401" spans="5:18">
      <c r="E401" s="82"/>
      <c r="F401" s="77" t="str">
        <f t="shared" si="64"/>
        <v/>
      </c>
      <c r="G401" s="114"/>
      <c r="H401" s="77" t="str">
        <f t="shared" si="66"/>
        <v/>
      </c>
      <c r="I401" s="77" t="str">
        <f t="shared" si="67"/>
        <v/>
      </c>
      <c r="J401" s="113"/>
      <c r="K401" s="113"/>
      <c r="L401" s="113"/>
      <c r="M401" s="81"/>
      <c r="O401" s="72" t="str">
        <f t="shared" si="68"/>
        <v/>
      </c>
      <c r="P401" s="72" t="str">
        <f t="shared" si="69"/>
        <v/>
      </c>
      <c r="Q401" s="72" t="str">
        <f t="shared" si="65"/>
        <v>11</v>
      </c>
      <c r="R401" s="72" t="str">
        <f t="shared" si="70"/>
        <v/>
      </c>
    </row>
    <row r="402" spans="5:18">
      <c r="E402" s="82"/>
      <c r="F402" s="77" t="str">
        <f t="shared" si="64"/>
        <v/>
      </c>
      <c r="G402" s="114"/>
      <c r="H402" s="77" t="str">
        <f t="shared" si="66"/>
        <v/>
      </c>
      <c r="I402" s="77" t="str">
        <f t="shared" si="67"/>
        <v/>
      </c>
      <c r="J402" s="113"/>
      <c r="K402" s="113"/>
      <c r="L402" s="113"/>
      <c r="M402" s="81"/>
      <c r="O402" s="72" t="str">
        <f t="shared" si="68"/>
        <v/>
      </c>
      <c r="P402" s="72" t="str">
        <f t="shared" si="69"/>
        <v/>
      </c>
      <c r="Q402" s="72" t="str">
        <f t="shared" si="65"/>
        <v>11</v>
      </c>
      <c r="R402" s="72" t="str">
        <f t="shared" si="70"/>
        <v/>
      </c>
    </row>
    <row r="403" spans="5:18">
      <c r="E403" s="82"/>
      <c r="F403" s="77" t="str">
        <f t="shared" si="64"/>
        <v/>
      </c>
      <c r="G403" s="114"/>
      <c r="H403" s="77" t="str">
        <f t="shared" si="66"/>
        <v/>
      </c>
      <c r="I403" s="77" t="str">
        <f t="shared" si="67"/>
        <v/>
      </c>
      <c r="J403" s="113"/>
      <c r="K403" s="113"/>
      <c r="L403" s="113"/>
      <c r="M403" s="81"/>
      <c r="O403" s="72" t="str">
        <f t="shared" si="68"/>
        <v/>
      </c>
      <c r="P403" s="72" t="str">
        <f t="shared" si="69"/>
        <v/>
      </c>
      <c r="Q403" s="72" t="str">
        <f t="shared" si="65"/>
        <v>11</v>
      </c>
      <c r="R403" s="72" t="str">
        <f t="shared" si="70"/>
        <v/>
      </c>
    </row>
    <row r="404" spans="5:18">
      <c r="E404" s="82"/>
      <c r="F404" s="77" t="str">
        <f t="shared" si="64"/>
        <v/>
      </c>
      <c r="G404" s="114"/>
      <c r="H404" s="77" t="str">
        <f t="shared" si="66"/>
        <v/>
      </c>
      <c r="I404" s="77" t="str">
        <f t="shared" si="67"/>
        <v/>
      </c>
      <c r="J404" s="113"/>
      <c r="K404" s="113"/>
      <c r="L404" s="113"/>
      <c r="M404" s="81"/>
      <c r="O404" s="72" t="str">
        <f t="shared" si="68"/>
        <v/>
      </c>
      <c r="P404" s="72" t="str">
        <f t="shared" si="69"/>
        <v/>
      </c>
      <c r="Q404" s="72" t="str">
        <f t="shared" si="65"/>
        <v>11</v>
      </c>
      <c r="R404" s="72" t="str">
        <f t="shared" si="70"/>
        <v/>
      </c>
    </row>
    <row r="405" spans="5:18">
      <c r="E405" s="82"/>
      <c r="F405" s="77" t="str">
        <f t="shared" si="64"/>
        <v/>
      </c>
      <c r="G405" s="114"/>
      <c r="H405" s="77" t="str">
        <f t="shared" si="66"/>
        <v/>
      </c>
      <c r="I405" s="77" t="str">
        <f t="shared" si="67"/>
        <v/>
      </c>
      <c r="J405" s="113"/>
      <c r="K405" s="113"/>
      <c r="L405" s="113"/>
      <c r="M405" s="81"/>
      <c r="O405" s="72" t="str">
        <f t="shared" si="68"/>
        <v/>
      </c>
      <c r="P405" s="72" t="str">
        <f t="shared" si="69"/>
        <v/>
      </c>
      <c r="Q405" s="72" t="str">
        <f t="shared" si="65"/>
        <v>11</v>
      </c>
      <c r="R405" s="72" t="str">
        <f t="shared" si="70"/>
        <v/>
      </c>
    </row>
    <row r="406" spans="5:18">
      <c r="E406" s="82"/>
      <c r="F406" s="77" t="str">
        <f t="shared" si="64"/>
        <v/>
      </c>
      <c r="G406" s="114"/>
      <c r="H406" s="77" t="str">
        <f t="shared" si="66"/>
        <v/>
      </c>
      <c r="I406" s="77" t="str">
        <f t="shared" si="67"/>
        <v/>
      </c>
      <c r="J406" s="113"/>
      <c r="K406" s="113"/>
      <c r="L406" s="113"/>
      <c r="M406" s="81"/>
      <c r="O406" s="72" t="str">
        <f t="shared" si="68"/>
        <v/>
      </c>
      <c r="P406" s="72" t="str">
        <f t="shared" si="69"/>
        <v/>
      </c>
      <c r="Q406" s="72" t="str">
        <f t="shared" si="65"/>
        <v>11</v>
      </c>
      <c r="R406" s="72" t="str">
        <f t="shared" si="70"/>
        <v/>
      </c>
    </row>
    <row r="407" spans="5:18">
      <c r="E407" s="82"/>
      <c r="F407" s="77" t="str">
        <f t="shared" si="64"/>
        <v/>
      </c>
      <c r="G407" s="114"/>
      <c r="H407" s="77" t="str">
        <f t="shared" si="66"/>
        <v/>
      </c>
      <c r="I407" s="77" t="str">
        <f t="shared" si="67"/>
        <v/>
      </c>
      <c r="J407" s="113"/>
      <c r="K407" s="113"/>
      <c r="L407" s="113"/>
      <c r="M407" s="81"/>
      <c r="O407" s="72" t="str">
        <f t="shared" si="68"/>
        <v/>
      </c>
      <c r="P407" s="72" t="str">
        <f t="shared" si="69"/>
        <v/>
      </c>
      <c r="Q407" s="72" t="str">
        <f t="shared" si="65"/>
        <v>11</v>
      </c>
      <c r="R407" s="72" t="str">
        <f t="shared" si="70"/>
        <v/>
      </c>
    </row>
    <row r="408" spans="5:18">
      <c r="E408" s="82"/>
      <c r="F408" s="77" t="str">
        <f t="shared" si="64"/>
        <v/>
      </c>
      <c r="G408" s="114"/>
      <c r="H408" s="77" t="str">
        <f t="shared" si="66"/>
        <v/>
      </c>
      <c r="I408" s="77" t="str">
        <f t="shared" si="67"/>
        <v/>
      </c>
      <c r="J408" s="113"/>
      <c r="K408" s="113"/>
      <c r="L408" s="113"/>
      <c r="M408" s="81"/>
      <c r="O408" s="72" t="str">
        <f t="shared" si="68"/>
        <v/>
      </c>
      <c r="P408" s="72" t="str">
        <f t="shared" si="69"/>
        <v/>
      </c>
      <c r="Q408" s="72" t="str">
        <f t="shared" si="65"/>
        <v>11</v>
      </c>
      <c r="R408" s="72" t="str">
        <f t="shared" si="70"/>
        <v/>
      </c>
    </row>
    <row r="409" spans="5:18">
      <c r="E409" s="82"/>
      <c r="F409" s="77" t="str">
        <f t="shared" si="64"/>
        <v/>
      </c>
      <c r="G409" s="114"/>
      <c r="H409" s="77" t="str">
        <f t="shared" si="66"/>
        <v/>
      </c>
      <c r="I409" s="77" t="str">
        <f t="shared" si="67"/>
        <v/>
      </c>
      <c r="J409" s="113"/>
      <c r="K409" s="113"/>
      <c r="L409" s="113"/>
      <c r="M409" s="81"/>
      <c r="O409" s="72" t="str">
        <f t="shared" si="68"/>
        <v/>
      </c>
      <c r="P409" s="72" t="str">
        <f t="shared" si="69"/>
        <v/>
      </c>
      <c r="Q409" s="72" t="str">
        <f t="shared" si="65"/>
        <v>11</v>
      </c>
      <c r="R409" s="72" t="str">
        <f t="shared" si="70"/>
        <v/>
      </c>
    </row>
    <row r="410" spans="5:18">
      <c r="E410" s="82"/>
      <c r="F410" s="77" t="str">
        <f t="shared" si="64"/>
        <v/>
      </c>
      <c r="G410" s="114"/>
      <c r="H410" s="77" t="str">
        <f t="shared" si="66"/>
        <v/>
      </c>
      <c r="I410" s="77" t="str">
        <f t="shared" si="67"/>
        <v/>
      </c>
      <c r="J410" s="113"/>
      <c r="K410" s="113"/>
      <c r="L410" s="113"/>
      <c r="M410" s="81"/>
      <c r="O410" s="72" t="str">
        <f t="shared" si="68"/>
        <v/>
      </c>
      <c r="P410" s="72" t="str">
        <f t="shared" si="69"/>
        <v/>
      </c>
      <c r="Q410" s="72" t="str">
        <f t="shared" si="65"/>
        <v>11</v>
      </c>
      <c r="R410" s="72" t="str">
        <f t="shared" si="70"/>
        <v/>
      </c>
    </row>
    <row r="411" spans="5:18">
      <c r="E411" s="82"/>
      <c r="F411" s="77" t="str">
        <f t="shared" si="64"/>
        <v/>
      </c>
      <c r="G411" s="114"/>
      <c r="H411" s="77" t="str">
        <f t="shared" si="66"/>
        <v/>
      </c>
      <c r="I411" s="77" t="str">
        <f t="shared" si="67"/>
        <v/>
      </c>
      <c r="J411" s="113"/>
      <c r="K411" s="113"/>
      <c r="L411" s="113"/>
      <c r="M411" s="81"/>
      <c r="O411" s="72" t="str">
        <f t="shared" si="68"/>
        <v/>
      </c>
      <c r="P411" s="72" t="str">
        <f t="shared" si="69"/>
        <v/>
      </c>
      <c r="Q411" s="72" t="str">
        <f t="shared" si="65"/>
        <v>11</v>
      </c>
      <c r="R411" s="72" t="str">
        <f t="shared" si="70"/>
        <v/>
      </c>
    </row>
    <row r="412" spans="5:18">
      <c r="E412" s="82"/>
      <c r="F412" s="77" t="str">
        <f t="shared" si="64"/>
        <v/>
      </c>
      <c r="G412" s="114"/>
      <c r="H412" s="77" t="str">
        <f t="shared" si="66"/>
        <v/>
      </c>
      <c r="I412" s="77" t="str">
        <f t="shared" si="67"/>
        <v/>
      </c>
      <c r="J412" s="113"/>
      <c r="K412" s="113"/>
      <c r="L412" s="113"/>
      <c r="M412" s="81"/>
      <c r="O412" s="72" t="str">
        <f t="shared" si="68"/>
        <v/>
      </c>
      <c r="P412" s="72" t="str">
        <f t="shared" si="69"/>
        <v/>
      </c>
      <c r="Q412" s="72" t="str">
        <f t="shared" si="65"/>
        <v>11</v>
      </c>
      <c r="R412" s="72" t="str">
        <f t="shared" si="70"/>
        <v/>
      </c>
    </row>
    <row r="413" spans="5:18">
      <c r="E413" s="82"/>
      <c r="F413" s="77" t="str">
        <f t="shared" si="64"/>
        <v/>
      </c>
      <c r="G413" s="114"/>
      <c r="H413" s="77" t="str">
        <f t="shared" si="66"/>
        <v/>
      </c>
      <c r="I413" s="77" t="str">
        <f t="shared" si="67"/>
        <v/>
      </c>
      <c r="J413" s="113"/>
      <c r="K413" s="113"/>
      <c r="L413" s="113"/>
      <c r="M413" s="81"/>
      <c r="O413" s="72" t="str">
        <f t="shared" si="68"/>
        <v/>
      </c>
      <c r="P413" s="72" t="str">
        <f t="shared" si="69"/>
        <v/>
      </c>
      <c r="Q413" s="72" t="str">
        <f t="shared" si="65"/>
        <v>11</v>
      </c>
      <c r="R413" s="72" t="str">
        <f t="shared" si="70"/>
        <v/>
      </c>
    </row>
    <row r="414" spans="5:18">
      <c r="E414" s="82"/>
      <c r="F414" s="77" t="str">
        <f t="shared" si="64"/>
        <v/>
      </c>
      <c r="G414" s="114"/>
      <c r="H414" s="77" t="str">
        <f t="shared" si="66"/>
        <v/>
      </c>
      <c r="I414" s="77" t="str">
        <f t="shared" si="67"/>
        <v/>
      </c>
      <c r="J414" s="113"/>
      <c r="K414" s="113"/>
      <c r="L414" s="113"/>
      <c r="M414" s="81"/>
      <c r="O414" s="72" t="str">
        <f t="shared" si="68"/>
        <v/>
      </c>
      <c r="P414" s="72" t="str">
        <f t="shared" si="69"/>
        <v/>
      </c>
      <c r="Q414" s="72" t="str">
        <f t="shared" si="65"/>
        <v>11</v>
      </c>
      <c r="R414" s="72" t="str">
        <f t="shared" si="70"/>
        <v/>
      </c>
    </row>
    <row r="415" spans="5:18">
      <c r="E415" s="82"/>
      <c r="F415" s="77" t="str">
        <f t="shared" si="64"/>
        <v/>
      </c>
      <c r="G415" s="114"/>
      <c r="H415" s="77" t="str">
        <f t="shared" si="66"/>
        <v/>
      </c>
      <c r="I415" s="77" t="str">
        <f t="shared" si="67"/>
        <v/>
      </c>
      <c r="J415" s="113"/>
      <c r="K415" s="113"/>
      <c r="L415" s="113"/>
      <c r="M415" s="81"/>
      <c r="O415" s="72" t="str">
        <f t="shared" si="68"/>
        <v/>
      </c>
      <c r="P415" s="72" t="str">
        <f t="shared" si="69"/>
        <v/>
      </c>
      <c r="Q415" s="72" t="str">
        <f t="shared" si="65"/>
        <v>11</v>
      </c>
      <c r="R415" s="72" t="str">
        <f t="shared" si="70"/>
        <v/>
      </c>
    </row>
    <row r="416" spans="5:18">
      <c r="E416" s="82"/>
      <c r="F416" s="77" t="str">
        <f t="shared" si="64"/>
        <v/>
      </c>
      <c r="G416" s="114"/>
      <c r="H416" s="77" t="str">
        <f t="shared" si="66"/>
        <v/>
      </c>
      <c r="I416" s="77" t="str">
        <f t="shared" si="67"/>
        <v/>
      </c>
      <c r="J416" s="113"/>
      <c r="K416" s="113"/>
      <c r="L416" s="113"/>
      <c r="M416" s="81"/>
      <c r="O416" s="72" t="str">
        <f t="shared" si="68"/>
        <v/>
      </c>
      <c r="P416" s="72" t="str">
        <f t="shared" si="69"/>
        <v/>
      </c>
      <c r="Q416" s="72" t="str">
        <f t="shared" si="65"/>
        <v>11</v>
      </c>
      <c r="R416" s="72" t="str">
        <f t="shared" si="70"/>
        <v/>
      </c>
    </row>
    <row r="417" spans="5:18">
      <c r="E417" s="82"/>
      <c r="F417" s="77" t="str">
        <f t="shared" si="64"/>
        <v/>
      </c>
      <c r="G417" s="114"/>
      <c r="H417" s="77" t="str">
        <f t="shared" si="66"/>
        <v/>
      </c>
      <c r="I417" s="77" t="str">
        <f t="shared" si="67"/>
        <v/>
      </c>
      <c r="J417" s="113"/>
      <c r="K417" s="113"/>
      <c r="L417" s="113"/>
      <c r="M417" s="81"/>
      <c r="O417" s="72" t="str">
        <f t="shared" si="68"/>
        <v/>
      </c>
      <c r="P417" s="72" t="str">
        <f t="shared" si="69"/>
        <v/>
      </c>
      <c r="Q417" s="72" t="str">
        <f t="shared" si="65"/>
        <v>11</v>
      </c>
      <c r="R417" s="72" t="str">
        <f t="shared" si="70"/>
        <v/>
      </c>
    </row>
    <row r="418" spans="5:18">
      <c r="E418" s="82"/>
      <c r="F418" s="77" t="str">
        <f t="shared" si="64"/>
        <v/>
      </c>
      <c r="G418" s="114"/>
      <c r="H418" s="77" t="str">
        <f t="shared" si="66"/>
        <v/>
      </c>
      <c r="I418" s="77" t="str">
        <f t="shared" si="67"/>
        <v/>
      </c>
      <c r="J418" s="113"/>
      <c r="K418" s="113"/>
      <c r="L418" s="113"/>
      <c r="M418" s="81"/>
      <c r="O418" s="72" t="str">
        <f t="shared" si="68"/>
        <v/>
      </c>
      <c r="P418" s="72" t="str">
        <f t="shared" si="69"/>
        <v/>
      </c>
      <c r="Q418" s="72" t="str">
        <f t="shared" si="65"/>
        <v>11</v>
      </c>
      <c r="R418" s="72" t="str">
        <f t="shared" si="70"/>
        <v/>
      </c>
    </row>
    <row r="419" spans="5:18">
      <c r="E419" s="82"/>
      <c r="F419" s="77" t="str">
        <f t="shared" si="64"/>
        <v/>
      </c>
      <c r="G419" s="114"/>
      <c r="H419" s="77" t="str">
        <f t="shared" si="66"/>
        <v/>
      </c>
      <c r="I419" s="77" t="str">
        <f t="shared" si="67"/>
        <v/>
      </c>
      <c r="J419" s="113"/>
      <c r="K419" s="113"/>
      <c r="L419" s="113"/>
      <c r="M419" s="81"/>
      <c r="O419" s="72" t="str">
        <f t="shared" si="68"/>
        <v/>
      </c>
      <c r="P419" s="72" t="str">
        <f t="shared" si="69"/>
        <v/>
      </c>
      <c r="Q419" s="72" t="str">
        <f t="shared" ref="Q419:Q431" si="71">LEFT(C38,3)</f>
        <v>11</v>
      </c>
      <c r="R419" s="72" t="str">
        <f t="shared" si="70"/>
        <v/>
      </c>
    </row>
    <row r="420" spans="5:18">
      <c r="E420" s="82"/>
      <c r="F420" s="77" t="str">
        <f t="shared" si="64"/>
        <v/>
      </c>
      <c r="G420" s="114"/>
      <c r="H420" s="77" t="str">
        <f t="shared" si="66"/>
        <v/>
      </c>
      <c r="I420" s="77" t="str">
        <f t="shared" si="67"/>
        <v/>
      </c>
      <c r="J420" s="113"/>
      <c r="K420" s="113"/>
      <c r="L420" s="113"/>
      <c r="M420" s="81"/>
      <c r="O420" s="72" t="str">
        <f t="shared" si="68"/>
        <v/>
      </c>
      <c r="P420" s="72" t="str">
        <f t="shared" si="69"/>
        <v/>
      </c>
      <c r="Q420" s="72" t="str">
        <f t="shared" si="71"/>
        <v>11</v>
      </c>
      <c r="R420" s="72" t="str">
        <f t="shared" si="70"/>
        <v/>
      </c>
    </row>
    <row r="421" spans="5:18">
      <c r="E421" s="82"/>
      <c r="F421" s="77" t="str">
        <f t="shared" si="64"/>
        <v/>
      </c>
      <c r="G421" s="114"/>
      <c r="H421" s="77" t="str">
        <f t="shared" si="66"/>
        <v/>
      </c>
      <c r="I421" s="77" t="str">
        <f t="shared" si="67"/>
        <v/>
      </c>
      <c r="J421" s="113"/>
      <c r="K421" s="113"/>
      <c r="L421" s="113"/>
      <c r="M421" s="81"/>
      <c r="O421" s="72" t="str">
        <f t="shared" si="68"/>
        <v/>
      </c>
      <c r="P421" s="72" t="str">
        <f t="shared" si="69"/>
        <v/>
      </c>
      <c r="Q421" s="72" t="str">
        <f t="shared" si="71"/>
        <v>11</v>
      </c>
      <c r="R421" s="72" t="str">
        <f t="shared" si="70"/>
        <v/>
      </c>
    </row>
    <row r="422" spans="5:18">
      <c r="E422" s="82"/>
      <c r="F422" s="77" t="str">
        <f t="shared" ref="F422:F485" si="72">IFERROR(VLOOKUP(E422,$V$5:$X$139,2,FALSE),"")</f>
        <v/>
      </c>
      <c r="G422" s="114"/>
      <c r="H422" s="77" t="str">
        <f t="shared" si="66"/>
        <v/>
      </c>
      <c r="I422" s="77" t="str">
        <f t="shared" si="67"/>
        <v/>
      </c>
      <c r="J422" s="113"/>
      <c r="K422" s="113"/>
      <c r="L422" s="113"/>
      <c r="M422" s="81"/>
      <c r="O422" s="72" t="str">
        <f t="shared" si="68"/>
        <v/>
      </c>
      <c r="P422" s="72" t="str">
        <f t="shared" si="69"/>
        <v/>
      </c>
      <c r="Q422" s="72" t="str">
        <f t="shared" si="71"/>
        <v>11</v>
      </c>
      <c r="R422" s="72" t="str">
        <f t="shared" si="70"/>
        <v/>
      </c>
    </row>
    <row r="423" spans="5:18">
      <c r="E423" s="82"/>
      <c r="F423" s="77" t="str">
        <f t="shared" si="72"/>
        <v/>
      </c>
      <c r="G423" s="114"/>
      <c r="H423" s="77" t="str">
        <f t="shared" si="66"/>
        <v/>
      </c>
      <c r="I423" s="77" t="str">
        <f t="shared" si="67"/>
        <v/>
      </c>
      <c r="J423" s="113"/>
      <c r="K423" s="113"/>
      <c r="L423" s="113"/>
      <c r="M423" s="81"/>
      <c r="O423" s="72" t="str">
        <f t="shared" si="68"/>
        <v/>
      </c>
      <c r="P423" s="72" t="str">
        <f t="shared" si="69"/>
        <v/>
      </c>
      <c r="Q423" s="72" t="str">
        <f t="shared" si="71"/>
        <v>11</v>
      </c>
      <c r="R423" s="72" t="str">
        <f t="shared" si="70"/>
        <v/>
      </c>
    </row>
    <row r="424" spans="5:18">
      <c r="E424" s="82"/>
      <c r="F424" s="77" t="str">
        <f t="shared" si="72"/>
        <v/>
      </c>
      <c r="G424" s="114"/>
      <c r="H424" s="77" t="str">
        <f t="shared" si="66"/>
        <v/>
      </c>
      <c r="I424" s="77" t="str">
        <f t="shared" si="67"/>
        <v/>
      </c>
      <c r="J424" s="113"/>
      <c r="K424" s="113"/>
      <c r="L424" s="113"/>
      <c r="M424" s="81"/>
      <c r="O424" s="72" t="str">
        <f t="shared" si="68"/>
        <v/>
      </c>
      <c r="P424" s="72" t="str">
        <f t="shared" si="69"/>
        <v/>
      </c>
      <c r="Q424" s="72" t="str">
        <f t="shared" si="71"/>
        <v>11</v>
      </c>
      <c r="R424" s="72" t="str">
        <f t="shared" si="70"/>
        <v/>
      </c>
    </row>
    <row r="425" spans="5:18">
      <c r="E425" s="82"/>
      <c r="F425" s="77" t="str">
        <f t="shared" si="72"/>
        <v/>
      </c>
      <c r="G425" s="114"/>
      <c r="H425" s="77" t="str">
        <f t="shared" si="66"/>
        <v/>
      </c>
      <c r="I425" s="77" t="str">
        <f t="shared" si="67"/>
        <v/>
      </c>
      <c r="J425" s="113"/>
      <c r="K425" s="113"/>
      <c r="L425" s="113"/>
      <c r="M425" s="81"/>
      <c r="O425" s="72" t="str">
        <f t="shared" si="68"/>
        <v/>
      </c>
      <c r="P425" s="72" t="str">
        <f t="shared" si="69"/>
        <v/>
      </c>
      <c r="Q425" s="72" t="str">
        <f t="shared" si="71"/>
        <v>11</v>
      </c>
      <c r="R425" s="72" t="str">
        <f t="shared" si="70"/>
        <v/>
      </c>
    </row>
    <row r="426" spans="5:18">
      <c r="E426" s="82"/>
      <c r="F426" s="77" t="str">
        <f t="shared" si="72"/>
        <v/>
      </c>
      <c r="G426" s="114"/>
      <c r="H426" s="77" t="str">
        <f t="shared" si="66"/>
        <v/>
      </c>
      <c r="I426" s="77" t="str">
        <f t="shared" si="67"/>
        <v/>
      </c>
      <c r="J426" s="113"/>
      <c r="K426" s="113"/>
      <c r="L426" s="113"/>
      <c r="M426" s="81"/>
      <c r="O426" s="72" t="str">
        <f t="shared" si="68"/>
        <v/>
      </c>
      <c r="P426" s="72" t="str">
        <f t="shared" si="69"/>
        <v/>
      </c>
      <c r="Q426" s="72" t="str">
        <f t="shared" si="71"/>
        <v>11</v>
      </c>
      <c r="R426" s="72" t="str">
        <f t="shared" si="70"/>
        <v/>
      </c>
    </row>
    <row r="427" spans="5:18">
      <c r="E427" s="82"/>
      <c r="F427" s="77" t="str">
        <f t="shared" si="72"/>
        <v/>
      </c>
      <c r="G427" s="114"/>
      <c r="H427" s="77" t="str">
        <f t="shared" si="66"/>
        <v/>
      </c>
      <c r="I427" s="77" t="str">
        <f t="shared" si="67"/>
        <v/>
      </c>
      <c r="J427" s="113"/>
      <c r="K427" s="113"/>
      <c r="L427" s="113"/>
      <c r="M427" s="81"/>
      <c r="O427" s="72" t="str">
        <f t="shared" si="68"/>
        <v/>
      </c>
      <c r="P427" s="72" t="str">
        <f t="shared" si="69"/>
        <v/>
      </c>
      <c r="Q427" s="72" t="str">
        <f t="shared" si="71"/>
        <v>11</v>
      </c>
      <c r="R427" s="72" t="str">
        <f t="shared" si="70"/>
        <v/>
      </c>
    </row>
    <row r="428" spans="5:18">
      <c r="E428" s="82"/>
      <c r="F428" s="77" t="str">
        <f t="shared" si="72"/>
        <v/>
      </c>
      <c r="G428" s="114"/>
      <c r="H428" s="77" t="str">
        <f t="shared" si="66"/>
        <v/>
      </c>
      <c r="I428" s="77" t="str">
        <f t="shared" si="67"/>
        <v/>
      </c>
      <c r="J428" s="113"/>
      <c r="K428" s="113"/>
      <c r="L428" s="113"/>
      <c r="M428" s="81"/>
      <c r="O428" s="72" t="str">
        <f t="shared" si="68"/>
        <v/>
      </c>
      <c r="P428" s="72" t="str">
        <f t="shared" si="69"/>
        <v/>
      </c>
      <c r="Q428" s="72" t="str">
        <f t="shared" si="71"/>
        <v>11</v>
      </c>
      <c r="R428" s="72" t="str">
        <f t="shared" si="70"/>
        <v/>
      </c>
    </row>
    <row r="429" spans="5:18">
      <c r="E429" s="82"/>
      <c r="F429" s="77" t="str">
        <f t="shared" si="72"/>
        <v/>
      </c>
      <c r="G429" s="114"/>
      <c r="H429" s="77" t="str">
        <f t="shared" si="66"/>
        <v/>
      </c>
      <c r="I429" s="77" t="str">
        <f t="shared" si="67"/>
        <v/>
      </c>
      <c r="J429" s="113"/>
      <c r="K429" s="113"/>
      <c r="L429" s="113"/>
      <c r="M429" s="81"/>
      <c r="O429" s="72" t="str">
        <f t="shared" si="68"/>
        <v/>
      </c>
      <c r="P429" s="72" t="str">
        <f t="shared" si="69"/>
        <v/>
      </c>
      <c r="Q429" s="72" t="str">
        <f t="shared" si="71"/>
        <v>11</v>
      </c>
      <c r="R429" s="72" t="str">
        <f t="shared" si="70"/>
        <v/>
      </c>
    </row>
    <row r="430" spans="5:18">
      <c r="E430" s="82"/>
      <c r="F430" s="77" t="str">
        <f t="shared" si="72"/>
        <v/>
      </c>
      <c r="G430" s="114"/>
      <c r="H430" s="77" t="str">
        <f t="shared" si="66"/>
        <v/>
      </c>
      <c r="I430" s="77" t="str">
        <f t="shared" si="67"/>
        <v/>
      </c>
      <c r="J430" s="113"/>
      <c r="K430" s="113"/>
      <c r="L430" s="113"/>
      <c r="M430" s="81"/>
      <c r="O430" s="72" t="str">
        <f t="shared" si="68"/>
        <v/>
      </c>
      <c r="P430" s="72" t="str">
        <f t="shared" si="69"/>
        <v/>
      </c>
      <c r="Q430" s="72" t="str">
        <f t="shared" si="71"/>
        <v>11</v>
      </c>
      <c r="R430" s="72" t="str">
        <f t="shared" si="70"/>
        <v/>
      </c>
    </row>
    <row r="431" spans="5:18">
      <c r="E431" s="82"/>
      <c r="F431" s="77" t="str">
        <f t="shared" si="72"/>
        <v/>
      </c>
      <c r="G431" s="114"/>
      <c r="H431" s="77" t="str">
        <f t="shared" si="66"/>
        <v/>
      </c>
      <c r="I431" s="77" t="str">
        <f t="shared" si="67"/>
        <v/>
      </c>
      <c r="J431" s="113"/>
      <c r="K431" s="113"/>
      <c r="L431" s="113"/>
      <c r="M431" s="81"/>
      <c r="O431" s="72" t="str">
        <f t="shared" si="68"/>
        <v/>
      </c>
      <c r="P431" s="72" t="str">
        <f t="shared" si="69"/>
        <v/>
      </c>
      <c r="Q431" s="72" t="str">
        <f t="shared" si="71"/>
        <v>11</v>
      </c>
      <c r="R431" s="72" t="str">
        <f t="shared" si="70"/>
        <v/>
      </c>
    </row>
    <row r="432" spans="5:18">
      <c r="E432" s="82"/>
      <c r="F432" s="77" t="str">
        <f t="shared" si="72"/>
        <v/>
      </c>
      <c r="G432" s="114"/>
      <c r="H432" s="77" t="str">
        <f t="shared" si="66"/>
        <v/>
      </c>
      <c r="I432" s="77" t="str">
        <f t="shared" si="67"/>
        <v/>
      </c>
      <c r="J432" s="113"/>
      <c r="K432" s="113"/>
      <c r="L432" s="113"/>
      <c r="M432" s="81"/>
      <c r="O432" s="72" t="str">
        <f t="shared" si="68"/>
        <v/>
      </c>
      <c r="P432" s="72" t="str">
        <f t="shared" si="69"/>
        <v/>
      </c>
      <c r="Q432" s="72" t="str">
        <f t="shared" ref="Q432:Q440" si="73">LEFT(C52,3)</f>
        <v>11</v>
      </c>
      <c r="R432" s="72" t="str">
        <f t="shared" si="70"/>
        <v/>
      </c>
    </row>
    <row r="433" spans="5:18">
      <c r="E433" s="82"/>
      <c r="F433" s="77" t="str">
        <f t="shared" si="72"/>
        <v/>
      </c>
      <c r="G433" s="114"/>
      <c r="H433" s="77" t="str">
        <f t="shared" si="66"/>
        <v/>
      </c>
      <c r="I433" s="77" t="str">
        <f t="shared" si="67"/>
        <v/>
      </c>
      <c r="J433" s="113"/>
      <c r="K433" s="113"/>
      <c r="L433" s="113"/>
      <c r="M433" s="81"/>
      <c r="O433" s="72" t="str">
        <f t="shared" si="68"/>
        <v/>
      </c>
      <c r="P433" s="72" t="str">
        <f t="shared" si="69"/>
        <v/>
      </c>
      <c r="Q433" s="72" t="str">
        <f t="shared" si="73"/>
        <v>11</v>
      </c>
      <c r="R433" s="72" t="str">
        <f t="shared" si="70"/>
        <v/>
      </c>
    </row>
    <row r="434" spans="5:18">
      <c r="E434" s="82"/>
      <c r="F434" s="77" t="str">
        <f t="shared" si="72"/>
        <v/>
      </c>
      <c r="G434" s="114"/>
      <c r="H434" s="77" t="str">
        <f t="shared" si="66"/>
        <v/>
      </c>
      <c r="I434" s="77" t="str">
        <f t="shared" si="67"/>
        <v/>
      </c>
      <c r="J434" s="113"/>
      <c r="K434" s="113"/>
      <c r="L434" s="113"/>
      <c r="M434" s="81"/>
      <c r="O434" s="72" t="str">
        <f t="shared" si="68"/>
        <v/>
      </c>
      <c r="P434" s="72" t="str">
        <f t="shared" si="69"/>
        <v/>
      </c>
      <c r="Q434" s="72" t="str">
        <f t="shared" si="73"/>
        <v>11</v>
      </c>
      <c r="R434" s="72" t="str">
        <f t="shared" si="70"/>
        <v/>
      </c>
    </row>
    <row r="435" spans="5:18">
      <c r="E435" s="82"/>
      <c r="F435" s="77" t="str">
        <f t="shared" si="72"/>
        <v/>
      </c>
      <c r="G435" s="114"/>
      <c r="H435" s="77" t="str">
        <f t="shared" si="66"/>
        <v/>
      </c>
      <c r="I435" s="77" t="str">
        <f t="shared" si="67"/>
        <v/>
      </c>
      <c r="J435" s="113"/>
      <c r="K435" s="113"/>
      <c r="L435" s="113"/>
      <c r="M435" s="81"/>
      <c r="O435" s="72" t="str">
        <f t="shared" si="68"/>
        <v/>
      </c>
      <c r="P435" s="72" t="str">
        <f t="shared" si="69"/>
        <v/>
      </c>
      <c r="Q435" s="72" t="str">
        <f t="shared" si="73"/>
        <v>11</v>
      </c>
      <c r="R435" s="72" t="str">
        <f t="shared" si="70"/>
        <v/>
      </c>
    </row>
    <row r="436" spans="5:18">
      <c r="E436" s="82"/>
      <c r="F436" s="77" t="str">
        <f t="shared" si="72"/>
        <v/>
      </c>
      <c r="G436" s="114"/>
      <c r="H436" s="77" t="str">
        <f t="shared" si="66"/>
        <v/>
      </c>
      <c r="I436" s="77" t="str">
        <f t="shared" si="67"/>
        <v/>
      </c>
      <c r="J436" s="113"/>
      <c r="K436" s="113"/>
      <c r="L436" s="113"/>
      <c r="M436" s="81"/>
      <c r="O436" s="72" t="str">
        <f t="shared" si="68"/>
        <v/>
      </c>
      <c r="P436" s="72" t="str">
        <f t="shared" si="69"/>
        <v/>
      </c>
      <c r="Q436" s="72" t="str">
        <f t="shared" si="73"/>
        <v>11</v>
      </c>
      <c r="R436" s="72" t="str">
        <f t="shared" si="70"/>
        <v/>
      </c>
    </row>
    <row r="437" spans="5:18">
      <c r="E437" s="82"/>
      <c r="F437" s="77" t="str">
        <f t="shared" si="72"/>
        <v/>
      </c>
      <c r="G437" s="114"/>
      <c r="H437" s="77" t="str">
        <f t="shared" si="66"/>
        <v/>
      </c>
      <c r="I437" s="77" t="str">
        <f t="shared" si="67"/>
        <v/>
      </c>
      <c r="J437" s="113"/>
      <c r="K437" s="113"/>
      <c r="L437" s="113"/>
      <c r="M437" s="81"/>
      <c r="O437" s="72" t="str">
        <f t="shared" si="68"/>
        <v/>
      </c>
      <c r="P437" s="72" t="str">
        <f t="shared" si="69"/>
        <v/>
      </c>
      <c r="Q437" s="72" t="str">
        <f t="shared" si="73"/>
        <v>31</v>
      </c>
      <c r="R437" s="72" t="str">
        <f t="shared" si="70"/>
        <v/>
      </c>
    </row>
    <row r="438" spans="5:18">
      <c r="E438" s="82"/>
      <c r="F438" s="77" t="str">
        <f t="shared" si="72"/>
        <v/>
      </c>
      <c r="G438" s="114"/>
      <c r="H438" s="77" t="str">
        <f t="shared" si="66"/>
        <v/>
      </c>
      <c r="I438" s="77" t="str">
        <f t="shared" si="67"/>
        <v/>
      </c>
      <c r="J438" s="113"/>
      <c r="K438" s="113"/>
      <c r="L438" s="113"/>
      <c r="M438" s="81"/>
      <c r="O438" s="72" t="str">
        <f t="shared" si="68"/>
        <v/>
      </c>
      <c r="P438" s="72" t="str">
        <f t="shared" si="69"/>
        <v/>
      </c>
      <c r="Q438" s="72" t="str">
        <f t="shared" si="73"/>
        <v>31</v>
      </c>
      <c r="R438" s="72" t="str">
        <f t="shared" si="70"/>
        <v/>
      </c>
    </row>
    <row r="439" spans="5:18">
      <c r="E439" s="82"/>
      <c r="F439" s="77" t="str">
        <f t="shared" si="72"/>
        <v/>
      </c>
      <c r="G439" s="114"/>
      <c r="H439" s="77" t="str">
        <f t="shared" si="66"/>
        <v/>
      </c>
      <c r="I439" s="77" t="str">
        <f t="shared" si="67"/>
        <v/>
      </c>
      <c r="J439" s="113"/>
      <c r="K439" s="113"/>
      <c r="L439" s="113"/>
      <c r="M439" s="81"/>
      <c r="O439" s="72" t="str">
        <f t="shared" si="68"/>
        <v/>
      </c>
      <c r="P439" s="72" t="str">
        <f t="shared" si="69"/>
        <v/>
      </c>
      <c r="Q439" s="72" t="str">
        <f t="shared" si="73"/>
        <v>31</v>
      </c>
      <c r="R439" s="72" t="str">
        <f t="shared" si="70"/>
        <v/>
      </c>
    </row>
    <row r="440" spans="5:18">
      <c r="E440" s="82"/>
      <c r="F440" s="77" t="str">
        <f t="shared" si="72"/>
        <v/>
      </c>
      <c r="G440" s="114"/>
      <c r="H440" s="77" t="str">
        <f t="shared" si="66"/>
        <v/>
      </c>
      <c r="I440" s="77" t="str">
        <f t="shared" si="67"/>
        <v/>
      </c>
      <c r="J440" s="113"/>
      <c r="K440" s="113"/>
      <c r="L440" s="113"/>
      <c r="M440" s="81"/>
      <c r="O440" s="72" t="str">
        <f t="shared" si="68"/>
        <v/>
      </c>
      <c r="P440" s="72" t="str">
        <f t="shared" si="69"/>
        <v/>
      </c>
      <c r="Q440" s="72" t="str">
        <f t="shared" si="73"/>
        <v>31</v>
      </c>
      <c r="R440" s="72" t="str">
        <f t="shared" si="70"/>
        <v/>
      </c>
    </row>
    <row r="441" spans="5:18">
      <c r="E441" s="82"/>
      <c r="F441" s="77" t="str">
        <f t="shared" si="72"/>
        <v/>
      </c>
      <c r="G441" s="114"/>
      <c r="H441" s="77" t="str">
        <f t="shared" si="66"/>
        <v/>
      </c>
      <c r="I441" s="77" t="str">
        <f t="shared" si="67"/>
        <v/>
      </c>
      <c r="J441" s="113"/>
      <c r="K441" s="113"/>
      <c r="L441" s="113"/>
      <c r="M441" s="81"/>
      <c r="O441" s="72" t="str">
        <f t="shared" si="68"/>
        <v/>
      </c>
      <c r="P441" s="72" t="str">
        <f t="shared" si="69"/>
        <v/>
      </c>
      <c r="Q441" s="72" t="str">
        <f t="shared" ref="Q441:Q475" si="74">LEFT(C62,3)</f>
        <v>31</v>
      </c>
      <c r="R441" s="72" t="str">
        <f t="shared" si="70"/>
        <v/>
      </c>
    </row>
    <row r="442" spans="5:18">
      <c r="E442" s="82"/>
      <c r="F442" s="77" t="str">
        <f t="shared" si="72"/>
        <v/>
      </c>
      <c r="G442" s="114"/>
      <c r="H442" s="77" t="str">
        <f t="shared" si="66"/>
        <v/>
      </c>
      <c r="I442" s="77" t="str">
        <f t="shared" si="67"/>
        <v/>
      </c>
      <c r="J442" s="113"/>
      <c r="K442" s="113"/>
      <c r="L442" s="113"/>
      <c r="M442" s="81"/>
      <c r="O442" s="72" t="str">
        <f t="shared" si="68"/>
        <v/>
      </c>
      <c r="P442" s="72" t="str">
        <f t="shared" si="69"/>
        <v/>
      </c>
      <c r="Q442" s="72" t="str">
        <f t="shared" si="74"/>
        <v>31</v>
      </c>
      <c r="R442" s="72" t="str">
        <f t="shared" si="70"/>
        <v/>
      </c>
    </row>
    <row r="443" spans="5:18">
      <c r="E443" s="82"/>
      <c r="F443" s="77" t="str">
        <f t="shared" si="72"/>
        <v/>
      </c>
      <c r="G443" s="114"/>
      <c r="H443" s="77" t="str">
        <f t="shared" si="66"/>
        <v/>
      </c>
      <c r="I443" s="77" t="str">
        <f t="shared" si="67"/>
        <v/>
      </c>
      <c r="J443" s="113"/>
      <c r="K443" s="113"/>
      <c r="L443" s="113"/>
      <c r="M443" s="81"/>
      <c r="O443" s="72" t="str">
        <f t="shared" si="68"/>
        <v/>
      </c>
      <c r="P443" s="72" t="str">
        <f t="shared" si="69"/>
        <v/>
      </c>
      <c r="Q443" s="72" t="str">
        <f t="shared" si="74"/>
        <v>31</v>
      </c>
      <c r="R443" s="72" t="str">
        <f t="shared" si="70"/>
        <v/>
      </c>
    </row>
    <row r="444" spans="5:18">
      <c r="E444" s="82"/>
      <c r="F444" s="77" t="str">
        <f t="shared" si="72"/>
        <v/>
      </c>
      <c r="G444" s="114"/>
      <c r="H444" s="77" t="str">
        <f t="shared" si="66"/>
        <v/>
      </c>
      <c r="I444" s="77" t="str">
        <f t="shared" si="67"/>
        <v/>
      </c>
      <c r="J444" s="113"/>
      <c r="K444" s="113"/>
      <c r="L444" s="113"/>
      <c r="M444" s="81"/>
      <c r="O444" s="72" t="str">
        <f t="shared" si="68"/>
        <v/>
      </c>
      <c r="P444" s="72" t="str">
        <f t="shared" si="69"/>
        <v/>
      </c>
      <c r="Q444" s="72" t="str">
        <f t="shared" si="74"/>
        <v>31</v>
      </c>
      <c r="R444" s="72" t="str">
        <f t="shared" si="70"/>
        <v/>
      </c>
    </row>
    <row r="445" spans="5:18">
      <c r="E445" s="82"/>
      <c r="F445" s="77" t="str">
        <f t="shared" si="72"/>
        <v/>
      </c>
      <c r="G445" s="114"/>
      <c r="H445" s="77" t="str">
        <f t="shared" si="66"/>
        <v/>
      </c>
      <c r="I445" s="77" t="str">
        <f t="shared" si="67"/>
        <v/>
      </c>
      <c r="J445" s="113"/>
      <c r="K445" s="113"/>
      <c r="L445" s="113"/>
      <c r="M445" s="81"/>
      <c r="O445" s="72" t="str">
        <f t="shared" si="68"/>
        <v/>
      </c>
      <c r="P445" s="72" t="str">
        <f t="shared" si="69"/>
        <v/>
      </c>
      <c r="Q445" s="72" t="str">
        <f t="shared" si="74"/>
        <v>31</v>
      </c>
      <c r="R445" s="72" t="str">
        <f t="shared" si="70"/>
        <v/>
      </c>
    </row>
    <row r="446" spans="5:18">
      <c r="E446" s="82"/>
      <c r="F446" s="77" t="str">
        <f t="shared" si="72"/>
        <v/>
      </c>
      <c r="G446" s="114"/>
      <c r="H446" s="77" t="str">
        <f t="shared" si="66"/>
        <v/>
      </c>
      <c r="I446" s="77" t="str">
        <f t="shared" si="67"/>
        <v/>
      </c>
      <c r="J446" s="113"/>
      <c r="K446" s="113"/>
      <c r="L446" s="113"/>
      <c r="M446" s="81"/>
      <c r="O446" s="72" t="str">
        <f t="shared" si="68"/>
        <v/>
      </c>
      <c r="P446" s="72" t="str">
        <f t="shared" si="69"/>
        <v/>
      </c>
      <c r="Q446" s="72" t="str">
        <f t="shared" si="74"/>
        <v>43</v>
      </c>
      <c r="R446" s="72" t="str">
        <f t="shared" si="70"/>
        <v/>
      </c>
    </row>
    <row r="447" spans="5:18">
      <c r="E447" s="82"/>
      <c r="F447" s="77" t="str">
        <f t="shared" si="72"/>
        <v/>
      </c>
      <c r="G447" s="114"/>
      <c r="H447" s="77" t="str">
        <f t="shared" si="66"/>
        <v/>
      </c>
      <c r="I447" s="77" t="str">
        <f t="shared" si="67"/>
        <v/>
      </c>
      <c r="J447" s="113"/>
      <c r="K447" s="113"/>
      <c r="L447" s="113"/>
      <c r="M447" s="81"/>
      <c r="O447" s="72" t="str">
        <f t="shared" si="68"/>
        <v/>
      </c>
      <c r="P447" s="72" t="str">
        <f t="shared" si="69"/>
        <v/>
      </c>
      <c r="Q447" s="72" t="str">
        <f t="shared" si="74"/>
        <v>43</v>
      </c>
      <c r="R447" s="72" t="str">
        <f t="shared" si="70"/>
        <v/>
      </c>
    </row>
    <row r="448" spans="5:18">
      <c r="E448" s="82"/>
      <c r="F448" s="77" t="str">
        <f t="shared" si="72"/>
        <v/>
      </c>
      <c r="G448" s="114"/>
      <c r="H448" s="77" t="str">
        <f t="shared" si="66"/>
        <v/>
      </c>
      <c r="I448" s="77" t="str">
        <f t="shared" si="67"/>
        <v/>
      </c>
      <c r="J448" s="113"/>
      <c r="K448" s="113"/>
      <c r="L448" s="113"/>
      <c r="M448" s="81"/>
      <c r="O448" s="72" t="str">
        <f t="shared" si="68"/>
        <v/>
      </c>
      <c r="P448" s="72" t="str">
        <f t="shared" si="69"/>
        <v/>
      </c>
      <c r="Q448" s="72" t="str">
        <f t="shared" si="74"/>
        <v>43</v>
      </c>
      <c r="R448" s="72" t="str">
        <f t="shared" si="70"/>
        <v/>
      </c>
    </row>
    <row r="449" spans="5:18">
      <c r="E449" s="82"/>
      <c r="F449" s="77" t="str">
        <f t="shared" si="72"/>
        <v/>
      </c>
      <c r="G449" s="114"/>
      <c r="H449" s="77" t="str">
        <f t="shared" si="66"/>
        <v/>
      </c>
      <c r="I449" s="77" t="str">
        <f t="shared" si="67"/>
        <v/>
      </c>
      <c r="J449" s="113"/>
      <c r="K449" s="113"/>
      <c r="L449" s="113"/>
      <c r="M449" s="81"/>
      <c r="O449" s="72" t="str">
        <f t="shared" si="68"/>
        <v/>
      </c>
      <c r="P449" s="72" t="str">
        <f t="shared" si="69"/>
        <v/>
      </c>
      <c r="Q449" s="72" t="str">
        <f t="shared" si="74"/>
        <v>43</v>
      </c>
      <c r="R449" s="72" t="str">
        <f t="shared" si="70"/>
        <v/>
      </c>
    </row>
    <row r="450" spans="5:18">
      <c r="E450" s="82"/>
      <c r="F450" s="77" t="str">
        <f t="shared" si="72"/>
        <v/>
      </c>
      <c r="G450" s="114"/>
      <c r="H450" s="77" t="str">
        <f t="shared" si="66"/>
        <v/>
      </c>
      <c r="I450" s="77" t="str">
        <f t="shared" si="67"/>
        <v/>
      </c>
      <c r="J450" s="113"/>
      <c r="K450" s="113"/>
      <c r="L450" s="113"/>
      <c r="M450" s="81"/>
      <c r="O450" s="72" t="str">
        <f t="shared" si="68"/>
        <v/>
      </c>
      <c r="P450" s="72" t="str">
        <f t="shared" si="69"/>
        <v/>
      </c>
      <c r="Q450" s="72" t="str">
        <f t="shared" si="74"/>
        <v>43</v>
      </c>
      <c r="R450" s="72" t="str">
        <f t="shared" si="70"/>
        <v/>
      </c>
    </row>
    <row r="451" spans="5:18">
      <c r="E451" s="82"/>
      <c r="F451" s="77" t="str">
        <f t="shared" si="72"/>
        <v/>
      </c>
      <c r="G451" s="114"/>
      <c r="H451" s="77" t="str">
        <f t="shared" ref="H451:H511" si="75">IFERROR(VLOOKUP(G451,$AB$6:$AC$337,2,FALSE),"")</f>
        <v/>
      </c>
      <c r="I451" s="77" t="str">
        <f t="shared" ref="I451:I511" si="76">IFERROR(VLOOKUP(G451,$AB$6:$AF$337,3,FALSE),"")</f>
        <v/>
      </c>
      <c r="J451" s="113"/>
      <c r="K451" s="113"/>
      <c r="L451" s="113"/>
      <c r="M451" s="81"/>
      <c r="O451" s="72" t="str">
        <f t="shared" si="68"/>
        <v/>
      </c>
      <c r="P451" s="72" t="str">
        <f t="shared" si="69"/>
        <v/>
      </c>
      <c r="Q451" s="72" t="str">
        <f t="shared" si="74"/>
        <v>43</v>
      </c>
      <c r="R451" s="72" t="str">
        <f t="shared" si="70"/>
        <v/>
      </c>
    </row>
    <row r="452" spans="5:18">
      <c r="E452" s="82"/>
      <c r="F452" s="77" t="str">
        <f t="shared" si="72"/>
        <v/>
      </c>
      <c r="G452" s="114"/>
      <c r="H452" s="77" t="str">
        <f t="shared" si="75"/>
        <v/>
      </c>
      <c r="I452" s="77" t="str">
        <f t="shared" si="76"/>
        <v/>
      </c>
      <c r="J452" s="113"/>
      <c r="K452" s="113"/>
      <c r="L452" s="113"/>
      <c r="M452" s="81"/>
      <c r="O452" s="72" t="str">
        <f t="shared" si="68"/>
        <v/>
      </c>
      <c r="P452" s="72" t="str">
        <f t="shared" si="69"/>
        <v/>
      </c>
      <c r="Q452" s="72" t="str">
        <f t="shared" si="74"/>
        <v>43</v>
      </c>
      <c r="R452" s="72" t="str">
        <f t="shared" si="70"/>
        <v/>
      </c>
    </row>
    <row r="453" spans="5:18">
      <c r="E453" s="82"/>
      <c r="F453" s="77" t="str">
        <f t="shared" si="72"/>
        <v/>
      </c>
      <c r="G453" s="114"/>
      <c r="H453" s="77" t="str">
        <f t="shared" si="75"/>
        <v/>
      </c>
      <c r="I453" s="77" t="str">
        <f t="shared" si="76"/>
        <v/>
      </c>
      <c r="J453" s="113"/>
      <c r="K453" s="113"/>
      <c r="L453" s="113"/>
      <c r="M453" s="81"/>
      <c r="O453" s="72" t="str">
        <f t="shared" si="68"/>
        <v/>
      </c>
      <c r="P453" s="72" t="str">
        <f t="shared" si="69"/>
        <v/>
      </c>
      <c r="Q453" s="72" t="str">
        <f t="shared" si="74"/>
        <v>43</v>
      </c>
      <c r="R453" s="72" t="str">
        <f t="shared" si="70"/>
        <v/>
      </c>
    </row>
    <row r="454" spans="5:18">
      <c r="E454" s="82"/>
      <c r="F454" s="77" t="str">
        <f t="shared" si="72"/>
        <v/>
      </c>
      <c r="G454" s="114"/>
      <c r="H454" s="77" t="str">
        <f t="shared" si="75"/>
        <v/>
      </c>
      <c r="I454" s="77" t="str">
        <f t="shared" si="76"/>
        <v/>
      </c>
      <c r="J454" s="113"/>
      <c r="K454" s="113"/>
      <c r="L454" s="113"/>
      <c r="M454" s="81"/>
      <c r="O454" s="72" t="str">
        <f t="shared" si="68"/>
        <v/>
      </c>
      <c r="P454" s="72" t="str">
        <f t="shared" si="69"/>
        <v/>
      </c>
      <c r="Q454" s="72" t="str">
        <f t="shared" si="74"/>
        <v>43</v>
      </c>
      <c r="R454" s="72" t="str">
        <f t="shared" si="70"/>
        <v/>
      </c>
    </row>
    <row r="455" spans="5:18">
      <c r="E455" s="82"/>
      <c r="F455" s="77" t="str">
        <f t="shared" si="72"/>
        <v/>
      </c>
      <c r="G455" s="114"/>
      <c r="H455" s="77" t="str">
        <f t="shared" si="75"/>
        <v/>
      </c>
      <c r="I455" s="77" t="str">
        <f t="shared" si="76"/>
        <v/>
      </c>
      <c r="J455" s="113"/>
      <c r="K455" s="113"/>
      <c r="L455" s="113"/>
      <c r="M455" s="81"/>
      <c r="O455" s="72" t="str">
        <f t="shared" si="68"/>
        <v/>
      </c>
      <c r="P455" s="72" t="str">
        <f t="shared" si="69"/>
        <v/>
      </c>
      <c r="Q455" s="72" t="str">
        <f t="shared" si="74"/>
        <v>43</v>
      </c>
      <c r="R455" s="72" t="str">
        <f t="shared" si="70"/>
        <v/>
      </c>
    </row>
    <row r="456" spans="5:18">
      <c r="E456" s="82"/>
      <c r="F456" s="77" t="str">
        <f t="shared" si="72"/>
        <v/>
      </c>
      <c r="G456" s="114"/>
      <c r="H456" s="77" t="str">
        <f t="shared" si="75"/>
        <v/>
      </c>
      <c r="I456" s="77" t="str">
        <f t="shared" si="76"/>
        <v/>
      </c>
      <c r="J456" s="113"/>
      <c r="K456" s="113"/>
      <c r="L456" s="113"/>
      <c r="M456" s="81"/>
      <c r="O456" s="72" t="str">
        <f t="shared" si="68"/>
        <v/>
      </c>
      <c r="P456" s="72" t="str">
        <f t="shared" si="69"/>
        <v/>
      </c>
      <c r="Q456" s="72" t="str">
        <f t="shared" si="74"/>
        <v>43</v>
      </c>
      <c r="R456" s="72" t="str">
        <f t="shared" si="70"/>
        <v/>
      </c>
    </row>
    <row r="457" spans="5:18">
      <c r="E457" s="82"/>
      <c r="F457" s="77" t="str">
        <f t="shared" si="72"/>
        <v/>
      </c>
      <c r="G457" s="114"/>
      <c r="H457" s="77" t="str">
        <f t="shared" si="75"/>
        <v/>
      </c>
      <c r="I457" s="77" t="str">
        <f t="shared" si="76"/>
        <v/>
      </c>
      <c r="J457" s="113"/>
      <c r="K457" s="113"/>
      <c r="L457" s="113"/>
      <c r="M457" s="81"/>
      <c r="O457" s="72" t="str">
        <f t="shared" si="68"/>
        <v/>
      </c>
      <c r="P457" s="72" t="str">
        <f t="shared" si="69"/>
        <v/>
      </c>
      <c r="Q457" s="72" t="str">
        <f t="shared" si="74"/>
        <v>43</v>
      </c>
      <c r="R457" s="72" t="str">
        <f t="shared" si="70"/>
        <v/>
      </c>
    </row>
    <row r="458" spans="5:18">
      <c r="E458" s="82"/>
      <c r="F458" s="77" t="str">
        <f t="shared" si="72"/>
        <v/>
      </c>
      <c r="G458" s="114"/>
      <c r="H458" s="77" t="str">
        <f t="shared" si="75"/>
        <v/>
      </c>
      <c r="I458" s="77" t="str">
        <f t="shared" si="76"/>
        <v/>
      </c>
      <c r="J458" s="113"/>
      <c r="K458" s="113"/>
      <c r="L458" s="113"/>
      <c r="M458" s="81"/>
      <c r="O458" s="72" t="str">
        <f t="shared" si="68"/>
        <v/>
      </c>
      <c r="P458" s="72" t="str">
        <f t="shared" si="69"/>
        <v/>
      </c>
      <c r="Q458" s="72" t="str">
        <f t="shared" si="74"/>
        <v>43</v>
      </c>
      <c r="R458" s="72" t="str">
        <f t="shared" si="70"/>
        <v/>
      </c>
    </row>
    <row r="459" spans="5:18">
      <c r="E459" s="82"/>
      <c r="F459" s="77" t="str">
        <f t="shared" si="72"/>
        <v/>
      </c>
      <c r="G459" s="114"/>
      <c r="H459" s="77" t="str">
        <f t="shared" si="75"/>
        <v/>
      </c>
      <c r="I459" s="77" t="str">
        <f t="shared" si="76"/>
        <v/>
      </c>
      <c r="J459" s="113"/>
      <c r="K459" s="113"/>
      <c r="L459" s="113"/>
      <c r="M459" s="81"/>
      <c r="O459" s="72" t="str">
        <f t="shared" si="68"/>
        <v/>
      </c>
      <c r="P459" s="72" t="str">
        <f t="shared" si="69"/>
        <v/>
      </c>
      <c r="Q459" s="72" t="str">
        <f t="shared" si="74"/>
        <v>43</v>
      </c>
      <c r="R459" s="72" t="str">
        <f t="shared" si="70"/>
        <v/>
      </c>
    </row>
    <row r="460" spans="5:18">
      <c r="E460" s="82"/>
      <c r="F460" s="77" t="str">
        <f t="shared" si="72"/>
        <v/>
      </c>
      <c r="G460" s="114"/>
      <c r="H460" s="77" t="str">
        <f t="shared" si="75"/>
        <v/>
      </c>
      <c r="I460" s="77" t="str">
        <f t="shared" si="76"/>
        <v/>
      </c>
      <c r="J460" s="113"/>
      <c r="K460" s="113"/>
      <c r="L460" s="113"/>
      <c r="M460" s="81"/>
      <c r="O460" s="72" t="str">
        <f t="shared" si="68"/>
        <v/>
      </c>
      <c r="P460" s="72" t="str">
        <f t="shared" si="69"/>
        <v/>
      </c>
      <c r="Q460" s="72" t="str">
        <f t="shared" si="74"/>
        <v>43</v>
      </c>
      <c r="R460" s="72" t="str">
        <f t="shared" si="70"/>
        <v/>
      </c>
    </row>
    <row r="461" spans="5:18">
      <c r="E461" s="82"/>
      <c r="F461" s="77" t="str">
        <f t="shared" si="72"/>
        <v/>
      </c>
      <c r="G461" s="114"/>
      <c r="H461" s="77" t="str">
        <f t="shared" si="75"/>
        <v/>
      </c>
      <c r="I461" s="77" t="str">
        <f t="shared" si="76"/>
        <v/>
      </c>
      <c r="J461" s="113"/>
      <c r="K461" s="113"/>
      <c r="L461" s="113"/>
      <c r="M461" s="81"/>
      <c r="O461" s="72" t="str">
        <f t="shared" si="68"/>
        <v/>
      </c>
      <c r="P461" s="72" t="str">
        <f t="shared" si="69"/>
        <v/>
      </c>
      <c r="Q461" s="72" t="str">
        <f t="shared" si="74"/>
        <v>43</v>
      </c>
      <c r="R461" s="72" t="str">
        <f t="shared" si="70"/>
        <v/>
      </c>
    </row>
    <row r="462" spans="5:18">
      <c r="E462" s="82"/>
      <c r="F462" s="77" t="str">
        <f t="shared" si="72"/>
        <v/>
      </c>
      <c r="G462" s="114"/>
      <c r="H462" s="77" t="str">
        <f t="shared" si="75"/>
        <v/>
      </c>
      <c r="I462" s="77" t="str">
        <f t="shared" si="76"/>
        <v/>
      </c>
      <c r="J462" s="113"/>
      <c r="K462" s="113"/>
      <c r="L462" s="113"/>
      <c r="M462" s="81"/>
      <c r="O462" s="72" t="str">
        <f t="shared" ref="O462:O511" si="77">LEFT(E462,3)</f>
        <v/>
      </c>
      <c r="P462" s="72" t="str">
        <f t="shared" ref="P462:P511" si="78">LEFT(E462,2)</f>
        <v/>
      </c>
      <c r="Q462" s="72" t="str">
        <f t="shared" si="74"/>
        <v>43</v>
      </c>
      <c r="R462" s="72" t="str">
        <f t="shared" ref="R462:R511" si="79">MID(I462,2,2)</f>
        <v/>
      </c>
    </row>
    <row r="463" spans="5:18">
      <c r="E463" s="82"/>
      <c r="F463" s="77" t="str">
        <f t="shared" si="72"/>
        <v/>
      </c>
      <c r="G463" s="114"/>
      <c r="H463" s="77" t="str">
        <f t="shared" si="75"/>
        <v/>
      </c>
      <c r="I463" s="77" t="str">
        <f t="shared" si="76"/>
        <v/>
      </c>
      <c r="J463" s="113"/>
      <c r="K463" s="113"/>
      <c r="L463" s="113"/>
      <c r="M463" s="81"/>
      <c r="O463" s="72" t="str">
        <f t="shared" si="77"/>
        <v/>
      </c>
      <c r="P463" s="72" t="str">
        <f t="shared" si="78"/>
        <v/>
      </c>
      <c r="Q463" s="72" t="str">
        <f t="shared" si="74"/>
        <v>43</v>
      </c>
      <c r="R463" s="72" t="str">
        <f t="shared" si="79"/>
        <v/>
      </c>
    </row>
    <row r="464" spans="5:18">
      <c r="E464" s="82"/>
      <c r="F464" s="77" t="str">
        <f t="shared" si="72"/>
        <v/>
      </c>
      <c r="G464" s="114"/>
      <c r="H464" s="77" t="str">
        <f t="shared" si="75"/>
        <v/>
      </c>
      <c r="I464" s="77" t="str">
        <f t="shared" si="76"/>
        <v/>
      </c>
      <c r="J464" s="113"/>
      <c r="K464" s="113"/>
      <c r="L464" s="113"/>
      <c r="M464" s="81"/>
      <c r="O464" s="72" t="str">
        <f t="shared" si="77"/>
        <v/>
      </c>
      <c r="P464" s="72" t="str">
        <f t="shared" si="78"/>
        <v/>
      </c>
      <c r="Q464" s="72" t="str">
        <f t="shared" si="74"/>
        <v>43</v>
      </c>
      <c r="R464" s="72" t="str">
        <f t="shared" si="79"/>
        <v/>
      </c>
    </row>
    <row r="465" spans="5:18">
      <c r="E465" s="82"/>
      <c r="F465" s="77" t="str">
        <f t="shared" si="72"/>
        <v/>
      </c>
      <c r="G465" s="114"/>
      <c r="H465" s="77" t="str">
        <f t="shared" si="75"/>
        <v/>
      </c>
      <c r="I465" s="77" t="str">
        <f t="shared" si="76"/>
        <v/>
      </c>
      <c r="J465" s="113"/>
      <c r="K465" s="113"/>
      <c r="L465" s="113"/>
      <c r="M465" s="81"/>
      <c r="O465" s="72" t="str">
        <f t="shared" si="77"/>
        <v/>
      </c>
      <c r="P465" s="72" t="str">
        <f t="shared" si="78"/>
        <v/>
      </c>
      <c r="Q465" s="72" t="str">
        <f t="shared" si="74"/>
        <v>43</v>
      </c>
      <c r="R465" s="72" t="str">
        <f t="shared" si="79"/>
        <v/>
      </c>
    </row>
    <row r="466" spans="5:18">
      <c r="E466" s="82"/>
      <c r="F466" s="77" t="str">
        <f t="shared" si="72"/>
        <v/>
      </c>
      <c r="G466" s="114"/>
      <c r="H466" s="77" t="str">
        <f t="shared" si="75"/>
        <v/>
      </c>
      <c r="I466" s="77" t="str">
        <f t="shared" si="76"/>
        <v/>
      </c>
      <c r="J466" s="113"/>
      <c r="K466" s="113"/>
      <c r="L466" s="113"/>
      <c r="M466" s="81"/>
      <c r="O466" s="72" t="str">
        <f t="shared" si="77"/>
        <v/>
      </c>
      <c r="P466" s="72" t="str">
        <f t="shared" si="78"/>
        <v/>
      </c>
      <c r="Q466" s="72" t="str">
        <f t="shared" si="74"/>
        <v>43</v>
      </c>
      <c r="R466" s="72" t="str">
        <f t="shared" si="79"/>
        <v/>
      </c>
    </row>
    <row r="467" spans="5:18">
      <c r="E467" s="82"/>
      <c r="F467" s="77" t="str">
        <f t="shared" si="72"/>
        <v/>
      </c>
      <c r="G467" s="114"/>
      <c r="H467" s="77" t="str">
        <f t="shared" si="75"/>
        <v/>
      </c>
      <c r="I467" s="77" t="str">
        <f t="shared" si="76"/>
        <v/>
      </c>
      <c r="J467" s="113"/>
      <c r="K467" s="113"/>
      <c r="L467" s="113"/>
      <c r="M467" s="81"/>
      <c r="O467" s="72" t="str">
        <f t="shared" si="77"/>
        <v/>
      </c>
      <c r="P467" s="72" t="str">
        <f t="shared" si="78"/>
        <v/>
      </c>
      <c r="Q467" s="72" t="str">
        <f t="shared" si="74"/>
        <v>43</v>
      </c>
      <c r="R467" s="72" t="str">
        <f t="shared" si="79"/>
        <v/>
      </c>
    </row>
    <row r="468" spans="5:18">
      <c r="E468" s="82"/>
      <c r="F468" s="77" t="str">
        <f t="shared" si="72"/>
        <v/>
      </c>
      <c r="G468" s="114"/>
      <c r="H468" s="77" t="str">
        <f t="shared" si="75"/>
        <v/>
      </c>
      <c r="I468" s="77" t="str">
        <f t="shared" si="76"/>
        <v/>
      </c>
      <c r="J468" s="113"/>
      <c r="K468" s="113"/>
      <c r="L468" s="113"/>
      <c r="M468" s="81"/>
      <c r="O468" s="72" t="str">
        <f t="shared" si="77"/>
        <v/>
      </c>
      <c r="P468" s="72" t="str">
        <f t="shared" si="78"/>
        <v/>
      </c>
      <c r="Q468" s="72" t="str">
        <f t="shared" si="74"/>
        <v>43</v>
      </c>
      <c r="R468" s="72" t="str">
        <f t="shared" si="79"/>
        <v/>
      </c>
    </row>
    <row r="469" spans="5:18">
      <c r="E469" s="82"/>
      <c r="F469" s="77" t="str">
        <f t="shared" si="72"/>
        <v/>
      </c>
      <c r="G469" s="114"/>
      <c r="H469" s="77" t="str">
        <f t="shared" si="75"/>
        <v/>
      </c>
      <c r="I469" s="77" t="str">
        <f t="shared" si="76"/>
        <v/>
      </c>
      <c r="J469" s="113"/>
      <c r="K469" s="113"/>
      <c r="L469" s="113"/>
      <c r="M469" s="81"/>
      <c r="O469" s="72" t="str">
        <f t="shared" si="77"/>
        <v/>
      </c>
      <c r="P469" s="72" t="str">
        <f t="shared" si="78"/>
        <v/>
      </c>
      <c r="Q469" s="72" t="str">
        <f t="shared" si="74"/>
        <v>43</v>
      </c>
      <c r="R469" s="72" t="str">
        <f t="shared" si="79"/>
        <v/>
      </c>
    </row>
    <row r="470" spans="5:18">
      <c r="E470" s="82"/>
      <c r="F470" s="77" t="str">
        <f t="shared" si="72"/>
        <v/>
      </c>
      <c r="G470" s="114"/>
      <c r="H470" s="77" t="str">
        <f t="shared" si="75"/>
        <v/>
      </c>
      <c r="I470" s="77" t="str">
        <f t="shared" si="76"/>
        <v/>
      </c>
      <c r="J470" s="113"/>
      <c r="K470" s="113"/>
      <c r="L470" s="113"/>
      <c r="M470" s="81"/>
      <c r="O470" s="72" t="str">
        <f t="shared" si="77"/>
        <v/>
      </c>
      <c r="P470" s="72" t="str">
        <f t="shared" si="78"/>
        <v/>
      </c>
      <c r="Q470" s="72" t="str">
        <f t="shared" si="74"/>
        <v>43</v>
      </c>
      <c r="R470" s="72" t="str">
        <f t="shared" si="79"/>
        <v/>
      </c>
    </row>
    <row r="471" spans="5:18">
      <c r="E471" s="82"/>
      <c r="F471" s="77" t="str">
        <f t="shared" si="72"/>
        <v/>
      </c>
      <c r="G471" s="114"/>
      <c r="H471" s="77" t="str">
        <f t="shared" si="75"/>
        <v/>
      </c>
      <c r="I471" s="77" t="str">
        <f t="shared" si="76"/>
        <v/>
      </c>
      <c r="J471" s="113"/>
      <c r="K471" s="113"/>
      <c r="L471" s="113"/>
      <c r="M471" s="81"/>
      <c r="O471" s="72" t="str">
        <f t="shared" si="77"/>
        <v/>
      </c>
      <c r="P471" s="72" t="str">
        <f t="shared" si="78"/>
        <v/>
      </c>
      <c r="Q471" s="72" t="str">
        <f t="shared" si="74"/>
        <v>43</v>
      </c>
      <c r="R471" s="72" t="str">
        <f t="shared" si="79"/>
        <v/>
      </c>
    </row>
    <row r="472" spans="5:18">
      <c r="E472" s="82"/>
      <c r="F472" s="77" t="str">
        <f t="shared" si="72"/>
        <v/>
      </c>
      <c r="G472" s="114"/>
      <c r="H472" s="77" t="str">
        <f t="shared" si="75"/>
        <v/>
      </c>
      <c r="I472" s="77" t="str">
        <f t="shared" si="76"/>
        <v/>
      </c>
      <c r="J472" s="113"/>
      <c r="K472" s="113"/>
      <c r="L472" s="113"/>
      <c r="M472" s="81"/>
      <c r="O472" s="72" t="str">
        <f t="shared" si="77"/>
        <v/>
      </c>
      <c r="P472" s="72" t="str">
        <f t="shared" si="78"/>
        <v/>
      </c>
      <c r="Q472" s="72" t="str">
        <f t="shared" si="74"/>
        <v>43</v>
      </c>
      <c r="R472" s="72" t="str">
        <f t="shared" si="79"/>
        <v/>
      </c>
    </row>
    <row r="473" spans="5:18">
      <c r="E473" s="82"/>
      <c r="F473" s="77" t="str">
        <f t="shared" si="72"/>
        <v/>
      </c>
      <c r="G473" s="114"/>
      <c r="H473" s="77" t="str">
        <f t="shared" si="75"/>
        <v/>
      </c>
      <c r="I473" s="77" t="str">
        <f t="shared" si="76"/>
        <v/>
      </c>
      <c r="J473" s="113"/>
      <c r="K473" s="113"/>
      <c r="L473" s="113"/>
      <c r="M473" s="81"/>
      <c r="O473" s="72" t="str">
        <f t="shared" si="77"/>
        <v/>
      </c>
      <c r="P473" s="72" t="str">
        <f t="shared" si="78"/>
        <v/>
      </c>
      <c r="Q473" s="72" t="str">
        <f t="shared" si="74"/>
        <v>43</v>
      </c>
      <c r="R473" s="72" t="str">
        <f t="shared" si="79"/>
        <v/>
      </c>
    </row>
    <row r="474" spans="5:18">
      <c r="E474" s="82"/>
      <c r="F474" s="77" t="str">
        <f t="shared" si="72"/>
        <v/>
      </c>
      <c r="G474" s="114"/>
      <c r="H474" s="77" t="str">
        <f t="shared" si="75"/>
        <v/>
      </c>
      <c r="I474" s="77" t="str">
        <f t="shared" si="76"/>
        <v/>
      </c>
      <c r="J474" s="113"/>
      <c r="K474" s="113"/>
      <c r="L474" s="113"/>
      <c r="M474" s="81"/>
      <c r="O474" s="72" t="str">
        <f t="shared" si="77"/>
        <v/>
      </c>
      <c r="P474" s="72" t="str">
        <f t="shared" si="78"/>
        <v/>
      </c>
      <c r="Q474" s="72" t="str">
        <f t="shared" si="74"/>
        <v>43</v>
      </c>
      <c r="R474" s="72" t="str">
        <f t="shared" si="79"/>
        <v/>
      </c>
    </row>
    <row r="475" spans="5:18">
      <c r="E475" s="82"/>
      <c r="F475" s="77" t="str">
        <f t="shared" si="72"/>
        <v/>
      </c>
      <c r="G475" s="114"/>
      <c r="H475" s="77" t="str">
        <f t="shared" si="75"/>
        <v/>
      </c>
      <c r="I475" s="77" t="str">
        <f t="shared" si="76"/>
        <v/>
      </c>
      <c r="J475" s="113"/>
      <c r="K475" s="113"/>
      <c r="L475" s="113"/>
      <c r="M475" s="81"/>
      <c r="O475" s="72" t="str">
        <f t="shared" si="77"/>
        <v/>
      </c>
      <c r="P475" s="72" t="str">
        <f t="shared" si="78"/>
        <v/>
      </c>
      <c r="Q475" s="72" t="str">
        <f t="shared" si="74"/>
        <v>43</v>
      </c>
      <c r="R475" s="72" t="str">
        <f t="shared" si="79"/>
        <v/>
      </c>
    </row>
    <row r="476" spans="5:18">
      <c r="E476" s="82"/>
      <c r="F476" s="77" t="str">
        <f t="shared" si="72"/>
        <v/>
      </c>
      <c r="G476" s="114"/>
      <c r="H476" s="77" t="str">
        <f t="shared" si="75"/>
        <v/>
      </c>
      <c r="I476" s="77" t="str">
        <f t="shared" si="76"/>
        <v/>
      </c>
      <c r="J476" s="113"/>
      <c r="K476" s="113"/>
      <c r="L476" s="113"/>
      <c r="M476" s="81"/>
      <c r="O476" s="72" t="str">
        <f t="shared" si="77"/>
        <v/>
      </c>
      <c r="P476" s="72" t="str">
        <f t="shared" si="78"/>
        <v/>
      </c>
      <c r="Q476" s="72" t="str">
        <f t="shared" ref="Q476:Q482" si="80">LEFT(C98,3)</f>
        <v>43</v>
      </c>
      <c r="R476" s="72" t="str">
        <f t="shared" si="79"/>
        <v/>
      </c>
    </row>
    <row r="477" spans="5:18">
      <c r="E477" s="82"/>
      <c r="F477" s="77" t="str">
        <f t="shared" si="72"/>
        <v/>
      </c>
      <c r="G477" s="114"/>
      <c r="H477" s="77" t="str">
        <f t="shared" si="75"/>
        <v/>
      </c>
      <c r="I477" s="77" t="str">
        <f t="shared" si="76"/>
        <v/>
      </c>
      <c r="J477" s="113"/>
      <c r="K477" s="113"/>
      <c r="L477" s="113"/>
      <c r="M477" s="81"/>
      <c r="O477" s="72" t="str">
        <f t="shared" si="77"/>
        <v/>
      </c>
      <c r="P477" s="72" t="str">
        <f t="shared" si="78"/>
        <v/>
      </c>
      <c r="Q477" s="72" t="str">
        <f t="shared" si="80"/>
        <v>43</v>
      </c>
      <c r="R477" s="72" t="str">
        <f t="shared" si="79"/>
        <v/>
      </c>
    </row>
    <row r="478" spans="5:18">
      <c r="E478" s="82"/>
      <c r="F478" s="77" t="str">
        <f t="shared" si="72"/>
        <v/>
      </c>
      <c r="G478" s="114"/>
      <c r="H478" s="77" t="str">
        <f t="shared" si="75"/>
        <v/>
      </c>
      <c r="I478" s="77" t="str">
        <f t="shared" si="76"/>
        <v/>
      </c>
      <c r="J478" s="113"/>
      <c r="K478" s="113"/>
      <c r="L478" s="113"/>
      <c r="M478" s="81"/>
      <c r="O478" s="72" t="str">
        <f t="shared" si="77"/>
        <v/>
      </c>
      <c r="P478" s="72" t="str">
        <f t="shared" si="78"/>
        <v/>
      </c>
      <c r="Q478" s="72" t="str">
        <f t="shared" si="80"/>
        <v>43</v>
      </c>
      <c r="R478" s="72" t="str">
        <f t="shared" si="79"/>
        <v/>
      </c>
    </row>
    <row r="479" spans="5:18">
      <c r="E479" s="82"/>
      <c r="F479" s="77" t="str">
        <f t="shared" si="72"/>
        <v/>
      </c>
      <c r="G479" s="114"/>
      <c r="H479" s="77" t="str">
        <f t="shared" si="75"/>
        <v/>
      </c>
      <c r="I479" s="77" t="str">
        <f t="shared" si="76"/>
        <v/>
      </c>
      <c r="J479" s="113"/>
      <c r="K479" s="113"/>
      <c r="L479" s="113"/>
      <c r="M479" s="81"/>
      <c r="O479" s="72" t="str">
        <f t="shared" si="77"/>
        <v/>
      </c>
      <c r="P479" s="72" t="str">
        <f t="shared" si="78"/>
        <v/>
      </c>
      <c r="Q479" s="72" t="str">
        <f t="shared" si="80"/>
        <v>43</v>
      </c>
      <c r="R479" s="72" t="str">
        <f t="shared" si="79"/>
        <v/>
      </c>
    </row>
    <row r="480" spans="5:18">
      <c r="E480" s="82"/>
      <c r="F480" s="77" t="str">
        <f t="shared" si="72"/>
        <v/>
      </c>
      <c r="G480" s="114"/>
      <c r="H480" s="77" t="str">
        <f t="shared" si="75"/>
        <v/>
      </c>
      <c r="I480" s="77" t="str">
        <f t="shared" si="76"/>
        <v/>
      </c>
      <c r="J480" s="113"/>
      <c r="K480" s="113"/>
      <c r="L480" s="113"/>
      <c r="M480" s="81"/>
      <c r="O480" s="72" t="str">
        <f t="shared" si="77"/>
        <v/>
      </c>
      <c r="P480" s="72" t="str">
        <f t="shared" si="78"/>
        <v/>
      </c>
      <c r="Q480" s="72" t="str">
        <f t="shared" si="80"/>
        <v>43</v>
      </c>
      <c r="R480" s="72" t="str">
        <f t="shared" si="79"/>
        <v/>
      </c>
    </row>
    <row r="481" spans="5:18">
      <c r="E481" s="82"/>
      <c r="F481" s="77" t="str">
        <f t="shared" si="72"/>
        <v/>
      </c>
      <c r="G481" s="114"/>
      <c r="H481" s="77" t="str">
        <f t="shared" si="75"/>
        <v/>
      </c>
      <c r="I481" s="77" t="str">
        <f t="shared" si="76"/>
        <v/>
      </c>
      <c r="J481" s="113"/>
      <c r="K481" s="113"/>
      <c r="L481" s="113"/>
      <c r="M481" s="81"/>
      <c r="O481" s="72" t="str">
        <f t="shared" si="77"/>
        <v/>
      </c>
      <c r="P481" s="72" t="str">
        <f t="shared" si="78"/>
        <v/>
      </c>
      <c r="Q481" s="72" t="str">
        <f t="shared" si="80"/>
        <v>43</v>
      </c>
      <c r="R481" s="72" t="str">
        <f t="shared" si="79"/>
        <v/>
      </c>
    </row>
    <row r="482" spans="5:18">
      <c r="E482" s="82"/>
      <c r="F482" s="77" t="str">
        <f t="shared" si="72"/>
        <v/>
      </c>
      <c r="G482" s="114"/>
      <c r="H482" s="77" t="str">
        <f t="shared" si="75"/>
        <v/>
      </c>
      <c r="I482" s="77" t="str">
        <f t="shared" si="76"/>
        <v/>
      </c>
      <c r="J482" s="113"/>
      <c r="K482" s="113"/>
      <c r="L482" s="113"/>
      <c r="M482" s="81"/>
      <c r="O482" s="72" t="str">
        <f t="shared" si="77"/>
        <v/>
      </c>
      <c r="P482" s="72" t="str">
        <f t="shared" si="78"/>
        <v/>
      </c>
      <c r="Q482" s="72" t="str">
        <f t="shared" si="80"/>
        <v>43</v>
      </c>
      <c r="R482" s="72" t="str">
        <f t="shared" si="79"/>
        <v/>
      </c>
    </row>
    <row r="483" spans="5:18">
      <c r="E483" s="82"/>
      <c r="F483" s="77" t="str">
        <f t="shared" si="72"/>
        <v/>
      </c>
      <c r="G483" s="114"/>
      <c r="H483" s="77" t="str">
        <f t="shared" si="75"/>
        <v/>
      </c>
      <c r="I483" s="77" t="str">
        <f t="shared" si="76"/>
        <v/>
      </c>
      <c r="J483" s="113"/>
      <c r="K483" s="113"/>
      <c r="L483" s="113"/>
      <c r="M483" s="81"/>
      <c r="O483" s="72" t="str">
        <f t="shared" si="77"/>
        <v/>
      </c>
      <c r="P483" s="72" t="str">
        <f t="shared" si="78"/>
        <v/>
      </c>
      <c r="Q483" s="72" t="str">
        <f t="shared" ref="Q483:Q488" si="81">LEFT(C105,3)</f>
        <v>52</v>
      </c>
      <c r="R483" s="72" t="str">
        <f t="shared" si="79"/>
        <v/>
      </c>
    </row>
    <row r="484" spans="5:18">
      <c r="E484" s="82"/>
      <c r="F484" s="77" t="str">
        <f t="shared" si="72"/>
        <v/>
      </c>
      <c r="G484" s="114"/>
      <c r="H484" s="77" t="str">
        <f t="shared" si="75"/>
        <v/>
      </c>
      <c r="I484" s="77" t="str">
        <f t="shared" si="76"/>
        <v/>
      </c>
      <c r="J484" s="113"/>
      <c r="K484" s="113"/>
      <c r="L484" s="113"/>
      <c r="M484" s="81"/>
      <c r="O484" s="72" t="str">
        <f t="shared" si="77"/>
        <v/>
      </c>
      <c r="P484" s="72" t="str">
        <f t="shared" si="78"/>
        <v/>
      </c>
      <c r="Q484" s="72" t="str">
        <f t="shared" si="81"/>
        <v>52</v>
      </c>
      <c r="R484" s="72" t="str">
        <f t="shared" si="79"/>
        <v/>
      </c>
    </row>
    <row r="485" spans="5:18">
      <c r="E485" s="82"/>
      <c r="F485" s="77" t="str">
        <f t="shared" si="72"/>
        <v/>
      </c>
      <c r="G485" s="114"/>
      <c r="H485" s="77" t="str">
        <f t="shared" si="75"/>
        <v/>
      </c>
      <c r="I485" s="77" t="str">
        <f t="shared" si="76"/>
        <v/>
      </c>
      <c r="J485" s="113"/>
      <c r="K485" s="113"/>
      <c r="L485" s="113"/>
      <c r="M485" s="81"/>
      <c r="O485" s="72" t="str">
        <f t="shared" si="77"/>
        <v/>
      </c>
      <c r="P485" s="72" t="str">
        <f t="shared" si="78"/>
        <v/>
      </c>
      <c r="Q485" s="72" t="str">
        <f t="shared" si="81"/>
        <v>52</v>
      </c>
      <c r="R485" s="72" t="str">
        <f t="shared" si="79"/>
        <v/>
      </c>
    </row>
    <row r="486" spans="5:18">
      <c r="E486" s="82"/>
      <c r="F486" s="77" t="str">
        <f t="shared" ref="F486:F511" si="82">IFERROR(VLOOKUP(E486,$V$5:$X$139,2,FALSE),"")</f>
        <v/>
      </c>
      <c r="G486" s="114"/>
      <c r="H486" s="77" t="str">
        <f t="shared" si="75"/>
        <v/>
      </c>
      <c r="I486" s="77" t="str">
        <f t="shared" si="76"/>
        <v/>
      </c>
      <c r="J486" s="113"/>
      <c r="K486" s="113"/>
      <c r="L486" s="113"/>
      <c r="M486" s="81"/>
      <c r="O486" s="72" t="str">
        <f t="shared" si="77"/>
        <v/>
      </c>
      <c r="P486" s="72" t="str">
        <f t="shared" si="78"/>
        <v/>
      </c>
      <c r="Q486" s="72" t="str">
        <f t="shared" si="81"/>
        <v>52</v>
      </c>
      <c r="R486" s="72" t="str">
        <f t="shared" si="79"/>
        <v/>
      </c>
    </row>
    <row r="487" spans="5:18">
      <c r="E487" s="82"/>
      <c r="F487" s="77" t="str">
        <f t="shared" si="82"/>
        <v/>
      </c>
      <c r="G487" s="114"/>
      <c r="H487" s="77" t="str">
        <f t="shared" si="75"/>
        <v/>
      </c>
      <c r="I487" s="77" t="str">
        <f t="shared" si="76"/>
        <v/>
      </c>
      <c r="J487" s="113"/>
      <c r="K487" s="113"/>
      <c r="L487" s="113"/>
      <c r="M487" s="81"/>
      <c r="O487" s="72" t="str">
        <f t="shared" si="77"/>
        <v/>
      </c>
      <c r="P487" s="72" t="str">
        <f t="shared" si="78"/>
        <v/>
      </c>
      <c r="Q487" s="72" t="str">
        <f t="shared" si="81"/>
        <v>52</v>
      </c>
      <c r="R487" s="72" t="str">
        <f t="shared" si="79"/>
        <v/>
      </c>
    </row>
    <row r="488" spans="5:18">
      <c r="E488" s="82"/>
      <c r="F488" s="77" t="str">
        <f t="shared" si="82"/>
        <v/>
      </c>
      <c r="G488" s="114"/>
      <c r="H488" s="77" t="str">
        <f t="shared" si="75"/>
        <v/>
      </c>
      <c r="I488" s="77" t="str">
        <f t="shared" si="76"/>
        <v/>
      </c>
      <c r="J488" s="113"/>
      <c r="K488" s="113"/>
      <c r="L488" s="113"/>
      <c r="M488" s="81"/>
      <c r="O488" s="72" t="str">
        <f t="shared" si="77"/>
        <v/>
      </c>
      <c r="P488" s="72" t="str">
        <f t="shared" si="78"/>
        <v/>
      </c>
      <c r="Q488" s="72" t="str">
        <f t="shared" si="81"/>
        <v>52</v>
      </c>
      <c r="R488" s="72" t="str">
        <f t="shared" si="79"/>
        <v/>
      </c>
    </row>
    <row r="489" spans="5:18">
      <c r="E489" s="82"/>
      <c r="F489" s="77" t="str">
        <f t="shared" si="82"/>
        <v/>
      </c>
      <c r="G489" s="114"/>
      <c r="H489" s="77" t="str">
        <f t="shared" si="75"/>
        <v/>
      </c>
      <c r="I489" s="77" t="str">
        <f t="shared" si="76"/>
        <v/>
      </c>
      <c r="J489" s="113"/>
      <c r="K489" s="113"/>
      <c r="L489" s="113"/>
      <c r="M489" s="81"/>
      <c r="O489" s="72" t="str">
        <f t="shared" si="77"/>
        <v/>
      </c>
      <c r="P489" s="72" t="str">
        <f t="shared" si="78"/>
        <v/>
      </c>
      <c r="Q489" s="72" t="str">
        <f>LEFT(C112,3)</f>
        <v>52</v>
      </c>
      <c r="R489" s="72" t="str">
        <f t="shared" si="79"/>
        <v/>
      </c>
    </row>
    <row r="490" spans="5:18">
      <c r="E490" s="82"/>
      <c r="F490" s="77" t="str">
        <f t="shared" si="82"/>
        <v/>
      </c>
      <c r="G490" s="114"/>
      <c r="H490" s="77" t="str">
        <f t="shared" si="75"/>
        <v/>
      </c>
      <c r="I490" s="77" t="str">
        <f t="shared" si="76"/>
        <v/>
      </c>
      <c r="J490" s="113"/>
      <c r="K490" s="113"/>
      <c r="L490" s="113"/>
      <c r="M490" s="81"/>
      <c r="O490" s="72" t="str">
        <f t="shared" si="77"/>
        <v/>
      </c>
      <c r="P490" s="72" t="str">
        <f t="shared" si="78"/>
        <v/>
      </c>
      <c r="Q490" s="72" t="str">
        <f>LEFT(C113,3)</f>
        <v>52</v>
      </c>
      <c r="R490" s="72" t="str">
        <f t="shared" si="79"/>
        <v/>
      </c>
    </row>
    <row r="491" spans="5:18">
      <c r="E491" s="82"/>
      <c r="F491" s="77" t="str">
        <f t="shared" si="82"/>
        <v/>
      </c>
      <c r="G491" s="114"/>
      <c r="H491" s="77" t="str">
        <f t="shared" si="75"/>
        <v/>
      </c>
      <c r="I491" s="77" t="str">
        <f t="shared" si="76"/>
        <v/>
      </c>
      <c r="J491" s="113"/>
      <c r="K491" s="113"/>
      <c r="L491" s="113"/>
      <c r="M491" s="81"/>
      <c r="O491" s="72" t="str">
        <f t="shared" si="77"/>
        <v/>
      </c>
      <c r="P491" s="72" t="str">
        <f t="shared" si="78"/>
        <v/>
      </c>
      <c r="Q491" s="72" t="str">
        <f t="shared" ref="Q491:Q499" si="83">LEFT(C119,3)</f>
        <v>52</v>
      </c>
      <c r="R491" s="72" t="str">
        <f t="shared" si="79"/>
        <v/>
      </c>
    </row>
    <row r="492" spans="5:18">
      <c r="E492" s="82"/>
      <c r="F492" s="77" t="str">
        <f t="shared" si="82"/>
        <v/>
      </c>
      <c r="G492" s="114"/>
      <c r="H492" s="77" t="str">
        <f t="shared" si="75"/>
        <v/>
      </c>
      <c r="I492" s="77" t="str">
        <f t="shared" si="76"/>
        <v/>
      </c>
      <c r="J492" s="113"/>
      <c r="K492" s="113"/>
      <c r="L492" s="113"/>
      <c r="M492" s="81"/>
      <c r="O492" s="72" t="str">
        <f t="shared" si="77"/>
        <v/>
      </c>
      <c r="P492" s="72" t="str">
        <f t="shared" si="78"/>
        <v/>
      </c>
      <c r="Q492" s="72" t="str">
        <f t="shared" si="83"/>
        <v>52</v>
      </c>
      <c r="R492" s="72" t="str">
        <f t="shared" si="79"/>
        <v/>
      </c>
    </row>
    <row r="493" spans="5:18">
      <c r="E493" s="82"/>
      <c r="F493" s="77" t="str">
        <f t="shared" si="82"/>
        <v/>
      </c>
      <c r="G493" s="114"/>
      <c r="H493" s="77" t="str">
        <f t="shared" si="75"/>
        <v/>
      </c>
      <c r="I493" s="77" t="str">
        <f t="shared" si="76"/>
        <v/>
      </c>
      <c r="J493" s="113"/>
      <c r="K493" s="113"/>
      <c r="L493" s="113"/>
      <c r="M493" s="81"/>
      <c r="O493" s="72" t="str">
        <f t="shared" si="77"/>
        <v/>
      </c>
      <c r="P493" s="72" t="str">
        <f t="shared" si="78"/>
        <v/>
      </c>
      <c r="Q493" s="72" t="str">
        <f t="shared" si="83"/>
        <v>11</v>
      </c>
      <c r="R493" s="72" t="str">
        <f t="shared" si="79"/>
        <v/>
      </c>
    </row>
    <row r="494" spans="5:18">
      <c r="E494" s="82"/>
      <c r="F494" s="77" t="str">
        <f t="shared" si="82"/>
        <v/>
      </c>
      <c r="G494" s="114"/>
      <c r="H494" s="77" t="str">
        <f t="shared" si="75"/>
        <v/>
      </c>
      <c r="I494" s="77" t="str">
        <f t="shared" si="76"/>
        <v/>
      </c>
      <c r="J494" s="113"/>
      <c r="K494" s="113"/>
      <c r="L494" s="113"/>
      <c r="M494" s="81"/>
      <c r="O494" s="72" t="str">
        <f t="shared" si="77"/>
        <v/>
      </c>
      <c r="P494" s="72" t="str">
        <f t="shared" si="78"/>
        <v/>
      </c>
      <c r="Q494" s="72" t="str">
        <f t="shared" si="83"/>
        <v>11</v>
      </c>
      <c r="R494" s="72" t="str">
        <f t="shared" si="79"/>
        <v/>
      </c>
    </row>
    <row r="495" spans="5:18">
      <c r="E495" s="82"/>
      <c r="F495" s="77" t="str">
        <f t="shared" si="82"/>
        <v/>
      </c>
      <c r="G495" s="114"/>
      <c r="H495" s="77" t="str">
        <f t="shared" si="75"/>
        <v/>
      </c>
      <c r="I495" s="77" t="str">
        <f t="shared" si="76"/>
        <v/>
      </c>
      <c r="J495" s="113"/>
      <c r="K495" s="113"/>
      <c r="L495" s="113"/>
      <c r="M495" s="81"/>
      <c r="O495" s="72" t="str">
        <f t="shared" si="77"/>
        <v/>
      </c>
      <c r="P495" s="72" t="str">
        <f t="shared" si="78"/>
        <v/>
      </c>
      <c r="Q495" s="72" t="str">
        <f t="shared" si="83"/>
        <v>11</v>
      </c>
      <c r="R495" s="72" t="str">
        <f t="shared" si="79"/>
        <v/>
      </c>
    </row>
    <row r="496" spans="5:18">
      <c r="E496" s="82"/>
      <c r="F496" s="77" t="str">
        <f t="shared" si="82"/>
        <v/>
      </c>
      <c r="G496" s="114"/>
      <c r="H496" s="77" t="str">
        <f t="shared" si="75"/>
        <v/>
      </c>
      <c r="I496" s="77" t="str">
        <f t="shared" si="76"/>
        <v/>
      </c>
      <c r="J496" s="113"/>
      <c r="K496" s="113"/>
      <c r="L496" s="113"/>
      <c r="M496" s="81"/>
      <c r="O496" s="72" t="str">
        <f t="shared" si="77"/>
        <v/>
      </c>
      <c r="P496" s="72" t="str">
        <f t="shared" si="78"/>
        <v/>
      </c>
      <c r="Q496" s="72" t="str">
        <f t="shared" si="83"/>
        <v>11</v>
      </c>
      <c r="R496" s="72" t="str">
        <f t="shared" si="79"/>
        <v/>
      </c>
    </row>
    <row r="497" spans="1:18">
      <c r="E497" s="82"/>
      <c r="F497" s="77" t="str">
        <f t="shared" si="82"/>
        <v/>
      </c>
      <c r="G497" s="114"/>
      <c r="H497" s="77" t="str">
        <f t="shared" si="75"/>
        <v/>
      </c>
      <c r="I497" s="77" t="str">
        <f t="shared" si="76"/>
        <v/>
      </c>
      <c r="J497" s="113"/>
      <c r="K497" s="113"/>
      <c r="L497" s="113"/>
      <c r="M497" s="81"/>
      <c r="O497" s="72" t="str">
        <f t="shared" si="77"/>
        <v/>
      </c>
      <c r="P497" s="72" t="str">
        <f t="shared" si="78"/>
        <v/>
      </c>
      <c r="Q497" s="72" t="str">
        <f t="shared" si="83"/>
        <v>11</v>
      </c>
      <c r="R497" s="72" t="str">
        <f t="shared" si="79"/>
        <v/>
      </c>
    </row>
    <row r="498" spans="1:18">
      <c r="E498" s="82"/>
      <c r="F498" s="77" t="str">
        <f t="shared" si="82"/>
        <v/>
      </c>
      <c r="G498" s="114"/>
      <c r="H498" s="77" t="str">
        <f t="shared" si="75"/>
        <v/>
      </c>
      <c r="I498" s="77" t="str">
        <f t="shared" si="76"/>
        <v/>
      </c>
      <c r="J498" s="113"/>
      <c r="K498" s="113"/>
      <c r="L498" s="113"/>
      <c r="M498" s="81"/>
      <c r="O498" s="72" t="str">
        <f t="shared" si="77"/>
        <v/>
      </c>
      <c r="P498" s="72" t="str">
        <f t="shared" si="78"/>
        <v/>
      </c>
      <c r="Q498" s="72" t="str">
        <f t="shared" si="83"/>
        <v>11</v>
      </c>
      <c r="R498" s="72" t="str">
        <f t="shared" si="79"/>
        <v/>
      </c>
    </row>
    <row r="499" spans="1:18">
      <c r="E499" s="82"/>
      <c r="F499" s="77" t="str">
        <f t="shared" si="82"/>
        <v/>
      </c>
      <c r="G499" s="114"/>
      <c r="H499" s="77" t="str">
        <f t="shared" si="75"/>
        <v/>
      </c>
      <c r="I499" s="77" t="str">
        <f t="shared" si="76"/>
        <v/>
      </c>
      <c r="J499" s="113"/>
      <c r="K499" s="113"/>
      <c r="L499" s="113"/>
      <c r="M499" s="81"/>
      <c r="O499" s="72" t="str">
        <f t="shared" si="77"/>
        <v/>
      </c>
      <c r="P499" s="72" t="str">
        <f t="shared" si="78"/>
        <v/>
      </c>
      <c r="Q499" s="72" t="str">
        <f t="shared" si="83"/>
        <v>11</v>
      </c>
      <c r="R499" s="72" t="str">
        <f t="shared" si="79"/>
        <v/>
      </c>
    </row>
    <row r="500" spans="1:18">
      <c r="A500" s="76" t="str">
        <f>IF(C500="","",VLOOKUP('OPĆI DIO'!$C$3,'OPĆI DIO'!$L$6:$U$138,10,FALSE))</f>
        <v/>
      </c>
      <c r="B500" s="76" t="str">
        <f>IF(C500="","",VLOOKUP('OPĆI DIO'!$C$3,'OPĆI DIO'!$L$6:$U$138,9,FALSE))</f>
        <v/>
      </c>
      <c r="C500" s="82"/>
      <c r="D500" s="77" t="str">
        <f t="shared" ref="D500:D511" si="84">IFERROR(VLOOKUP(C500,$S$6:$T$24,2,FALSE),"")</f>
        <v/>
      </c>
      <c r="E500" s="82"/>
      <c r="F500" s="77" t="str">
        <f t="shared" si="82"/>
        <v/>
      </c>
      <c r="G500" s="114"/>
      <c r="H500" s="77" t="str">
        <f t="shared" si="75"/>
        <v/>
      </c>
      <c r="I500" s="77" t="str">
        <f t="shared" si="76"/>
        <v/>
      </c>
      <c r="J500" s="113"/>
      <c r="K500" s="113"/>
      <c r="L500" s="113"/>
      <c r="M500" s="81"/>
      <c r="O500" s="72" t="str">
        <f t="shared" si="77"/>
        <v/>
      </c>
      <c r="P500" s="72" t="str">
        <f t="shared" si="78"/>
        <v/>
      </c>
      <c r="Q500" s="72" t="str">
        <f t="shared" ref="Q500:Q511" si="85">LEFT(C500,3)</f>
        <v/>
      </c>
      <c r="R500" s="72" t="str">
        <f t="shared" si="79"/>
        <v/>
      </c>
    </row>
    <row r="501" spans="1:18">
      <c r="A501" s="76" t="str">
        <f>IF(C501="","",VLOOKUP('OPĆI DIO'!$C$3,'OPĆI DIO'!$L$6:$U$138,10,FALSE))</f>
        <v/>
      </c>
      <c r="B501" s="76" t="str">
        <f>IF(C501="","",VLOOKUP('OPĆI DIO'!$C$3,'OPĆI DIO'!$L$6:$U$138,9,FALSE))</f>
        <v/>
      </c>
      <c r="C501" s="82"/>
      <c r="D501" s="77" t="str">
        <f t="shared" si="84"/>
        <v/>
      </c>
      <c r="E501" s="82"/>
      <c r="F501" s="77" t="str">
        <f t="shared" si="82"/>
        <v/>
      </c>
      <c r="G501" s="114"/>
      <c r="H501" s="77" t="str">
        <f t="shared" si="75"/>
        <v/>
      </c>
      <c r="I501" s="77" t="str">
        <f t="shared" si="76"/>
        <v/>
      </c>
      <c r="J501" s="113"/>
      <c r="K501" s="113"/>
      <c r="L501" s="113"/>
      <c r="M501" s="81"/>
      <c r="O501" s="72" t="str">
        <f t="shared" si="77"/>
        <v/>
      </c>
      <c r="P501" s="72" t="str">
        <f t="shared" si="78"/>
        <v/>
      </c>
      <c r="Q501" s="72" t="str">
        <f t="shared" si="85"/>
        <v/>
      </c>
      <c r="R501" s="72" t="str">
        <f t="shared" si="79"/>
        <v/>
      </c>
    </row>
    <row r="502" spans="1:18">
      <c r="A502" s="76" t="str">
        <f>IF(C502="","",VLOOKUP('OPĆI DIO'!$C$3,'OPĆI DIO'!$L$6:$U$138,10,FALSE))</f>
        <v/>
      </c>
      <c r="B502" s="76" t="str">
        <f>IF(C502="","",VLOOKUP('OPĆI DIO'!$C$3,'OPĆI DIO'!$L$6:$U$138,9,FALSE))</f>
        <v/>
      </c>
      <c r="C502" s="82"/>
      <c r="D502" s="77" t="str">
        <f t="shared" si="84"/>
        <v/>
      </c>
      <c r="E502" s="82"/>
      <c r="F502" s="77" t="str">
        <f t="shared" si="82"/>
        <v/>
      </c>
      <c r="G502" s="114"/>
      <c r="H502" s="77" t="str">
        <f t="shared" si="75"/>
        <v/>
      </c>
      <c r="I502" s="77" t="str">
        <f t="shared" si="76"/>
        <v/>
      </c>
      <c r="J502" s="113"/>
      <c r="K502" s="113"/>
      <c r="L502" s="113"/>
      <c r="M502" s="81"/>
      <c r="O502" s="72" t="str">
        <f t="shared" si="77"/>
        <v/>
      </c>
      <c r="P502" s="72" t="str">
        <f t="shared" si="78"/>
        <v/>
      </c>
      <c r="Q502" s="72" t="str">
        <f t="shared" si="85"/>
        <v/>
      </c>
      <c r="R502" s="72" t="str">
        <f t="shared" si="79"/>
        <v/>
      </c>
    </row>
    <row r="503" spans="1:18">
      <c r="A503" s="76" t="str">
        <f>IF(C503="","",VLOOKUP('OPĆI DIO'!$C$3,'OPĆI DIO'!$L$6:$U$138,10,FALSE))</f>
        <v/>
      </c>
      <c r="B503" s="76" t="str">
        <f>IF(C503="","",VLOOKUP('OPĆI DIO'!$C$3,'OPĆI DIO'!$L$6:$U$138,9,FALSE))</f>
        <v/>
      </c>
      <c r="C503" s="82"/>
      <c r="D503" s="77" t="str">
        <f t="shared" si="84"/>
        <v/>
      </c>
      <c r="E503" s="82"/>
      <c r="F503" s="77" t="str">
        <f t="shared" si="82"/>
        <v/>
      </c>
      <c r="G503" s="114"/>
      <c r="H503" s="77" t="str">
        <f t="shared" si="75"/>
        <v/>
      </c>
      <c r="I503" s="77" t="str">
        <f t="shared" si="76"/>
        <v/>
      </c>
      <c r="J503" s="113"/>
      <c r="K503" s="113"/>
      <c r="L503" s="113"/>
      <c r="M503" s="81"/>
      <c r="O503" s="72" t="str">
        <f t="shared" si="77"/>
        <v/>
      </c>
      <c r="P503" s="72" t="str">
        <f t="shared" si="78"/>
        <v/>
      </c>
      <c r="Q503" s="72" t="str">
        <f t="shared" si="85"/>
        <v/>
      </c>
      <c r="R503" s="72" t="str">
        <f t="shared" si="79"/>
        <v/>
      </c>
    </row>
    <row r="504" spans="1:18">
      <c r="A504" s="76" t="str">
        <f>IF(C504="","",VLOOKUP('OPĆI DIO'!$C$3,'OPĆI DIO'!$L$6:$U$138,10,FALSE))</f>
        <v/>
      </c>
      <c r="B504" s="76" t="str">
        <f>IF(C504="","",VLOOKUP('OPĆI DIO'!$C$3,'OPĆI DIO'!$L$6:$U$138,9,FALSE))</f>
        <v/>
      </c>
      <c r="C504" s="82"/>
      <c r="D504" s="77" t="str">
        <f t="shared" si="84"/>
        <v/>
      </c>
      <c r="E504" s="82"/>
      <c r="F504" s="77" t="str">
        <f t="shared" si="82"/>
        <v/>
      </c>
      <c r="G504" s="114"/>
      <c r="H504" s="77" t="str">
        <f t="shared" si="75"/>
        <v/>
      </c>
      <c r="I504" s="77" t="str">
        <f t="shared" si="76"/>
        <v/>
      </c>
      <c r="J504" s="113"/>
      <c r="K504" s="113"/>
      <c r="L504" s="113"/>
      <c r="M504" s="81"/>
      <c r="O504" s="72" t="str">
        <f t="shared" si="77"/>
        <v/>
      </c>
      <c r="P504" s="72" t="str">
        <f t="shared" si="78"/>
        <v/>
      </c>
      <c r="Q504" s="72" t="str">
        <f t="shared" si="85"/>
        <v/>
      </c>
      <c r="R504" s="72" t="str">
        <f t="shared" si="79"/>
        <v/>
      </c>
    </row>
    <row r="505" spans="1:18">
      <c r="A505" s="76" t="str">
        <f>IF(C505="","",VLOOKUP('OPĆI DIO'!$C$3,'OPĆI DIO'!$L$6:$U$138,10,FALSE))</f>
        <v/>
      </c>
      <c r="B505" s="76" t="str">
        <f>IF(C505="","",VLOOKUP('OPĆI DIO'!$C$3,'OPĆI DIO'!$L$6:$U$138,9,FALSE))</f>
        <v/>
      </c>
      <c r="C505" s="82"/>
      <c r="D505" s="77" t="str">
        <f t="shared" si="84"/>
        <v/>
      </c>
      <c r="E505" s="82"/>
      <c r="F505" s="77" t="str">
        <f t="shared" si="82"/>
        <v/>
      </c>
      <c r="G505" s="114"/>
      <c r="H505" s="77" t="str">
        <f t="shared" si="75"/>
        <v/>
      </c>
      <c r="I505" s="77" t="str">
        <f t="shared" si="76"/>
        <v/>
      </c>
      <c r="J505" s="113"/>
      <c r="K505" s="113"/>
      <c r="L505" s="113"/>
      <c r="M505" s="81"/>
      <c r="O505" s="72" t="str">
        <f t="shared" si="77"/>
        <v/>
      </c>
      <c r="P505" s="72" t="str">
        <f t="shared" si="78"/>
        <v/>
      </c>
      <c r="Q505" s="72" t="str">
        <f t="shared" si="85"/>
        <v/>
      </c>
      <c r="R505" s="72" t="str">
        <f t="shared" si="79"/>
        <v/>
      </c>
    </row>
    <row r="506" spans="1:18">
      <c r="A506" s="76" t="str">
        <f>IF(C506="","",VLOOKUP('OPĆI DIO'!$C$3,'OPĆI DIO'!$L$6:$U$138,10,FALSE))</f>
        <v/>
      </c>
      <c r="B506" s="76" t="str">
        <f>IF(C506="","",VLOOKUP('OPĆI DIO'!$C$3,'OPĆI DIO'!$L$6:$U$138,9,FALSE))</f>
        <v/>
      </c>
      <c r="C506" s="82"/>
      <c r="D506" s="77" t="str">
        <f t="shared" si="84"/>
        <v/>
      </c>
      <c r="E506" s="82"/>
      <c r="F506" s="77" t="str">
        <f t="shared" si="82"/>
        <v/>
      </c>
      <c r="G506" s="114"/>
      <c r="H506" s="77" t="str">
        <f t="shared" si="75"/>
        <v/>
      </c>
      <c r="I506" s="77" t="str">
        <f t="shared" si="76"/>
        <v/>
      </c>
      <c r="J506" s="113"/>
      <c r="K506" s="113"/>
      <c r="L506" s="113"/>
      <c r="M506" s="81"/>
      <c r="O506" s="72" t="str">
        <f t="shared" si="77"/>
        <v/>
      </c>
      <c r="P506" s="72" t="str">
        <f t="shared" si="78"/>
        <v/>
      </c>
      <c r="Q506" s="72" t="str">
        <f t="shared" si="85"/>
        <v/>
      </c>
      <c r="R506" s="72" t="str">
        <f t="shared" si="79"/>
        <v/>
      </c>
    </row>
    <row r="507" spans="1:18">
      <c r="A507" s="76" t="str">
        <f>IF(C507="","",VLOOKUP('OPĆI DIO'!$C$3,'OPĆI DIO'!$L$6:$U$138,10,FALSE))</f>
        <v/>
      </c>
      <c r="B507" s="76" t="str">
        <f>IF(C507="","",VLOOKUP('OPĆI DIO'!$C$3,'OPĆI DIO'!$L$6:$U$138,9,FALSE))</f>
        <v/>
      </c>
      <c r="C507" s="82"/>
      <c r="D507" s="77" t="str">
        <f t="shared" si="84"/>
        <v/>
      </c>
      <c r="E507" s="82"/>
      <c r="F507" s="77" t="str">
        <f t="shared" si="82"/>
        <v/>
      </c>
      <c r="G507" s="114"/>
      <c r="H507" s="77" t="str">
        <f t="shared" si="75"/>
        <v/>
      </c>
      <c r="I507" s="77" t="str">
        <f t="shared" si="76"/>
        <v/>
      </c>
      <c r="J507" s="113"/>
      <c r="K507" s="113"/>
      <c r="L507" s="113"/>
      <c r="M507" s="81"/>
      <c r="O507" s="72" t="str">
        <f t="shared" si="77"/>
        <v/>
      </c>
      <c r="P507" s="72" t="str">
        <f t="shared" si="78"/>
        <v/>
      </c>
      <c r="Q507" s="72" t="str">
        <f t="shared" si="85"/>
        <v/>
      </c>
      <c r="R507" s="72" t="str">
        <f t="shared" si="79"/>
        <v/>
      </c>
    </row>
    <row r="508" spans="1:18">
      <c r="A508" s="76" t="str">
        <f>IF(C508="","",VLOOKUP('OPĆI DIO'!$C$3,'OPĆI DIO'!$L$6:$U$138,10,FALSE))</f>
        <v/>
      </c>
      <c r="B508" s="76" t="str">
        <f>IF(C508="","",VLOOKUP('OPĆI DIO'!$C$3,'OPĆI DIO'!$L$6:$U$138,9,FALSE))</f>
        <v/>
      </c>
      <c r="C508" s="82"/>
      <c r="D508" s="77" t="str">
        <f t="shared" si="84"/>
        <v/>
      </c>
      <c r="E508" s="82"/>
      <c r="F508" s="77" t="str">
        <f t="shared" si="82"/>
        <v/>
      </c>
      <c r="G508" s="114"/>
      <c r="H508" s="77" t="str">
        <f t="shared" si="75"/>
        <v/>
      </c>
      <c r="I508" s="77" t="str">
        <f t="shared" si="76"/>
        <v/>
      </c>
      <c r="J508" s="113"/>
      <c r="K508" s="113"/>
      <c r="L508" s="113"/>
      <c r="M508" s="81"/>
      <c r="O508" s="72" t="str">
        <f t="shared" si="77"/>
        <v/>
      </c>
      <c r="P508" s="72" t="str">
        <f t="shared" si="78"/>
        <v/>
      </c>
      <c r="Q508" s="72" t="str">
        <f t="shared" si="85"/>
        <v/>
      </c>
      <c r="R508" s="72" t="str">
        <f t="shared" si="79"/>
        <v/>
      </c>
    </row>
    <row r="509" spans="1:18">
      <c r="A509" s="76" t="str">
        <f>IF(C509="","",VLOOKUP('OPĆI DIO'!$C$3,'OPĆI DIO'!$L$6:$U$138,10,FALSE))</f>
        <v/>
      </c>
      <c r="B509" s="76" t="str">
        <f>IF(C509="","",VLOOKUP('OPĆI DIO'!$C$3,'OPĆI DIO'!$L$6:$U$138,9,FALSE))</f>
        <v/>
      </c>
      <c r="C509" s="82"/>
      <c r="D509" s="77" t="str">
        <f t="shared" si="84"/>
        <v/>
      </c>
      <c r="E509" s="82"/>
      <c r="F509" s="77" t="str">
        <f t="shared" si="82"/>
        <v/>
      </c>
      <c r="G509" s="114"/>
      <c r="H509" s="77" t="str">
        <f t="shared" si="75"/>
        <v/>
      </c>
      <c r="I509" s="77" t="str">
        <f t="shared" si="76"/>
        <v/>
      </c>
      <c r="J509" s="113"/>
      <c r="K509" s="113"/>
      <c r="L509" s="113"/>
      <c r="M509" s="81"/>
      <c r="O509" s="72" t="str">
        <f t="shared" si="77"/>
        <v/>
      </c>
      <c r="P509" s="72" t="str">
        <f t="shared" si="78"/>
        <v/>
      </c>
      <c r="Q509" s="72" t="str">
        <f t="shared" si="85"/>
        <v/>
      </c>
      <c r="R509" s="72" t="str">
        <f t="shared" si="79"/>
        <v/>
      </c>
    </row>
    <row r="510" spans="1:18">
      <c r="A510" s="76" t="str">
        <f>IF(C510="","",VLOOKUP('OPĆI DIO'!$C$3,'OPĆI DIO'!$L$6:$U$138,10,FALSE))</f>
        <v/>
      </c>
      <c r="B510" s="76" t="str">
        <f>IF(C510="","",VLOOKUP('OPĆI DIO'!$C$3,'OPĆI DIO'!$L$6:$U$138,9,FALSE))</f>
        <v/>
      </c>
      <c r="C510" s="82"/>
      <c r="D510" s="77" t="str">
        <f t="shared" si="84"/>
        <v/>
      </c>
      <c r="E510" s="82"/>
      <c r="F510" s="77" t="str">
        <f t="shared" si="82"/>
        <v/>
      </c>
      <c r="G510" s="114"/>
      <c r="H510" s="77" t="str">
        <f t="shared" si="75"/>
        <v/>
      </c>
      <c r="I510" s="77" t="str">
        <f t="shared" si="76"/>
        <v/>
      </c>
      <c r="J510" s="113"/>
      <c r="K510" s="113"/>
      <c r="L510" s="113"/>
      <c r="M510" s="81"/>
      <c r="O510" s="72" t="str">
        <f t="shared" si="77"/>
        <v/>
      </c>
      <c r="P510" s="72" t="str">
        <f t="shared" si="78"/>
        <v/>
      </c>
      <c r="Q510" s="72" t="str">
        <f t="shared" si="85"/>
        <v/>
      </c>
      <c r="R510" s="72" t="str">
        <f t="shared" si="79"/>
        <v/>
      </c>
    </row>
    <row r="511" spans="1:18">
      <c r="A511" s="76" t="str">
        <f>IF(C511="","",VLOOKUP('OPĆI DIO'!$C$3,'OPĆI DIO'!$L$6:$U$138,10,FALSE))</f>
        <v/>
      </c>
      <c r="B511" s="76" t="str">
        <f>IF(C511="","",VLOOKUP('OPĆI DIO'!$C$3,'OPĆI DIO'!$L$6:$U$138,9,FALSE))</f>
        <v/>
      </c>
      <c r="C511" s="82"/>
      <c r="D511" s="77" t="str">
        <f t="shared" si="84"/>
        <v/>
      </c>
      <c r="E511" s="82"/>
      <c r="F511" s="77" t="str">
        <f t="shared" si="82"/>
        <v/>
      </c>
      <c r="G511" s="114"/>
      <c r="H511" s="77" t="str">
        <f t="shared" si="75"/>
        <v/>
      </c>
      <c r="I511" s="77" t="str">
        <f t="shared" si="76"/>
        <v/>
      </c>
      <c r="J511" s="113"/>
      <c r="K511" s="113"/>
      <c r="L511" s="113"/>
      <c r="M511" s="81"/>
      <c r="O511" s="72" t="str">
        <f t="shared" si="77"/>
        <v/>
      </c>
      <c r="P511" s="72" t="str">
        <f t="shared" si="78"/>
        <v/>
      </c>
      <c r="Q511" s="72" t="str">
        <f t="shared" si="85"/>
        <v/>
      </c>
      <c r="R511" s="72" t="str">
        <f t="shared" si="79"/>
        <v/>
      </c>
    </row>
    <row r="512" spans="1:18">
      <c r="C512" s="82"/>
    </row>
    <row r="513" spans="3:3" hidden="1">
      <c r="C513" s="82"/>
    </row>
    <row r="514" spans="3:3" hidden="1">
      <c r="C514" s="82"/>
    </row>
    <row r="515" spans="3:3" hidden="1">
      <c r="C515" s="82"/>
    </row>
    <row r="516" spans="3:3" hidden="1">
      <c r="C516" s="82"/>
    </row>
    <row r="517" spans="3:3" hidden="1">
      <c r="C517" s="82"/>
    </row>
    <row r="518" spans="3:3" hidden="1">
      <c r="C518" s="82"/>
    </row>
    <row r="519" spans="3:3" hidden="1">
      <c r="C519" s="82"/>
    </row>
    <row r="520" spans="3:3" hidden="1">
      <c r="C520" s="82"/>
    </row>
    <row r="521" spans="3:3" hidden="1">
      <c r="C521" s="82"/>
    </row>
    <row r="522" spans="3:3" hidden="1">
      <c r="C522" s="82"/>
    </row>
    <row r="523" spans="3:3" hidden="1">
      <c r="C523" s="82"/>
    </row>
    <row r="524" spans="3:3" hidden="1">
      <c r="C524" s="82"/>
    </row>
    <row r="525" spans="3:3" hidden="1">
      <c r="C525" s="82"/>
    </row>
    <row r="526" spans="3:3" hidden="1">
      <c r="C526" s="82"/>
    </row>
    <row r="527" spans="3:3" hidden="1">
      <c r="C527" s="82"/>
    </row>
    <row r="528" spans="3:3" hidden="1">
      <c r="C528" s="82"/>
    </row>
    <row r="529" spans="3:3" hidden="1">
      <c r="C529" s="82"/>
    </row>
    <row r="530" spans="3:3" hidden="1">
      <c r="C530" s="82"/>
    </row>
    <row r="531" spans="3:3" hidden="1">
      <c r="C531" s="82"/>
    </row>
    <row r="532" spans="3:3" hidden="1">
      <c r="C532" s="82"/>
    </row>
    <row r="533" spans="3:3" hidden="1">
      <c r="C533" s="82"/>
    </row>
    <row r="534" spans="3:3" hidden="1">
      <c r="C534" s="82"/>
    </row>
    <row r="535" spans="3:3" hidden="1">
      <c r="C535" s="82"/>
    </row>
    <row r="536" spans="3:3" hidden="1">
      <c r="C536" s="82"/>
    </row>
    <row r="537" spans="3:3" hidden="1">
      <c r="C537" s="82"/>
    </row>
    <row r="538" spans="3:3" hidden="1">
      <c r="C538" s="82"/>
    </row>
    <row r="539" spans="3:3" hidden="1">
      <c r="C539" s="82"/>
    </row>
    <row r="540" spans="3:3" hidden="1">
      <c r="C540" s="82"/>
    </row>
    <row r="541" spans="3:3" hidden="1">
      <c r="C541" s="82"/>
    </row>
    <row r="542" spans="3:3" hidden="1">
      <c r="C542" s="82"/>
    </row>
    <row r="543" spans="3:3" hidden="1">
      <c r="C543" s="82"/>
    </row>
    <row r="544" spans="3:3" hidden="1">
      <c r="C544" s="82"/>
    </row>
    <row r="545" spans="3:3" hidden="1">
      <c r="C545" s="82"/>
    </row>
    <row r="546" spans="3:3" hidden="1">
      <c r="C546" s="82"/>
    </row>
    <row r="547" spans="3:3" hidden="1">
      <c r="C547" s="82"/>
    </row>
    <row r="548" spans="3:3" hidden="1">
      <c r="C548" s="82"/>
    </row>
    <row r="549" spans="3:3" hidden="1">
      <c r="C549" s="82"/>
    </row>
    <row r="550" spans="3:3" hidden="1">
      <c r="C550" s="82"/>
    </row>
    <row r="551" spans="3:3" hidden="1">
      <c r="C551" s="82"/>
    </row>
    <row r="552" spans="3:3" hidden="1">
      <c r="C552" s="82"/>
    </row>
    <row r="553" spans="3:3" hidden="1">
      <c r="C553" s="82"/>
    </row>
    <row r="554" spans="3:3" hidden="1">
      <c r="C554" s="82"/>
    </row>
    <row r="555" spans="3:3" hidden="1">
      <c r="C555" s="82"/>
    </row>
    <row r="556" spans="3:3" hidden="1">
      <c r="C556" s="82"/>
    </row>
    <row r="557" spans="3:3" hidden="1">
      <c r="C557" s="82"/>
    </row>
    <row r="558" spans="3:3" hidden="1">
      <c r="C558" s="82"/>
    </row>
    <row r="559" spans="3:3" hidden="1">
      <c r="C559" s="82"/>
    </row>
    <row r="560" spans="3:3" hidden="1">
      <c r="C560" s="82"/>
    </row>
    <row r="561" spans="3:3" hidden="1">
      <c r="C561" s="82"/>
    </row>
    <row r="562" spans="3:3" hidden="1">
      <c r="C562" s="82"/>
    </row>
    <row r="563" spans="3:3" hidden="1">
      <c r="C563" s="82"/>
    </row>
    <row r="564" spans="3:3" hidden="1">
      <c r="C564" s="82"/>
    </row>
    <row r="565" spans="3:3" hidden="1">
      <c r="C565" s="82"/>
    </row>
    <row r="566" spans="3:3" hidden="1">
      <c r="C566" s="82"/>
    </row>
    <row r="567" spans="3:3" hidden="1">
      <c r="C567" s="82"/>
    </row>
    <row r="568" spans="3:3" hidden="1">
      <c r="C568" s="82"/>
    </row>
    <row r="569" spans="3:3" hidden="1">
      <c r="C569" s="82"/>
    </row>
    <row r="570" spans="3:3" hidden="1">
      <c r="C570" s="82"/>
    </row>
    <row r="571" spans="3:3" hidden="1">
      <c r="C571" s="82"/>
    </row>
    <row r="572" spans="3:3" hidden="1">
      <c r="C572" s="82"/>
    </row>
    <row r="573" spans="3:3" hidden="1">
      <c r="C573" s="82"/>
    </row>
    <row r="574" spans="3:3" hidden="1">
      <c r="C574" s="82"/>
    </row>
    <row r="575" spans="3:3" hidden="1">
      <c r="C575" s="82"/>
    </row>
    <row r="576" spans="3:3" hidden="1">
      <c r="C576" s="82"/>
    </row>
    <row r="577" spans="3:3" hidden="1">
      <c r="C577" s="82"/>
    </row>
    <row r="578" spans="3:3" hidden="1">
      <c r="C578" s="82"/>
    </row>
    <row r="579" spans="3:3" hidden="1">
      <c r="C579" s="82"/>
    </row>
    <row r="580" spans="3:3" hidden="1">
      <c r="C580" s="82"/>
    </row>
    <row r="581" spans="3:3" hidden="1">
      <c r="C581" s="82"/>
    </row>
    <row r="582" spans="3:3" hidden="1">
      <c r="C582" s="82"/>
    </row>
    <row r="583" spans="3:3" hidden="1">
      <c r="C583" s="82"/>
    </row>
    <row r="584" spans="3:3" hidden="1">
      <c r="C584" s="82"/>
    </row>
    <row r="585" spans="3:3" hidden="1">
      <c r="C585" s="82"/>
    </row>
    <row r="586" spans="3:3" hidden="1">
      <c r="C586" s="82"/>
    </row>
    <row r="587" spans="3:3" hidden="1">
      <c r="C587" s="82"/>
    </row>
    <row r="588" spans="3:3" hidden="1">
      <c r="C588" s="82"/>
    </row>
    <row r="589" spans="3:3" hidden="1">
      <c r="C589" s="82"/>
    </row>
    <row r="590" spans="3:3" hidden="1">
      <c r="C590" s="82"/>
    </row>
    <row r="591" spans="3:3" hidden="1">
      <c r="C591" s="82"/>
    </row>
    <row r="592" spans="3:3" hidden="1">
      <c r="C592" s="82"/>
    </row>
    <row r="593" spans="3:3" hidden="1">
      <c r="C593" s="82"/>
    </row>
    <row r="594" spans="3:3" hidden="1">
      <c r="C594" s="82"/>
    </row>
    <row r="595" spans="3:3" hidden="1">
      <c r="C595" s="82"/>
    </row>
    <row r="596" spans="3:3" hidden="1">
      <c r="C596" s="82"/>
    </row>
    <row r="597" spans="3:3" hidden="1">
      <c r="C597" s="82"/>
    </row>
    <row r="598" spans="3:3" hidden="1">
      <c r="C598" s="82"/>
    </row>
    <row r="599" spans="3:3" hidden="1">
      <c r="C599" s="82"/>
    </row>
    <row r="600" spans="3:3" hidden="1">
      <c r="C600" s="82"/>
    </row>
    <row r="601" spans="3:3" hidden="1">
      <c r="C601" s="82"/>
    </row>
    <row r="602" spans="3:3" hidden="1">
      <c r="C602" s="82"/>
    </row>
    <row r="603" spans="3:3" hidden="1">
      <c r="C603" s="82"/>
    </row>
    <row r="604" spans="3:3" hidden="1">
      <c r="C604" s="82"/>
    </row>
    <row r="605" spans="3:3" hidden="1">
      <c r="C605" s="82"/>
    </row>
    <row r="606" spans="3:3" hidden="1">
      <c r="C606" s="82"/>
    </row>
    <row r="607" spans="3:3" hidden="1">
      <c r="C607" s="82"/>
    </row>
    <row r="608" spans="3:3" hidden="1">
      <c r="C608" s="82"/>
    </row>
    <row r="609" spans="3:3" hidden="1">
      <c r="C609" s="82"/>
    </row>
    <row r="610" spans="3:3" hidden="1">
      <c r="C610" s="82"/>
    </row>
    <row r="611" spans="3:3" hidden="1">
      <c r="C611" s="82"/>
    </row>
    <row r="612" spans="3:3" hidden="1">
      <c r="C612" s="82"/>
    </row>
    <row r="613" spans="3:3" hidden="1">
      <c r="C613" s="82"/>
    </row>
    <row r="614" spans="3:3" hidden="1">
      <c r="C614" s="82"/>
    </row>
    <row r="615" spans="3:3" hidden="1">
      <c r="C615" s="82"/>
    </row>
    <row r="616" spans="3:3" hidden="1">
      <c r="C616" s="82"/>
    </row>
    <row r="617" spans="3:3" hidden="1">
      <c r="C617" s="82"/>
    </row>
    <row r="618" spans="3:3" hidden="1">
      <c r="C618" s="82"/>
    </row>
    <row r="619" spans="3:3" hidden="1">
      <c r="C619" s="82"/>
    </row>
    <row r="620" spans="3:3" hidden="1">
      <c r="C620" s="82"/>
    </row>
    <row r="621" spans="3:3" hidden="1">
      <c r="C621" s="82"/>
    </row>
    <row r="622" spans="3:3" hidden="1">
      <c r="C622" s="82"/>
    </row>
    <row r="623" spans="3:3"/>
    <row r="624" spans="3:3"/>
    <row r="625"/>
  </sheetData>
  <sheetProtection selectLockedCells="1"/>
  <autoFilter ref="A2:L511" xr:uid="{33720DE1-160A-4621-8F62-5DE8FEAB49C1}"/>
  <sortState ref="AB9:AC74">
    <sortCondition ref="AB6"/>
  </sortState>
  <mergeCells count="1">
    <mergeCell ref="A1:D1"/>
  </mergeCells>
  <conditionalFormatting sqref="M3:M511">
    <cfRule type="expression" dxfId="0" priority="1">
      <formula>IF(OR(E3=3691,E3=3692,E3=3693,E3=3694),1,0)</formula>
    </cfRule>
  </conditionalFormatting>
  <dataValidations xWindow="602" yWindow="345" count="4">
    <dataValidation type="list" allowBlank="1" showInputMessage="1" showErrorMessage="1" errorTitle="GREŠKA" error="Za unos odaberite vrijednost iz padajućeg izbornika!" prompt="Molimo odaberite vrijednost iz padajućeg izbornika!" sqref="C500:C622 C3:C384" xr:uid="{00000000-0002-0000-0200-000002000000}">
      <formula1>$S$6:$S$24</formula1>
    </dataValidation>
    <dataValidation type="whole" allowBlank="1" showInputMessage="1" showErrorMessage="1" errorTitle="GREŠKA" error="U ovo polje je dozvoljen unos samo brojčanih vrijednosti (bez decimala!)" sqref="L3:L511 J3:J51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11" xr:uid="{00000000-0002-0000-0200-000001000000}">
      <formula1>$V$5:$V$139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11" xr:uid="{00000000-0002-0000-0200-000003000000}">
      <formula1>$AB$6:$AB$337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AG1101"/>
  <sheetViews>
    <sheetView showGridLines="0" topLeftCell="C1" zoomScale="85" zoomScaleNormal="85" workbookViewId="0">
      <pane ySplit="2" topLeftCell="A3" activePane="bottomLeft" state="frozen"/>
      <selection pane="bottomLeft" activeCell="H28" sqref="H3:H28"/>
    </sheetView>
  </sheetViews>
  <sheetFormatPr defaultColWidth="9.140625" defaultRowHeight="15"/>
  <cols>
    <col min="1" max="1" width="12.85546875" style="72" customWidth="1"/>
    <col min="2" max="2" width="32.140625" style="72" customWidth="1"/>
    <col min="3" max="3" width="11.7109375" style="72" customWidth="1"/>
    <col min="4" max="4" width="25.42578125" style="72" customWidth="1"/>
    <col min="5" max="5" width="16.42578125" style="72" customWidth="1"/>
    <col min="6" max="6" width="26.28515625" style="72" hidden="1" customWidth="1"/>
    <col min="7" max="7" width="6.140625" style="72" hidden="1" customWidth="1"/>
    <col min="8" max="8" width="16.42578125" style="73" customWidth="1"/>
    <col min="9" max="9" width="15.7109375" style="73" customWidth="1"/>
    <col min="10" max="10" width="15.140625" style="73" customWidth="1"/>
    <col min="11" max="11" width="33.7109375" style="73" customWidth="1"/>
    <col min="12" max="13" width="9.5703125" style="73" customWidth="1"/>
    <col min="14" max="14" width="15.140625" style="73" customWidth="1"/>
    <col min="15" max="15" width="18.28515625" style="73" customWidth="1"/>
    <col min="16" max="16" width="51.7109375" style="73" customWidth="1"/>
    <col min="17" max="21" width="9.140625" style="72" customWidth="1"/>
    <col min="22" max="22" width="46.5703125" style="72" customWidth="1"/>
    <col min="23" max="24" width="9.140625" style="72" customWidth="1"/>
    <col min="25" max="25" width="58.85546875" style="72" customWidth="1"/>
    <col min="26" max="29" width="9.140625" style="72" customWidth="1"/>
    <col min="30" max="30" width="14.7109375" style="72" customWidth="1"/>
    <col min="31" max="16384" width="9.140625" style="72"/>
  </cols>
  <sheetData>
    <row r="1" spans="1:33" ht="35.25" customHeight="1">
      <c r="A1" s="400" t="s">
        <v>663</v>
      </c>
      <c r="B1" s="400"/>
      <c r="C1" s="117" t="str">
        <f>IF(OR('OPĆI DIO'!A3="odaberite -",'OPĆI DIO'!A3=""),"Molimo odaberite proračunskog korisnika na radnom listu Opći podaci!","")</f>
        <v>Molimo odaberite proračunskog korisnika na radnom listu Opći podaci!</v>
      </c>
      <c r="J1" s="294" t="s">
        <v>5251</v>
      </c>
    </row>
    <row r="2" spans="1:33" ht="60">
      <c r="A2" s="127" t="s">
        <v>658</v>
      </c>
      <c r="B2" s="128" t="s">
        <v>41</v>
      </c>
      <c r="C2" s="127" t="s">
        <v>656</v>
      </c>
      <c r="D2" s="128" t="s">
        <v>657</v>
      </c>
      <c r="E2" s="127" t="s">
        <v>664</v>
      </c>
      <c r="F2" s="128" t="s">
        <v>43</v>
      </c>
      <c r="G2" s="287" t="s">
        <v>5104</v>
      </c>
      <c r="H2" s="326" t="s">
        <v>5265</v>
      </c>
      <c r="I2" s="326" t="s">
        <v>5266</v>
      </c>
      <c r="J2" s="326" t="s">
        <v>5267</v>
      </c>
      <c r="K2" s="129" t="s">
        <v>665</v>
      </c>
      <c r="L2" s="129" t="s">
        <v>666</v>
      </c>
      <c r="M2" s="129" t="s">
        <v>667</v>
      </c>
      <c r="N2" s="129" t="s">
        <v>668</v>
      </c>
      <c r="O2" s="129" t="s">
        <v>669</v>
      </c>
      <c r="P2" s="280" t="s">
        <v>5072</v>
      </c>
      <c r="R2" s="75" t="s">
        <v>636</v>
      </c>
      <c r="S2" s="75" t="s">
        <v>637</v>
      </c>
      <c r="T2" s="219"/>
    </row>
    <row r="3" spans="1:33">
      <c r="A3" s="82">
        <v>12</v>
      </c>
      <c r="B3" s="77" t="str">
        <f>IFERROR(VLOOKUP(A3,$U$6:$V$34,2,FALSE),"")</f>
        <v>Sredstva učešća za pomoći</v>
      </c>
      <c r="C3" s="368">
        <v>4212</v>
      </c>
      <c r="D3" s="77" t="str">
        <f t="shared" ref="D3:D66" si="0">IFERROR(VLOOKUP(C3,$X$5:$Z$140,2,FALSE),"")</f>
        <v>Poslovni objekti</v>
      </c>
      <c r="E3" s="114" t="s">
        <v>866</v>
      </c>
      <c r="F3" s="77" t="str">
        <f t="shared" ref="F3:F66" si="1">IFERROR(VLOOKUP(E3,$AD$6:$AE$1101,2,FALSE),"")</f>
        <v>Ulaganje u organizacijsku reformu i infrastrukturu sektora istraživanja, razvoja i inovacija</v>
      </c>
      <c r="G3" s="77"/>
      <c r="H3" s="353">
        <v>85930</v>
      </c>
      <c r="I3" s="113">
        <f>J3-H3</f>
        <v>-46930</v>
      </c>
      <c r="J3" s="113">
        <v>39000</v>
      </c>
      <c r="K3" s="373" t="s">
        <v>5283</v>
      </c>
      <c r="L3" s="125"/>
      <c r="M3" s="125"/>
      <c r="N3" s="126"/>
      <c r="O3" s="303"/>
      <c r="P3" s="81"/>
      <c r="R3" s="72" t="str">
        <f>LEFT(C3,3)</f>
        <v>421</v>
      </c>
      <c r="S3" s="72" t="str">
        <f>LEFT(C3,2)</f>
        <v>42</v>
      </c>
      <c r="T3" s="72" t="str">
        <f>MID(G3,2,2)</f>
        <v/>
      </c>
    </row>
    <row r="4" spans="1:33">
      <c r="A4" s="82">
        <v>563</v>
      </c>
      <c r="B4" s="77" t="str">
        <f>IFERROR(VLOOKUP(A4,$U$6:$V$34,2,FALSE),"")</f>
        <v>Europski fond za regionalni razvoj (ERDF)</v>
      </c>
      <c r="C4" s="368">
        <v>4212</v>
      </c>
      <c r="D4" s="77" t="str">
        <f t="shared" si="0"/>
        <v>Poslovni objekti</v>
      </c>
      <c r="E4" s="114" t="s">
        <v>866</v>
      </c>
      <c r="F4" s="77" t="str">
        <f t="shared" si="1"/>
        <v>Ulaganje u organizacijsku reformu i infrastrukturu sektora istraživanja, razvoja i inovacija</v>
      </c>
      <c r="G4" s="77" t="str">
        <f t="shared" ref="G4:G67" si="2">IFERROR(VLOOKUP(E4,$AD$6:$AG$1101,4,FALSE),"")</f>
        <v>0942</v>
      </c>
      <c r="H4" s="353">
        <v>607543</v>
      </c>
      <c r="I4" s="113">
        <f t="shared" ref="I4:I47" si="3">J4-H4</f>
        <v>-391543</v>
      </c>
      <c r="J4" s="113">
        <v>216000</v>
      </c>
      <c r="K4" s="373" t="s">
        <v>5283</v>
      </c>
      <c r="L4" s="125"/>
      <c r="M4" s="125"/>
      <c r="N4" s="126"/>
      <c r="O4" s="303"/>
      <c r="P4" s="81"/>
      <c r="R4" s="72" t="str">
        <f t="shared" ref="R4:R78" si="4">LEFT(C4,3)</f>
        <v>421</v>
      </c>
      <c r="S4" s="72" t="str">
        <f t="shared" ref="S4:S78" si="5">LEFT(C4,2)</f>
        <v>42</v>
      </c>
      <c r="T4" s="72" t="str">
        <f t="shared" ref="T4:T78" si="6">MID(G4,2,2)</f>
        <v>94</v>
      </c>
      <c r="X4" s="78"/>
      <c r="Y4" s="78"/>
    </row>
    <row r="5" spans="1:33">
      <c r="A5" s="82">
        <v>563</v>
      </c>
      <c r="B5" s="77" t="str">
        <f>IFERROR(VLOOKUP(A5,$U$6:$V$34,2,FALSE),"")</f>
        <v>Europski fond za regionalni razvoj (ERDF)</v>
      </c>
      <c r="C5" s="368">
        <v>3237</v>
      </c>
      <c r="D5" s="77" t="str">
        <f t="shared" si="0"/>
        <v>Intelektualne i osobne usluge</v>
      </c>
      <c r="E5" s="114" t="s">
        <v>866</v>
      </c>
      <c r="F5" s="77" t="str">
        <f t="shared" si="1"/>
        <v>Ulaganje u organizacijsku reformu i infrastrukturu sektora istraživanja, razvoja i inovacija</v>
      </c>
      <c r="G5" s="77" t="str">
        <f t="shared" si="2"/>
        <v>0942</v>
      </c>
      <c r="H5" s="113">
        <v>0</v>
      </c>
      <c r="I5" s="113">
        <f t="shared" si="3"/>
        <v>31370</v>
      </c>
      <c r="J5" s="113">
        <f>24370+7000</f>
        <v>31370</v>
      </c>
      <c r="K5" s="373" t="s">
        <v>5283</v>
      </c>
      <c r="L5" s="125"/>
      <c r="M5" s="125"/>
      <c r="N5" s="126"/>
      <c r="O5" s="303"/>
      <c r="P5" s="81"/>
      <c r="R5" s="72" t="str">
        <f t="shared" si="4"/>
        <v>323</v>
      </c>
      <c r="S5" s="72" t="str">
        <f t="shared" si="5"/>
        <v>32</v>
      </c>
      <c r="T5" s="72" t="str">
        <f t="shared" si="6"/>
        <v>94</v>
      </c>
      <c r="U5" s="72" t="s">
        <v>40</v>
      </c>
      <c r="V5" s="72" t="s">
        <v>41</v>
      </c>
      <c r="X5" s="72">
        <v>3111</v>
      </c>
      <c r="Y5" s="72" t="s">
        <v>47</v>
      </c>
      <c r="AA5" s="72" t="str">
        <f t="shared" ref="AA5:AA79" si="7">LEFT(X5,2)</f>
        <v>31</v>
      </c>
      <c r="AB5" s="72" t="str">
        <f>LEFT(X5,3)</f>
        <v>311</v>
      </c>
      <c r="AD5" s="72" t="s">
        <v>42</v>
      </c>
      <c r="AE5" s="72" t="s">
        <v>43</v>
      </c>
    </row>
    <row r="6" spans="1:33">
      <c r="A6" s="82">
        <v>12</v>
      </c>
      <c r="B6" s="77" t="str">
        <f>IFERROR(VLOOKUP(A6,$U$6:$V$34,2,FALSE),"")</f>
        <v>Sredstva učešća za pomoći</v>
      </c>
      <c r="C6" s="368">
        <v>3237</v>
      </c>
      <c r="D6" s="77" t="str">
        <f t="shared" si="0"/>
        <v>Intelektualne i osobne usluge</v>
      </c>
      <c r="E6" s="114" t="s">
        <v>866</v>
      </c>
      <c r="F6" s="77" t="str">
        <f t="shared" si="1"/>
        <v>Ulaganje u organizacijsku reformu i infrastrukturu sektora istraživanja, razvoja i inovacija</v>
      </c>
      <c r="G6" s="77" t="str">
        <f t="shared" si="2"/>
        <v>0942</v>
      </c>
      <c r="H6" s="353">
        <v>25865</v>
      </c>
      <c r="I6" s="113">
        <f t="shared" si="3"/>
        <v>-22600</v>
      </c>
      <c r="J6" s="113">
        <f>2065+1200</f>
        <v>3265</v>
      </c>
      <c r="K6" s="373" t="s">
        <v>5283</v>
      </c>
      <c r="L6" s="125"/>
      <c r="M6" s="125"/>
      <c r="N6" s="126"/>
      <c r="O6" s="303"/>
      <c r="P6" s="81"/>
      <c r="R6" s="72" t="str">
        <f t="shared" si="4"/>
        <v>323</v>
      </c>
      <c r="S6" s="72" t="str">
        <f t="shared" si="5"/>
        <v>32</v>
      </c>
      <c r="T6" s="72" t="str">
        <f t="shared" si="6"/>
        <v>94</v>
      </c>
      <c r="U6" s="72">
        <v>11</v>
      </c>
      <c r="V6" s="72" t="s">
        <v>46</v>
      </c>
      <c r="X6" s="72">
        <v>3112</v>
      </c>
      <c r="Y6" s="72" t="s">
        <v>146</v>
      </c>
      <c r="AA6" s="72" t="str">
        <f t="shared" si="7"/>
        <v>31</v>
      </c>
      <c r="AB6" s="72" t="str">
        <f t="shared" ref="AB6:AB80" si="8">LEFT(X6,3)</f>
        <v>311</v>
      </c>
      <c r="AD6" s="72" t="s">
        <v>698</v>
      </c>
      <c r="AE6" s="72" t="s">
        <v>698</v>
      </c>
      <c r="AF6" s="72" t="s">
        <v>698</v>
      </c>
      <c r="AG6" s="72" t="s">
        <v>698</v>
      </c>
    </row>
    <row r="7" spans="1:33">
      <c r="A7" s="82">
        <v>12</v>
      </c>
      <c r="B7" s="77" t="str">
        <f t="shared" ref="B7:B8" si="9">IFERROR(VLOOKUP(A7,$U$6:$V$34,2,FALSE),"")</f>
        <v>Sredstva učešća za pomoći</v>
      </c>
      <c r="C7" s="368">
        <v>3295</v>
      </c>
      <c r="D7" s="77" t="str">
        <f t="shared" si="0"/>
        <v>Pristojbe i naknade</v>
      </c>
      <c r="E7" s="114" t="s">
        <v>866</v>
      </c>
      <c r="F7" s="77" t="str">
        <f t="shared" si="1"/>
        <v>Ulaganje u organizacijsku reformu i infrastrukturu sektora istraživanja, razvoja i inovacija</v>
      </c>
      <c r="G7" s="77" t="str">
        <f t="shared" si="2"/>
        <v>0942</v>
      </c>
      <c r="H7" s="353">
        <v>0</v>
      </c>
      <c r="I7" s="113">
        <f t="shared" si="3"/>
        <v>2378</v>
      </c>
      <c r="J7" s="113">
        <f>1544+834</f>
        <v>2378</v>
      </c>
      <c r="K7" s="373" t="s">
        <v>5283</v>
      </c>
      <c r="L7" s="125"/>
      <c r="M7" s="125"/>
      <c r="N7" s="126"/>
      <c r="O7" s="303"/>
      <c r="P7" s="81"/>
      <c r="R7" s="122" t="str">
        <f t="shared" si="4"/>
        <v>329</v>
      </c>
      <c r="S7" s="122" t="str">
        <f t="shared" si="5"/>
        <v>32</v>
      </c>
    </row>
    <row r="8" spans="1:33">
      <c r="A8" s="82">
        <v>563</v>
      </c>
      <c r="B8" s="77" t="str">
        <f t="shared" si="9"/>
        <v>Europski fond za regionalni razvoj (ERDF)</v>
      </c>
      <c r="C8" s="368">
        <v>3295</v>
      </c>
      <c r="D8" s="77" t="str">
        <f t="shared" si="0"/>
        <v>Pristojbe i naknade</v>
      </c>
      <c r="E8" s="114" t="s">
        <v>866</v>
      </c>
      <c r="F8" s="77" t="str">
        <f t="shared" si="1"/>
        <v>Ulaganje u organizacijsku reformu i infrastrukturu sektora istraživanja, razvoja i inovacija</v>
      </c>
      <c r="G8" s="77" t="str">
        <f t="shared" si="2"/>
        <v>0942</v>
      </c>
      <c r="H8" s="353">
        <v>0</v>
      </c>
      <c r="I8" s="113">
        <f t="shared" si="3"/>
        <v>13476</v>
      </c>
      <c r="J8" s="113">
        <f>4726+8750</f>
        <v>13476</v>
      </c>
      <c r="K8" s="373" t="s">
        <v>5283</v>
      </c>
      <c r="L8" s="125"/>
      <c r="M8" s="125"/>
      <c r="N8" s="126"/>
      <c r="O8" s="303"/>
      <c r="P8" s="81"/>
      <c r="R8" s="122" t="str">
        <f t="shared" si="4"/>
        <v>329</v>
      </c>
      <c r="S8" s="122" t="str">
        <f t="shared" si="5"/>
        <v>32</v>
      </c>
    </row>
    <row r="9" spans="1:33">
      <c r="A9" s="82">
        <v>563</v>
      </c>
      <c r="B9" s="77" t="str">
        <f>IFERROR(VLOOKUP(A9,$U$6:$V$34,2,FALSE),"")</f>
        <v>Europski fond za regionalni razvoj (ERDF)</v>
      </c>
      <c r="C9" s="368">
        <v>3693</v>
      </c>
      <c r="D9" s="77" t="str">
        <f t="shared" si="0"/>
        <v>Tekući prijenosi između proračunskih korisnika istog proraču</v>
      </c>
      <c r="E9" s="114" t="s">
        <v>865</v>
      </c>
      <c r="F9" s="77" t="str">
        <f t="shared" si="1"/>
        <v>Vrhunska istraživanja Znanstvenih centara izvrsnosti</v>
      </c>
      <c r="G9" s="77" t="str">
        <f t="shared" si="2"/>
        <v>0942</v>
      </c>
      <c r="H9" s="353">
        <v>920432</v>
      </c>
      <c r="I9" s="113">
        <f t="shared" si="3"/>
        <v>-621147</v>
      </c>
      <c r="J9" s="113">
        <f>350000-50715</f>
        <v>299285</v>
      </c>
      <c r="K9" s="373" t="s">
        <v>5296</v>
      </c>
      <c r="L9" s="125"/>
      <c r="M9" s="125"/>
      <c r="N9" s="126"/>
      <c r="O9" s="303"/>
      <c r="P9" s="81"/>
      <c r="R9" s="72" t="str">
        <f t="shared" si="4"/>
        <v>369</v>
      </c>
      <c r="S9" s="72" t="str">
        <f t="shared" si="5"/>
        <v>36</v>
      </c>
      <c r="T9" s="72" t="str">
        <f t="shared" si="6"/>
        <v>94</v>
      </c>
      <c r="U9" s="72">
        <v>12</v>
      </c>
      <c r="V9" s="72" t="s">
        <v>232</v>
      </c>
      <c r="X9" s="72">
        <v>3113</v>
      </c>
      <c r="Y9" s="72" t="s">
        <v>125</v>
      </c>
      <c r="AA9" s="72" t="str">
        <f t="shared" si="7"/>
        <v>31</v>
      </c>
      <c r="AB9" s="72" t="str">
        <f t="shared" si="8"/>
        <v>311</v>
      </c>
      <c r="AD9" s="72" t="s">
        <v>1168</v>
      </c>
      <c r="AE9" s="72" t="s">
        <v>1169</v>
      </c>
      <c r="AF9" s="72" t="str">
        <f>LEFT(AD9,7)</f>
        <v>K578051</v>
      </c>
      <c r="AG9" s="72" t="str">
        <f>VLOOKUP(AF9,AKT!$C$4:$E$324,3,FALSE)</f>
        <v>0150</v>
      </c>
    </row>
    <row r="10" spans="1:33">
      <c r="A10" s="82">
        <v>563</v>
      </c>
      <c r="B10" s="77" t="str">
        <f t="shared" ref="B10" si="10">IFERROR(VLOOKUP(A10,$U$6:$V$34,2,FALSE),"")</f>
        <v>Europski fond za regionalni razvoj (ERDF)</v>
      </c>
      <c r="C10" s="368">
        <v>3694</v>
      </c>
      <c r="D10" s="77" t="str">
        <f t="shared" si="0"/>
        <v>Kapitalni prijenosi između proračunskih korisnika istog pror</v>
      </c>
      <c r="E10" s="114" t="s">
        <v>865</v>
      </c>
      <c r="F10" s="77" t="str">
        <f t="shared" si="1"/>
        <v>Vrhunska istraživanja Znanstvenih centara izvrsnosti</v>
      </c>
      <c r="G10" s="77" t="str">
        <f t="shared" si="2"/>
        <v>0942</v>
      </c>
      <c r="H10" s="353">
        <v>0</v>
      </c>
      <c r="I10" s="113">
        <f t="shared" si="3"/>
        <v>55000</v>
      </c>
      <c r="J10" s="113">
        <v>55000</v>
      </c>
      <c r="K10" s="373" t="s">
        <v>5296</v>
      </c>
      <c r="L10" s="125"/>
      <c r="M10" s="125"/>
      <c r="N10" s="126"/>
      <c r="O10" s="303"/>
      <c r="P10" s="81"/>
      <c r="R10" s="72" t="str">
        <f t="shared" si="4"/>
        <v>369</v>
      </c>
      <c r="S10" s="72" t="str">
        <f t="shared" si="5"/>
        <v>36</v>
      </c>
    </row>
    <row r="11" spans="1:33">
      <c r="A11" s="82">
        <v>563</v>
      </c>
      <c r="B11" s="77" t="str">
        <f>IFERROR(VLOOKUP(A11,$U$6:$V$34,2,FALSE),"")</f>
        <v>Europski fond za regionalni razvoj (ERDF)</v>
      </c>
      <c r="C11" s="368">
        <v>3531</v>
      </c>
      <c r="D11" s="77" t="str">
        <f t="shared" si="0"/>
        <v>Subvencije trgovačkim društvima, zadrugama, poljoprivrednici</v>
      </c>
      <c r="E11" s="114" t="s">
        <v>865</v>
      </c>
      <c r="F11" s="77" t="str">
        <f t="shared" si="1"/>
        <v>Vrhunska istraživanja Znanstvenih centara izvrsnosti</v>
      </c>
      <c r="G11" s="77" t="str">
        <f t="shared" si="2"/>
        <v>0942</v>
      </c>
      <c r="H11" s="354">
        <v>92906</v>
      </c>
      <c r="I11" s="113">
        <f t="shared" si="3"/>
        <v>-52906</v>
      </c>
      <c r="J11" s="113">
        <v>40000</v>
      </c>
      <c r="K11" s="373" t="s">
        <v>5296</v>
      </c>
      <c r="L11" s="125"/>
      <c r="M11" s="125"/>
      <c r="N11" s="126"/>
      <c r="O11" s="303"/>
      <c r="P11" s="81"/>
      <c r="R11" s="72" t="str">
        <f t="shared" si="4"/>
        <v>353</v>
      </c>
      <c r="S11" s="72" t="str">
        <f t="shared" si="5"/>
        <v>35</v>
      </c>
      <c r="T11" s="72" t="str">
        <f t="shared" si="6"/>
        <v>94</v>
      </c>
      <c r="U11" s="72">
        <v>31</v>
      </c>
      <c r="V11" s="72" t="s">
        <v>91</v>
      </c>
      <c r="X11" s="72">
        <v>3114</v>
      </c>
      <c r="Y11" s="72" t="s">
        <v>147</v>
      </c>
      <c r="AA11" s="72" t="str">
        <f t="shared" si="7"/>
        <v>31</v>
      </c>
      <c r="AB11" s="72" t="str">
        <f t="shared" si="8"/>
        <v>311</v>
      </c>
      <c r="AD11" s="72" t="s">
        <v>1170</v>
      </c>
      <c r="AE11" s="72" t="s">
        <v>1171</v>
      </c>
      <c r="AF11" s="72" t="str">
        <f t="shared" ref="AF11:AF82" si="11">LEFT(AD11,7)</f>
        <v>K578051</v>
      </c>
      <c r="AG11" s="72" t="str">
        <f>VLOOKUP(AF11,AKT!$C$4:$E$324,3,FALSE)</f>
        <v>0150</v>
      </c>
    </row>
    <row r="12" spans="1:33">
      <c r="A12" s="82">
        <v>563</v>
      </c>
      <c r="B12" s="77" t="str">
        <f>IFERROR(VLOOKUP(A12,$U$6:$V$34,2,FALSE),"")</f>
        <v>Europski fond za regionalni razvoj (ERDF)</v>
      </c>
      <c r="C12" s="368">
        <v>3681</v>
      </c>
      <c r="D12" s="77" t="str">
        <f t="shared" si="0"/>
        <v>Tekuće pomoći temeljem prijenosa EU sredstava</v>
      </c>
      <c r="E12" s="114" t="s">
        <v>865</v>
      </c>
      <c r="F12" s="77" t="str">
        <f t="shared" si="1"/>
        <v>Vrhunska istraživanja Znanstvenih centara izvrsnosti</v>
      </c>
      <c r="G12" s="77" t="str">
        <f t="shared" si="2"/>
        <v>0942</v>
      </c>
      <c r="H12" s="354">
        <v>99277</v>
      </c>
      <c r="I12" s="113">
        <f t="shared" si="3"/>
        <v>-47277</v>
      </c>
      <c r="J12" s="113">
        <v>52000</v>
      </c>
      <c r="K12" s="373" t="s">
        <v>5296</v>
      </c>
      <c r="L12" s="125"/>
      <c r="M12" s="125"/>
      <c r="N12" s="126"/>
      <c r="O12" s="303"/>
      <c r="P12" s="81"/>
      <c r="R12" s="72" t="str">
        <f t="shared" si="4"/>
        <v>368</v>
      </c>
      <c r="S12" s="72" t="str">
        <f t="shared" si="5"/>
        <v>36</v>
      </c>
      <c r="T12" s="72" t="str">
        <f t="shared" si="6"/>
        <v>94</v>
      </c>
      <c r="U12">
        <v>41</v>
      </c>
      <c r="V12" t="s">
        <v>1208</v>
      </c>
      <c r="X12" s="72">
        <v>3121</v>
      </c>
      <c r="Y12" s="72" t="s">
        <v>50</v>
      </c>
      <c r="AA12" s="72" t="str">
        <f t="shared" si="7"/>
        <v>31</v>
      </c>
      <c r="AB12" s="72" t="str">
        <f t="shared" si="8"/>
        <v>312</v>
      </c>
      <c r="AD12" s="72" t="s">
        <v>1172</v>
      </c>
      <c r="AE12" s="72" t="s">
        <v>1173</v>
      </c>
      <c r="AF12" s="72" t="str">
        <f t="shared" si="11"/>
        <v>K578051</v>
      </c>
      <c r="AG12" s="72" t="str">
        <f>VLOOKUP(AF12,AKT!$C$4:$E$324,3,FALSE)</f>
        <v>0150</v>
      </c>
    </row>
    <row r="13" spans="1:33">
      <c r="A13" s="82">
        <v>563</v>
      </c>
      <c r="B13" s="77" t="str">
        <f>IFERROR(VLOOKUP(A13,$U$6:$V$34,2,FALSE),"")</f>
        <v>Europski fond za regionalni razvoj (ERDF)</v>
      </c>
      <c r="C13" s="368">
        <v>4224</v>
      </c>
      <c r="D13" s="77" t="str">
        <f t="shared" si="0"/>
        <v>Medicinska i laboratorijska oprema</v>
      </c>
      <c r="E13" s="114" t="s">
        <v>865</v>
      </c>
      <c r="F13" s="77" t="str">
        <f t="shared" si="1"/>
        <v>Vrhunska istraživanja Znanstvenih centara izvrsnosti</v>
      </c>
      <c r="G13" s="77" t="str">
        <f t="shared" si="2"/>
        <v>0942</v>
      </c>
      <c r="H13" s="370">
        <v>50000</v>
      </c>
      <c r="I13" s="371">
        <f t="shared" si="3"/>
        <v>-50000</v>
      </c>
      <c r="J13" s="371">
        <v>0</v>
      </c>
      <c r="K13" s="373" t="s">
        <v>5296</v>
      </c>
      <c r="L13" s="125"/>
      <c r="M13" s="125"/>
      <c r="N13" s="126"/>
      <c r="O13" s="303"/>
      <c r="P13" s="81"/>
      <c r="R13" s="72" t="str">
        <f t="shared" si="4"/>
        <v>422</v>
      </c>
      <c r="S13" s="72" t="str">
        <f t="shared" si="5"/>
        <v>42</v>
      </c>
      <c r="T13" s="72" t="str">
        <f t="shared" si="6"/>
        <v>94</v>
      </c>
      <c r="U13" s="72">
        <v>43</v>
      </c>
      <c r="V13" s="72" t="s">
        <v>96</v>
      </c>
      <c r="X13" s="121">
        <v>3132</v>
      </c>
      <c r="Y13" s="121" t="s">
        <v>51</v>
      </c>
      <c r="Z13" s="121"/>
      <c r="AA13" s="121" t="str">
        <f t="shared" si="7"/>
        <v>31</v>
      </c>
      <c r="AB13" s="121" t="str">
        <f t="shared" si="8"/>
        <v>313</v>
      </c>
      <c r="AD13" s="72" t="s">
        <v>1174</v>
      </c>
      <c r="AE13" s="72" t="s">
        <v>258</v>
      </c>
      <c r="AF13" s="72" t="str">
        <f t="shared" si="11"/>
        <v>K578051</v>
      </c>
      <c r="AG13" s="72" t="str">
        <f>VLOOKUP(AF13,AKT!$C$4:$E$324,3,FALSE)</f>
        <v>0150</v>
      </c>
    </row>
    <row r="14" spans="1:33">
      <c r="A14" s="82">
        <v>563</v>
      </c>
      <c r="B14" s="77" t="str">
        <f>IFERROR(VLOOKUP(A14,$U$6:$V$34,2,FALSE),"")</f>
        <v>Europski fond za regionalni razvoj (ERDF)</v>
      </c>
      <c r="C14" s="368">
        <v>3221</v>
      </c>
      <c r="D14" s="77" t="str">
        <f t="shared" si="0"/>
        <v>Uredski materijal i ostali materijalni rashodi</v>
      </c>
      <c r="E14" s="114" t="s">
        <v>865</v>
      </c>
      <c r="F14" s="77" t="str">
        <f t="shared" si="1"/>
        <v>Vrhunska istraživanja Znanstvenih centara izvrsnosti</v>
      </c>
      <c r="G14" s="77" t="str">
        <f t="shared" si="2"/>
        <v>0942</v>
      </c>
      <c r="H14" s="370">
        <v>50000</v>
      </c>
      <c r="I14" s="371">
        <f t="shared" si="3"/>
        <v>-38500</v>
      </c>
      <c r="J14" s="371">
        <v>11500</v>
      </c>
      <c r="K14" s="373" t="s">
        <v>5296</v>
      </c>
      <c r="L14" s="125"/>
      <c r="M14" s="125"/>
      <c r="N14" s="126"/>
      <c r="O14" s="303"/>
      <c r="P14" s="81"/>
      <c r="R14" s="72" t="str">
        <f t="shared" si="4"/>
        <v>322</v>
      </c>
      <c r="S14" s="72" t="str">
        <f t="shared" si="5"/>
        <v>32</v>
      </c>
      <c r="T14" s="72" t="str">
        <f t="shared" si="6"/>
        <v>94</v>
      </c>
      <c r="U14" s="72">
        <v>51</v>
      </c>
      <c r="V14" s="72" t="s">
        <v>86</v>
      </c>
      <c r="X14" s="72">
        <v>3211</v>
      </c>
      <c r="Y14" s="72" t="s">
        <v>78</v>
      </c>
      <c r="AA14" s="72" t="str">
        <f t="shared" si="7"/>
        <v>32</v>
      </c>
      <c r="AB14" s="72" t="str">
        <f t="shared" si="8"/>
        <v>321</v>
      </c>
      <c r="AD14" s="72" t="s">
        <v>1175</v>
      </c>
      <c r="AE14" s="72" t="s">
        <v>1176</v>
      </c>
      <c r="AF14" s="72" t="str">
        <f t="shared" si="11"/>
        <v>K578051</v>
      </c>
      <c r="AG14" s="72" t="str">
        <f>VLOOKUP(AF14,AKT!$C$4:$E$324,3,FALSE)</f>
        <v>0150</v>
      </c>
    </row>
    <row r="15" spans="1:33">
      <c r="A15" s="82">
        <v>563</v>
      </c>
      <c r="B15" s="77" t="str">
        <f>IFERROR(VLOOKUP(A15,$U$6:$V$34,2,FALSE),"")</f>
        <v>Europski fond za regionalni razvoj (ERDF)</v>
      </c>
      <c r="C15" s="368">
        <v>3232</v>
      </c>
      <c r="D15" s="77" t="str">
        <f t="shared" si="0"/>
        <v>Usluge tekućeg i investicijskog održavanja</v>
      </c>
      <c r="E15" s="114" t="s">
        <v>865</v>
      </c>
      <c r="F15" s="77" t="str">
        <f t="shared" si="1"/>
        <v>Vrhunska istraživanja Znanstvenih centara izvrsnosti</v>
      </c>
      <c r="G15" s="77" t="str">
        <f t="shared" si="2"/>
        <v>0942</v>
      </c>
      <c r="H15" s="370">
        <v>26545</v>
      </c>
      <c r="I15" s="371">
        <f t="shared" si="3"/>
        <v>10455</v>
      </c>
      <c r="J15" s="371">
        <v>37000</v>
      </c>
      <c r="K15" s="373" t="s">
        <v>5296</v>
      </c>
      <c r="L15" s="125"/>
      <c r="M15" s="125"/>
      <c r="N15" s="126"/>
      <c r="O15" s="303"/>
      <c r="P15" s="81"/>
      <c r="R15" s="72" t="str">
        <f t="shared" si="4"/>
        <v>323</v>
      </c>
      <c r="S15" s="72" t="str">
        <f t="shared" si="5"/>
        <v>32</v>
      </c>
      <c r="T15" s="72" t="str">
        <f t="shared" si="6"/>
        <v>94</v>
      </c>
      <c r="U15" s="72">
        <v>52</v>
      </c>
      <c r="V15" s="72" t="s">
        <v>109</v>
      </c>
      <c r="X15" s="72">
        <v>3212</v>
      </c>
      <c r="Y15" s="72" t="s">
        <v>52</v>
      </c>
      <c r="AA15" s="72" t="str">
        <f t="shared" si="7"/>
        <v>32</v>
      </c>
      <c r="AB15" s="72" t="str">
        <f t="shared" si="8"/>
        <v>321</v>
      </c>
      <c r="AD15" s="72" t="s">
        <v>1177</v>
      </c>
      <c r="AE15" s="72" t="s">
        <v>1178</v>
      </c>
      <c r="AF15" s="72" t="str">
        <f t="shared" si="11"/>
        <v>K578051</v>
      </c>
      <c r="AG15" s="72" t="str">
        <f>VLOOKUP(AF15,AKT!$C$4:$E$324,3,FALSE)</f>
        <v>0150</v>
      </c>
    </row>
    <row r="16" spans="1:33">
      <c r="A16" s="82">
        <v>563</v>
      </c>
      <c r="B16" s="77" t="str">
        <f t="shared" ref="B16" si="12">IFERROR(VLOOKUP(A16,$U$6:$V$34,2,FALSE),"")</f>
        <v>Europski fond za regionalni razvoj (ERDF)</v>
      </c>
      <c r="C16" s="368">
        <v>3233</v>
      </c>
      <c r="D16" s="77" t="str">
        <f t="shared" si="0"/>
        <v>Usluge promidžbe i informiranja</v>
      </c>
      <c r="E16" s="114" t="s">
        <v>865</v>
      </c>
      <c r="F16" s="77" t="str">
        <f t="shared" si="1"/>
        <v>Vrhunska istraživanja Znanstvenih centara izvrsnosti</v>
      </c>
      <c r="G16" s="77" t="str">
        <f t="shared" si="2"/>
        <v>0942</v>
      </c>
      <c r="H16" s="370">
        <v>0</v>
      </c>
      <c r="I16" s="371">
        <f t="shared" si="3"/>
        <v>14000</v>
      </c>
      <c r="J16" s="371">
        <v>14000</v>
      </c>
      <c r="K16" s="373" t="s">
        <v>5296</v>
      </c>
      <c r="L16" s="125"/>
      <c r="M16" s="125"/>
      <c r="N16" s="126"/>
      <c r="O16" s="303"/>
      <c r="P16" s="81"/>
      <c r="R16" s="72" t="str">
        <f t="shared" si="4"/>
        <v>323</v>
      </c>
      <c r="S16" s="72" t="str">
        <f t="shared" si="5"/>
        <v>32</v>
      </c>
    </row>
    <row r="17" spans="1:33">
      <c r="A17" s="82">
        <v>563</v>
      </c>
      <c r="B17" s="77" t="str">
        <f t="shared" ref="B17" si="13">IFERROR(VLOOKUP(A17,$U$6:$V$34,2,FALSE),"")</f>
        <v>Europski fond za regionalni razvoj (ERDF)</v>
      </c>
      <c r="C17" s="368">
        <v>3238</v>
      </c>
      <c r="D17" s="77" t="str">
        <f t="shared" si="0"/>
        <v>Računalne usluge</v>
      </c>
      <c r="E17" s="114" t="s">
        <v>865</v>
      </c>
      <c r="F17" s="77" t="str">
        <f t="shared" si="1"/>
        <v>Vrhunska istraživanja Znanstvenih centara izvrsnosti</v>
      </c>
      <c r="G17" s="77" t="str">
        <f t="shared" si="2"/>
        <v>0942</v>
      </c>
      <c r="H17" s="370">
        <v>0</v>
      </c>
      <c r="I17" s="371">
        <f t="shared" si="3"/>
        <v>1000</v>
      </c>
      <c r="J17" s="371">
        <v>1000</v>
      </c>
      <c r="K17" s="373" t="s">
        <v>5296</v>
      </c>
      <c r="L17" s="125"/>
      <c r="M17" s="125"/>
      <c r="N17" s="126"/>
      <c r="O17" s="303"/>
      <c r="P17" s="81"/>
      <c r="R17" s="72" t="str">
        <f t="shared" si="4"/>
        <v>323</v>
      </c>
      <c r="S17" s="72" t="str">
        <f t="shared" si="5"/>
        <v>32</v>
      </c>
    </row>
    <row r="18" spans="1:33">
      <c r="A18" s="82">
        <v>563</v>
      </c>
      <c r="B18" s="77" t="str">
        <f t="shared" ref="B18" si="14">IFERROR(VLOOKUP(A18,$U$6:$V$34,2,FALSE),"")</f>
        <v>Europski fond za regionalni razvoj (ERDF)</v>
      </c>
      <c r="C18" s="368">
        <v>3239</v>
      </c>
      <c r="D18" s="77" t="str">
        <f t="shared" si="0"/>
        <v>Ostale usluge</v>
      </c>
      <c r="E18" s="114" t="s">
        <v>865</v>
      </c>
      <c r="F18" s="77" t="str">
        <f t="shared" si="1"/>
        <v>Vrhunska istraživanja Znanstvenih centara izvrsnosti</v>
      </c>
      <c r="G18" s="77" t="str">
        <f t="shared" si="2"/>
        <v>0942</v>
      </c>
      <c r="H18" s="370">
        <v>0</v>
      </c>
      <c r="I18" s="371">
        <f t="shared" si="3"/>
        <v>50000</v>
      </c>
      <c r="J18" s="371">
        <v>50000</v>
      </c>
      <c r="K18" s="373" t="s">
        <v>5296</v>
      </c>
      <c r="L18" s="125"/>
      <c r="M18" s="125"/>
      <c r="N18" s="126"/>
      <c r="O18" s="303"/>
      <c r="P18" s="81"/>
      <c r="R18" s="72" t="str">
        <f t="shared" si="4"/>
        <v>323</v>
      </c>
      <c r="S18" s="72" t="str">
        <f t="shared" si="5"/>
        <v>32</v>
      </c>
    </row>
    <row r="19" spans="1:33" s="121" customFormat="1">
      <c r="A19" s="82">
        <v>563</v>
      </c>
      <c r="B19" s="77" t="str">
        <f t="shared" ref="B19" si="15">IFERROR(VLOOKUP(A19,$U$6:$V$34,2,FALSE),"")</f>
        <v>Europski fond za regionalni razvoj (ERDF)</v>
      </c>
      <c r="C19" s="368">
        <v>3295</v>
      </c>
      <c r="D19" s="77" t="str">
        <f t="shared" si="0"/>
        <v>Pristojbe i naknade</v>
      </c>
      <c r="E19" s="114" t="s">
        <v>865</v>
      </c>
      <c r="F19" s="77" t="str">
        <f t="shared" si="1"/>
        <v>Vrhunska istraživanja Znanstvenih centara izvrsnosti</v>
      </c>
      <c r="G19" s="77" t="str">
        <f t="shared" si="2"/>
        <v>0942</v>
      </c>
      <c r="H19" s="370">
        <v>0</v>
      </c>
      <c r="I19" s="371">
        <f t="shared" si="3"/>
        <v>0</v>
      </c>
      <c r="J19" s="371">
        <v>0</v>
      </c>
      <c r="K19" s="373" t="s">
        <v>5296</v>
      </c>
      <c r="L19" s="125"/>
      <c r="M19" s="125"/>
      <c r="N19" s="126"/>
      <c r="O19" s="303"/>
      <c r="P19" s="81"/>
      <c r="R19" s="121" t="str">
        <f t="shared" si="4"/>
        <v>329</v>
      </c>
      <c r="S19" s="121" t="str">
        <f t="shared" si="5"/>
        <v>32</v>
      </c>
    </row>
    <row r="20" spans="1:33">
      <c r="A20" s="82">
        <v>563</v>
      </c>
      <c r="B20" s="77" t="str">
        <f>IFERROR(VLOOKUP(A20,$U$6:$V$34,2,FALSE),"")</f>
        <v>Europski fond za regionalni razvoj (ERDF)</v>
      </c>
      <c r="C20" s="368">
        <v>3721</v>
      </c>
      <c r="D20" s="77" t="str">
        <f t="shared" si="0"/>
        <v>Naknade građanima i kućanstvima u novcu</v>
      </c>
      <c r="E20" s="114" t="s">
        <v>865</v>
      </c>
      <c r="F20" s="77" t="str">
        <f t="shared" si="1"/>
        <v>Vrhunska istraživanja Znanstvenih centara izvrsnosti</v>
      </c>
      <c r="G20" s="77" t="str">
        <f t="shared" si="2"/>
        <v>0942</v>
      </c>
      <c r="H20" s="370">
        <v>6636</v>
      </c>
      <c r="I20" s="371">
        <f t="shared" si="3"/>
        <v>-6636</v>
      </c>
      <c r="J20" s="371">
        <v>0</v>
      </c>
      <c r="K20" s="373" t="s">
        <v>5296</v>
      </c>
      <c r="L20" s="125"/>
      <c r="M20" s="125"/>
      <c r="N20" s="126"/>
      <c r="O20" s="303"/>
      <c r="P20" s="81"/>
      <c r="R20" s="72" t="str">
        <f t="shared" si="4"/>
        <v>372</v>
      </c>
      <c r="S20" s="72" t="str">
        <f t="shared" si="5"/>
        <v>37</v>
      </c>
      <c r="T20" s="72" t="str">
        <f t="shared" si="6"/>
        <v>94</v>
      </c>
      <c r="U20">
        <v>552</v>
      </c>
      <c r="V20" t="s">
        <v>1209</v>
      </c>
      <c r="X20" s="72">
        <v>3213</v>
      </c>
      <c r="Y20" s="72" t="s">
        <v>97</v>
      </c>
      <c r="AA20" s="72" t="str">
        <f t="shared" si="7"/>
        <v>32</v>
      </c>
      <c r="AB20" s="72" t="str">
        <f t="shared" si="8"/>
        <v>321</v>
      </c>
      <c r="AD20" s="72" t="s">
        <v>1179</v>
      </c>
      <c r="AE20" s="72" t="s">
        <v>1180</v>
      </c>
      <c r="AF20" s="72" t="str">
        <f t="shared" si="11"/>
        <v>K578051</v>
      </c>
      <c r="AG20" s="72" t="str">
        <f>VLOOKUP(AF20,AKT!$C$4:$E$324,3,FALSE)</f>
        <v>0150</v>
      </c>
    </row>
    <row r="21" spans="1:33">
      <c r="A21" s="82">
        <v>563</v>
      </c>
      <c r="B21" s="77" t="str">
        <f t="shared" ref="B21" si="16">IFERROR(VLOOKUP(A21,$U$6:$V$34,2,FALSE),"")</f>
        <v>Europski fond za regionalni razvoj (ERDF)</v>
      </c>
      <c r="C21" s="368">
        <v>3431</v>
      </c>
      <c r="D21" s="77" t="str">
        <f t="shared" si="0"/>
        <v>Bankarske usluge i usluge platnog prometa</v>
      </c>
      <c r="E21" s="114" t="s">
        <v>865</v>
      </c>
      <c r="F21" s="77" t="str">
        <f t="shared" si="1"/>
        <v>Vrhunska istraživanja Znanstvenih centara izvrsnosti</v>
      </c>
      <c r="G21" s="77" t="str">
        <f t="shared" si="2"/>
        <v>0942</v>
      </c>
      <c r="H21" s="370">
        <v>0</v>
      </c>
      <c r="I21" s="371">
        <f t="shared" si="3"/>
        <v>500</v>
      </c>
      <c r="J21" s="371">
        <v>500</v>
      </c>
      <c r="K21" s="373" t="s">
        <v>5296</v>
      </c>
      <c r="L21" s="125"/>
      <c r="M21" s="125"/>
      <c r="N21" s="126"/>
      <c r="O21" s="303"/>
      <c r="P21" s="81"/>
      <c r="R21" s="72" t="str">
        <f t="shared" si="4"/>
        <v>343</v>
      </c>
      <c r="S21" s="72" t="str">
        <f t="shared" si="5"/>
        <v>34</v>
      </c>
      <c r="U21"/>
      <c r="V21"/>
    </row>
    <row r="22" spans="1:33">
      <c r="A22" s="82">
        <v>563</v>
      </c>
      <c r="B22" s="77" t="str">
        <f>IFERROR(VLOOKUP(A22,$U$6:$V$34,2,FALSE),"")</f>
        <v>Europski fond za regionalni razvoj (ERDF)</v>
      </c>
      <c r="C22" s="368">
        <v>3237</v>
      </c>
      <c r="D22" s="77" t="str">
        <f t="shared" si="0"/>
        <v>Intelektualne i osobne usluge</v>
      </c>
      <c r="E22" s="114" t="s">
        <v>865</v>
      </c>
      <c r="F22" s="77" t="str">
        <f t="shared" si="1"/>
        <v>Vrhunska istraživanja Znanstvenih centara izvrsnosti</v>
      </c>
      <c r="G22" s="77" t="str">
        <f t="shared" si="2"/>
        <v>0942</v>
      </c>
      <c r="H22" s="370">
        <f>13272+25965</f>
        <v>39237</v>
      </c>
      <c r="I22" s="371">
        <f t="shared" si="3"/>
        <v>-26237</v>
      </c>
      <c r="J22" s="371">
        <v>13000</v>
      </c>
      <c r="K22" s="373" t="s">
        <v>5296</v>
      </c>
      <c r="L22" s="125"/>
      <c r="M22" s="125"/>
      <c r="N22" s="126"/>
      <c r="O22" s="303"/>
      <c r="P22" s="81"/>
      <c r="R22" s="72" t="str">
        <f t="shared" si="4"/>
        <v>323</v>
      </c>
      <c r="S22" s="72" t="str">
        <f t="shared" si="5"/>
        <v>32</v>
      </c>
      <c r="T22" s="72" t="str">
        <f t="shared" si="6"/>
        <v>94</v>
      </c>
      <c r="U22">
        <v>559</v>
      </c>
      <c r="V22" t="s">
        <v>1210</v>
      </c>
      <c r="X22" s="72">
        <v>3214</v>
      </c>
      <c r="Y22" s="72" t="s">
        <v>126</v>
      </c>
      <c r="AA22" s="72" t="str">
        <f t="shared" si="7"/>
        <v>32</v>
      </c>
      <c r="AB22" s="72" t="str">
        <f t="shared" si="8"/>
        <v>321</v>
      </c>
      <c r="AD22" s="72" t="s">
        <v>1181</v>
      </c>
      <c r="AE22" s="72" t="s">
        <v>1182</v>
      </c>
      <c r="AF22" s="72" t="str">
        <f t="shared" si="11"/>
        <v>K578051</v>
      </c>
      <c r="AG22" s="72" t="str">
        <f>VLOOKUP(AF22,AKT!$C$4:$E$324,3,FALSE)</f>
        <v>0150</v>
      </c>
    </row>
    <row r="23" spans="1:33">
      <c r="A23" s="82">
        <v>563</v>
      </c>
      <c r="B23" s="77" t="str">
        <f t="shared" ref="B23" si="17">IFERROR(VLOOKUP(A23,$U$6:$V$34,2,FALSE),"")</f>
        <v>Europski fond za regionalni razvoj (ERDF)</v>
      </c>
      <c r="C23" s="368">
        <v>3531</v>
      </c>
      <c r="D23" s="77" t="str">
        <f t="shared" si="0"/>
        <v>Subvencije trgovačkim društvima, zadrugama, poljoprivrednici</v>
      </c>
      <c r="E23" s="114" t="s">
        <v>865</v>
      </c>
      <c r="F23" s="77" t="str">
        <f t="shared" si="1"/>
        <v>Vrhunska istraživanja Znanstvenih centara izvrsnosti</v>
      </c>
      <c r="G23" s="77" t="str">
        <f t="shared" si="2"/>
        <v>0942</v>
      </c>
      <c r="H23" s="370">
        <v>0</v>
      </c>
      <c r="I23" s="371">
        <f t="shared" si="3"/>
        <v>0</v>
      </c>
      <c r="J23" s="371">
        <v>0</v>
      </c>
      <c r="K23" s="373" t="s">
        <v>5296</v>
      </c>
      <c r="L23" s="125"/>
      <c r="M23" s="125"/>
      <c r="N23" s="126"/>
      <c r="O23" s="303"/>
      <c r="P23" s="81"/>
      <c r="R23" s="72" t="str">
        <f t="shared" si="4"/>
        <v>353</v>
      </c>
      <c r="S23" s="72" t="str">
        <f t="shared" si="5"/>
        <v>35</v>
      </c>
      <c r="U23"/>
      <c r="V23"/>
    </row>
    <row r="24" spans="1:33">
      <c r="A24" s="82">
        <v>563</v>
      </c>
      <c r="B24" s="77" t="str">
        <f t="shared" ref="B24:B55" si="18">IFERROR(VLOOKUP(A24,$U$6:$V$34,2,FALSE),"")</f>
        <v>Europski fond za regionalni razvoj (ERDF)</v>
      </c>
      <c r="C24" s="368">
        <v>3211</v>
      </c>
      <c r="D24" s="77" t="str">
        <f t="shared" si="0"/>
        <v>Službena putovanja</v>
      </c>
      <c r="E24" s="114" t="s">
        <v>865</v>
      </c>
      <c r="F24" s="77" t="str">
        <f t="shared" si="1"/>
        <v>Vrhunska istraživanja Znanstvenih centara izvrsnosti</v>
      </c>
      <c r="G24" s="77" t="str">
        <f t="shared" si="2"/>
        <v>0942</v>
      </c>
      <c r="H24" s="370">
        <v>6636</v>
      </c>
      <c r="I24" s="371">
        <f t="shared" si="3"/>
        <v>-2636</v>
      </c>
      <c r="J24" s="371">
        <v>4000</v>
      </c>
      <c r="K24" s="373" t="s">
        <v>5296</v>
      </c>
      <c r="L24" s="125"/>
      <c r="M24" s="125"/>
      <c r="N24" s="126"/>
      <c r="O24" s="303"/>
      <c r="P24" s="81"/>
      <c r="R24" s="72" t="str">
        <f t="shared" si="4"/>
        <v>321</v>
      </c>
      <c r="S24" s="72" t="str">
        <f t="shared" si="5"/>
        <v>32</v>
      </c>
      <c r="T24" s="72" t="str">
        <f t="shared" si="6"/>
        <v>94</v>
      </c>
      <c r="U24" s="72">
        <v>561</v>
      </c>
      <c r="V24" s="72" t="s">
        <v>111</v>
      </c>
      <c r="X24" s="72">
        <v>3221</v>
      </c>
      <c r="Y24" s="72" t="s">
        <v>79</v>
      </c>
      <c r="AA24" s="72" t="str">
        <f t="shared" si="7"/>
        <v>32</v>
      </c>
      <c r="AB24" s="72" t="str">
        <f t="shared" si="8"/>
        <v>322</v>
      </c>
      <c r="AD24" s="72" t="s">
        <v>1131</v>
      </c>
      <c r="AE24" s="72" t="s">
        <v>1132</v>
      </c>
      <c r="AF24" s="72" t="str">
        <f t="shared" si="11"/>
        <v>K818050</v>
      </c>
      <c r="AG24" s="72" t="str">
        <f>VLOOKUP(AF24,AKT!$C$4:$E$324,3,FALSE)</f>
        <v>0950</v>
      </c>
    </row>
    <row r="25" spans="1:33">
      <c r="A25" s="82">
        <v>563</v>
      </c>
      <c r="B25" s="77" t="str">
        <f t="shared" si="18"/>
        <v>Europski fond za regionalni razvoj (ERDF)</v>
      </c>
      <c r="C25" s="368">
        <v>3213</v>
      </c>
      <c r="D25" s="77" t="str">
        <f t="shared" si="0"/>
        <v>Stručno usavršavanje zaposlenika</v>
      </c>
      <c r="E25" s="114" t="s">
        <v>865</v>
      </c>
      <c r="F25" s="77" t="str">
        <f t="shared" si="1"/>
        <v>Vrhunska istraživanja Znanstvenih centara izvrsnosti</v>
      </c>
      <c r="G25" s="77" t="str">
        <f t="shared" si="2"/>
        <v>0942</v>
      </c>
      <c r="H25" s="370">
        <v>0</v>
      </c>
      <c r="I25" s="371">
        <f t="shared" si="3"/>
        <v>1600</v>
      </c>
      <c r="J25" s="371">
        <v>1600</v>
      </c>
      <c r="K25" s="373" t="s">
        <v>5296</v>
      </c>
      <c r="L25" s="125"/>
      <c r="M25" s="125"/>
      <c r="N25" s="126"/>
      <c r="O25" s="303"/>
      <c r="P25" s="81"/>
      <c r="R25" s="72" t="str">
        <f t="shared" si="4"/>
        <v>321</v>
      </c>
      <c r="S25" s="72" t="str">
        <f t="shared" si="5"/>
        <v>32</v>
      </c>
    </row>
    <row r="26" spans="1:33">
      <c r="A26" s="82">
        <v>563</v>
      </c>
      <c r="B26" s="77" t="str">
        <f t="shared" si="18"/>
        <v>Europski fond za regionalni razvoj (ERDF)</v>
      </c>
      <c r="C26" s="368">
        <v>3233</v>
      </c>
      <c r="D26" s="77" t="str">
        <f t="shared" si="0"/>
        <v>Usluge promidžbe i informiranja</v>
      </c>
      <c r="E26" s="114" t="s">
        <v>865</v>
      </c>
      <c r="F26" s="77" t="str">
        <f t="shared" si="1"/>
        <v>Vrhunska istraživanja Znanstvenih centara izvrsnosti</v>
      </c>
      <c r="G26" s="77" t="str">
        <f t="shared" si="2"/>
        <v>0942</v>
      </c>
      <c r="H26" s="370">
        <v>10618</v>
      </c>
      <c r="I26" s="371">
        <f t="shared" si="3"/>
        <v>2882</v>
      </c>
      <c r="J26" s="371">
        <v>13500</v>
      </c>
      <c r="K26" s="373" t="s">
        <v>5296</v>
      </c>
      <c r="L26" s="125"/>
      <c r="M26" s="125"/>
      <c r="N26" s="126"/>
      <c r="O26" s="303"/>
      <c r="P26" s="81"/>
      <c r="R26" s="72" t="str">
        <f t="shared" si="4"/>
        <v>323</v>
      </c>
      <c r="S26" s="72" t="str">
        <f t="shared" si="5"/>
        <v>32</v>
      </c>
      <c r="T26" s="72" t="str">
        <f t="shared" si="6"/>
        <v>94</v>
      </c>
      <c r="U26" s="72">
        <v>563</v>
      </c>
      <c r="V26" s="72" t="s">
        <v>113</v>
      </c>
      <c r="X26" s="72">
        <v>3222</v>
      </c>
      <c r="Y26" s="72" t="s">
        <v>100</v>
      </c>
      <c r="AA26" s="72" t="str">
        <f t="shared" si="7"/>
        <v>32</v>
      </c>
      <c r="AB26" s="72" t="str">
        <f t="shared" si="8"/>
        <v>322</v>
      </c>
      <c r="AD26" s="72" t="s">
        <v>1133</v>
      </c>
      <c r="AE26" s="72" t="s">
        <v>1134</v>
      </c>
      <c r="AF26" s="72" t="str">
        <f t="shared" si="11"/>
        <v>K818050</v>
      </c>
      <c r="AG26" s="72" t="str">
        <f>VLOOKUP(AF26,AKT!$C$4:$E$324,3,FALSE)</f>
        <v>0950</v>
      </c>
    </row>
    <row r="27" spans="1:33">
      <c r="A27" s="82">
        <v>563</v>
      </c>
      <c r="B27" s="77" t="str">
        <f t="shared" si="18"/>
        <v>Europski fond za regionalni razvoj (ERDF)</v>
      </c>
      <c r="C27" s="368">
        <v>3111</v>
      </c>
      <c r="D27" s="77" t="str">
        <f t="shared" si="0"/>
        <v>Plaće za redovan rad</v>
      </c>
      <c r="E27" s="114" t="s">
        <v>865</v>
      </c>
      <c r="F27" s="77" t="str">
        <f t="shared" si="1"/>
        <v>Vrhunska istraživanja Znanstvenih centara izvrsnosti</v>
      </c>
      <c r="G27" s="77" t="str">
        <f t="shared" si="2"/>
        <v>0942</v>
      </c>
      <c r="H27" s="372">
        <v>85919</v>
      </c>
      <c r="I27" s="371">
        <f t="shared" si="3"/>
        <v>-74919</v>
      </c>
      <c r="J27" s="371">
        <v>11000</v>
      </c>
      <c r="K27" s="373" t="s">
        <v>5296</v>
      </c>
      <c r="L27" s="125"/>
      <c r="M27" s="125"/>
      <c r="N27" s="126"/>
      <c r="O27" s="303"/>
      <c r="P27" s="81"/>
      <c r="R27" s="72" t="str">
        <f t="shared" si="4"/>
        <v>311</v>
      </c>
      <c r="S27" s="72" t="str">
        <f t="shared" si="5"/>
        <v>31</v>
      </c>
      <c r="T27" s="72" t="str">
        <f t="shared" si="6"/>
        <v>94</v>
      </c>
      <c r="U27" s="72">
        <v>573</v>
      </c>
      <c r="V27" t="s">
        <v>1220</v>
      </c>
      <c r="X27" s="72">
        <v>3223</v>
      </c>
      <c r="Y27" s="72" t="s">
        <v>88</v>
      </c>
      <c r="AA27" s="72" t="str">
        <f t="shared" si="7"/>
        <v>32</v>
      </c>
      <c r="AB27" s="72" t="str">
        <f t="shared" si="8"/>
        <v>322</v>
      </c>
      <c r="AD27" s="72" t="s">
        <v>1135</v>
      </c>
      <c r="AE27" s="72" t="s">
        <v>1136</v>
      </c>
      <c r="AF27" s="72" t="str">
        <f t="shared" si="11"/>
        <v>K818050</v>
      </c>
      <c r="AG27" s="72" t="str">
        <f>VLOOKUP(AF27,AKT!$C$4:$E$324,3,FALSE)</f>
        <v>0950</v>
      </c>
    </row>
    <row r="28" spans="1:33">
      <c r="A28" s="82">
        <v>563</v>
      </c>
      <c r="B28" s="77" t="str">
        <f t="shared" si="18"/>
        <v>Europski fond za regionalni razvoj (ERDF)</v>
      </c>
      <c r="C28" s="368">
        <v>3132</v>
      </c>
      <c r="D28" s="77" t="str">
        <f t="shared" si="0"/>
        <v>Doprinosi za obvezno zdravstveno osiguranje</v>
      </c>
      <c r="E28" s="114" t="s">
        <v>865</v>
      </c>
      <c r="F28" s="77" t="str">
        <f t="shared" si="1"/>
        <v>Vrhunska istraživanja Znanstvenih centara izvrsnosti</v>
      </c>
      <c r="G28" s="77" t="str">
        <f t="shared" si="2"/>
        <v>0942</v>
      </c>
      <c r="H28" s="370">
        <v>17081</v>
      </c>
      <c r="I28" s="371">
        <f t="shared" si="3"/>
        <v>-15081</v>
      </c>
      <c r="J28" s="371">
        <v>2000</v>
      </c>
      <c r="K28" s="373" t="s">
        <v>5296</v>
      </c>
      <c r="L28" s="125"/>
      <c r="M28" s="125"/>
      <c r="N28" s="126"/>
      <c r="O28" s="303"/>
      <c r="P28" s="81"/>
      <c r="R28" s="72" t="str">
        <f t="shared" si="4"/>
        <v>313</v>
      </c>
      <c r="S28" s="72" t="str">
        <f t="shared" si="5"/>
        <v>31</v>
      </c>
      <c r="T28" s="72" t="str">
        <f t="shared" si="6"/>
        <v>94</v>
      </c>
      <c r="U28">
        <v>575</v>
      </c>
      <c r="V28" t="s">
        <v>1222</v>
      </c>
      <c r="X28" s="72">
        <v>3224</v>
      </c>
      <c r="Y28" s="72" t="s">
        <v>93</v>
      </c>
      <c r="AA28" s="72" t="str">
        <f t="shared" si="7"/>
        <v>32</v>
      </c>
      <c r="AB28" s="72" t="str">
        <f t="shared" si="8"/>
        <v>322</v>
      </c>
      <c r="AD28" s="72" t="s">
        <v>1137</v>
      </c>
      <c r="AE28" s="72" t="s">
        <v>1138</v>
      </c>
      <c r="AF28" s="72" t="str">
        <f t="shared" si="11"/>
        <v>K818050</v>
      </c>
      <c r="AG28" s="72" t="str">
        <f>VLOOKUP(AF28,AKT!$C$4:$E$324,3,FALSE)</f>
        <v>0950</v>
      </c>
    </row>
    <row r="29" spans="1:33">
      <c r="A29" s="82">
        <v>52</v>
      </c>
      <c r="B29" s="77" t="str">
        <f t="shared" si="18"/>
        <v>Ostale pomoći</v>
      </c>
      <c r="C29" s="368">
        <v>3111</v>
      </c>
      <c r="D29" s="77" t="str">
        <f t="shared" si="0"/>
        <v>Plaće za redovan rad</v>
      </c>
      <c r="E29" s="114" t="s">
        <v>707</v>
      </c>
      <c r="F29" s="77" t="str">
        <f t="shared" si="1"/>
        <v>ERASMUS+ projekt individualne mobilnosti nastavnog i nenastavnog osoblja kroz boravak na inozemnim ustanovama</v>
      </c>
      <c r="G29" s="77" t="str">
        <f t="shared" si="2"/>
        <v>0942</v>
      </c>
      <c r="H29" s="372">
        <f>53659-31091</f>
        <v>22568</v>
      </c>
      <c r="I29" s="371">
        <f t="shared" si="3"/>
        <v>0</v>
      </c>
      <c r="J29" s="371">
        <v>22568</v>
      </c>
      <c r="K29" s="126"/>
      <c r="L29" s="125"/>
      <c r="M29" s="125"/>
      <c r="N29" s="126"/>
      <c r="O29" s="303"/>
      <c r="P29" s="81"/>
      <c r="R29" s="72" t="str">
        <f t="shared" si="4"/>
        <v>311</v>
      </c>
      <c r="S29" s="72" t="str">
        <f t="shared" si="5"/>
        <v>31</v>
      </c>
      <c r="T29" s="72" t="str">
        <f t="shared" si="6"/>
        <v>94</v>
      </c>
      <c r="U29" s="131">
        <v>576</v>
      </c>
      <c r="V29" s="165" t="s">
        <v>1702</v>
      </c>
      <c r="X29" s="72">
        <v>3225</v>
      </c>
      <c r="Y29" s="72" t="s">
        <v>101</v>
      </c>
      <c r="AA29" s="72" t="str">
        <f t="shared" si="7"/>
        <v>32</v>
      </c>
      <c r="AB29" s="72" t="str">
        <f t="shared" si="8"/>
        <v>322</v>
      </c>
      <c r="AD29" s="72" t="s">
        <v>1139</v>
      </c>
      <c r="AE29" s="72" t="s">
        <v>872</v>
      </c>
      <c r="AF29" s="72" t="str">
        <f t="shared" si="11"/>
        <v>K818050</v>
      </c>
      <c r="AG29" s="72" t="str">
        <f>VLOOKUP(AF29,AKT!$C$4:$E$324,3,FALSE)</f>
        <v>0950</v>
      </c>
    </row>
    <row r="30" spans="1:33">
      <c r="A30" s="82">
        <v>52</v>
      </c>
      <c r="B30" s="77" t="str">
        <f t="shared" si="18"/>
        <v>Ostale pomoći</v>
      </c>
      <c r="C30" s="368">
        <v>3121</v>
      </c>
      <c r="D30" s="77" t="str">
        <f t="shared" si="0"/>
        <v>Ostali rashodi za zaposlene</v>
      </c>
      <c r="E30" s="114" t="s">
        <v>707</v>
      </c>
      <c r="F30" s="77" t="str">
        <f t="shared" si="1"/>
        <v>ERASMUS+ projekt individualne mobilnosti nastavnog i nenastavnog osoblja kroz boravak na inozemnim ustanovama</v>
      </c>
      <c r="G30" s="77" t="str">
        <f t="shared" si="2"/>
        <v>0942</v>
      </c>
      <c r="H30" s="372">
        <v>0</v>
      </c>
      <c r="I30" s="371">
        <f t="shared" si="3"/>
        <v>1100</v>
      </c>
      <c r="J30" s="371">
        <v>1100</v>
      </c>
      <c r="K30" s="126"/>
      <c r="L30" s="125"/>
      <c r="M30" s="125"/>
      <c r="N30" s="126"/>
      <c r="O30" s="303"/>
      <c r="P30" s="81"/>
      <c r="R30" s="72" t="str">
        <f t="shared" si="4"/>
        <v>312</v>
      </c>
      <c r="S30" s="72" t="str">
        <f t="shared" si="5"/>
        <v>31</v>
      </c>
      <c r="U30" s="131"/>
      <c r="V30" s="165"/>
    </row>
    <row r="31" spans="1:33">
      <c r="A31" s="82">
        <v>52</v>
      </c>
      <c r="B31" s="77" t="str">
        <f t="shared" si="18"/>
        <v>Ostale pomoći</v>
      </c>
      <c r="C31" s="368">
        <v>3132</v>
      </c>
      <c r="D31" s="77" t="str">
        <f t="shared" si="0"/>
        <v>Doprinosi za obvezno zdravstveno osiguranje</v>
      </c>
      <c r="E31" s="114" t="s">
        <v>707</v>
      </c>
      <c r="F31" s="77" t="str">
        <f t="shared" si="1"/>
        <v>ERASMUS+ projekt individualne mobilnosti nastavnog i nenastavnog osoblja kroz boravak na inozemnim ustanovama</v>
      </c>
      <c r="G31" s="77" t="str">
        <f t="shared" si="2"/>
        <v>0942</v>
      </c>
      <c r="H31" s="370">
        <f>10104-5645</f>
        <v>4459</v>
      </c>
      <c r="I31" s="371">
        <f t="shared" si="3"/>
        <v>0</v>
      </c>
      <c r="J31" s="371">
        <v>4459</v>
      </c>
      <c r="K31" s="126"/>
      <c r="L31" s="125"/>
      <c r="M31" s="125"/>
      <c r="N31" s="126"/>
      <c r="O31" s="303"/>
      <c r="P31" s="81"/>
      <c r="R31" s="72" t="str">
        <f t="shared" si="4"/>
        <v>313</v>
      </c>
      <c r="S31" s="72" t="str">
        <f t="shared" si="5"/>
        <v>31</v>
      </c>
      <c r="T31" s="72" t="str">
        <f t="shared" si="6"/>
        <v>94</v>
      </c>
      <c r="U31" s="138">
        <v>581</v>
      </c>
      <c r="V31" s="139" t="s">
        <v>1777</v>
      </c>
      <c r="X31" s="72">
        <v>3226</v>
      </c>
      <c r="Y31" s="72" t="s">
        <v>175</v>
      </c>
      <c r="AA31" s="72" t="str">
        <f t="shared" si="7"/>
        <v>32</v>
      </c>
      <c r="AB31" s="72" t="str">
        <f t="shared" si="8"/>
        <v>322</v>
      </c>
      <c r="AD31" s="72" t="s">
        <v>1140</v>
      </c>
      <c r="AE31" s="72" t="s">
        <v>874</v>
      </c>
      <c r="AF31" s="72" t="str">
        <f t="shared" si="11"/>
        <v>K818050</v>
      </c>
      <c r="AG31" s="72" t="str">
        <f>VLOOKUP(AF31,AKT!$C$4:$E$324,3,FALSE)</f>
        <v>0950</v>
      </c>
    </row>
    <row r="32" spans="1:33">
      <c r="A32" s="82">
        <v>52</v>
      </c>
      <c r="B32" s="77" t="str">
        <f t="shared" si="18"/>
        <v>Ostale pomoći</v>
      </c>
      <c r="C32" s="368">
        <v>3211</v>
      </c>
      <c r="D32" s="77" t="str">
        <f t="shared" si="0"/>
        <v>Službena putovanja</v>
      </c>
      <c r="E32" s="114" t="s">
        <v>707</v>
      </c>
      <c r="F32" s="77" t="str">
        <f t="shared" si="1"/>
        <v>ERASMUS+ projekt individualne mobilnosti nastavnog i nenastavnog osoblja kroz boravak na inozemnim ustanovama</v>
      </c>
      <c r="G32" s="77" t="str">
        <f t="shared" si="2"/>
        <v>0942</v>
      </c>
      <c r="H32" s="370">
        <f>121387-24026</f>
        <v>97361</v>
      </c>
      <c r="I32" s="371">
        <f t="shared" si="3"/>
        <v>-1000</v>
      </c>
      <c r="J32" s="371">
        <v>96361</v>
      </c>
      <c r="K32" s="126"/>
      <c r="L32" s="125"/>
      <c r="M32" s="125"/>
      <c r="N32" s="126"/>
      <c r="O32" s="303"/>
      <c r="P32" s="81"/>
      <c r="R32" s="72" t="str">
        <f t="shared" si="4"/>
        <v>321</v>
      </c>
      <c r="S32" s="72" t="str">
        <f t="shared" si="5"/>
        <v>32</v>
      </c>
      <c r="T32" s="72" t="str">
        <f t="shared" si="6"/>
        <v>94</v>
      </c>
      <c r="U32" s="72">
        <v>71</v>
      </c>
      <c r="V32" s="72" t="s">
        <v>173</v>
      </c>
      <c r="X32" s="72">
        <v>3231</v>
      </c>
      <c r="Y32" s="72" t="s">
        <v>102</v>
      </c>
      <c r="AA32" s="72" t="str">
        <f t="shared" si="7"/>
        <v>32</v>
      </c>
      <c r="AB32" s="72" t="str">
        <f t="shared" si="8"/>
        <v>323</v>
      </c>
      <c r="AD32" s="72" t="s">
        <v>1142</v>
      </c>
      <c r="AE32" s="72" t="s">
        <v>1143</v>
      </c>
      <c r="AF32" s="72" t="str">
        <f t="shared" si="11"/>
        <v>K818050</v>
      </c>
      <c r="AG32" s="72" t="str">
        <f>VLOOKUP(AF32,AKT!$C$4:$E$324,3,FALSE)</f>
        <v>0950</v>
      </c>
    </row>
    <row r="33" spans="1:33">
      <c r="A33" s="82">
        <v>52</v>
      </c>
      <c r="B33" s="77" t="str">
        <f t="shared" si="18"/>
        <v>Ostale pomoći</v>
      </c>
      <c r="C33" s="368">
        <v>3212</v>
      </c>
      <c r="D33" s="77" t="str">
        <f t="shared" si="0"/>
        <v>Naknade za prijevoz, za rad na terenu i odvojeni život</v>
      </c>
      <c r="E33" s="114" t="s">
        <v>707</v>
      </c>
      <c r="F33" s="77" t="str">
        <f t="shared" si="1"/>
        <v>ERASMUS+ projekt individualne mobilnosti nastavnog i nenastavnog osoblja kroz boravak na inozemnim ustanovama</v>
      </c>
      <c r="G33" s="77" t="str">
        <f t="shared" si="2"/>
        <v>0942</v>
      </c>
      <c r="H33" s="370">
        <v>0</v>
      </c>
      <c r="I33" s="371">
        <f t="shared" si="3"/>
        <v>1000</v>
      </c>
      <c r="J33" s="371">
        <v>1000</v>
      </c>
      <c r="K33" s="126"/>
      <c r="L33" s="125"/>
      <c r="M33" s="125"/>
      <c r="N33" s="126"/>
      <c r="O33" s="303"/>
      <c r="P33" s="81"/>
      <c r="R33" s="72" t="str">
        <f t="shared" si="4"/>
        <v>321</v>
      </c>
      <c r="S33" s="72" t="str">
        <f t="shared" si="5"/>
        <v>32</v>
      </c>
    </row>
    <row r="34" spans="1:33">
      <c r="A34" s="82">
        <v>52</v>
      </c>
      <c r="B34" s="77" t="str">
        <f t="shared" si="18"/>
        <v>Ostale pomoći</v>
      </c>
      <c r="C34" s="368">
        <v>3221</v>
      </c>
      <c r="D34" s="77" t="str">
        <f t="shared" si="0"/>
        <v>Uredski materijal i ostali materijalni rashodi</v>
      </c>
      <c r="E34" s="114" t="s">
        <v>707</v>
      </c>
      <c r="F34" s="77" t="str">
        <f t="shared" si="1"/>
        <v>ERASMUS+ projekt individualne mobilnosti nastavnog i nenastavnog osoblja kroz boravak na inozemnim ustanovama</v>
      </c>
      <c r="G34" s="77" t="str">
        <f t="shared" si="2"/>
        <v>0942</v>
      </c>
      <c r="H34" s="370">
        <f>16472-6472</f>
        <v>10000</v>
      </c>
      <c r="I34" s="371">
        <f t="shared" si="3"/>
        <v>-120</v>
      </c>
      <c r="J34" s="371">
        <f>700+280+8900</f>
        <v>9880</v>
      </c>
      <c r="K34" s="126"/>
      <c r="L34" s="125"/>
      <c r="M34" s="125"/>
      <c r="N34" s="126"/>
      <c r="O34" s="303"/>
      <c r="P34" s="81"/>
      <c r="R34" s="72" t="str">
        <f t="shared" si="4"/>
        <v>322</v>
      </c>
      <c r="S34" s="72" t="str">
        <f t="shared" si="5"/>
        <v>32</v>
      </c>
      <c r="T34" s="72" t="str">
        <f t="shared" si="6"/>
        <v>94</v>
      </c>
      <c r="U34" s="72">
        <v>81</v>
      </c>
      <c r="V34" s="72" t="s">
        <v>56</v>
      </c>
      <c r="X34" s="72">
        <v>3232</v>
      </c>
      <c r="Y34" s="72" t="s">
        <v>89</v>
      </c>
      <c r="AA34" s="72" t="str">
        <f t="shared" si="7"/>
        <v>32</v>
      </c>
      <c r="AB34" s="72" t="str">
        <f t="shared" si="8"/>
        <v>323</v>
      </c>
      <c r="AD34" s="72" t="s">
        <v>1144</v>
      </c>
      <c r="AE34" s="72" t="s">
        <v>1145</v>
      </c>
      <c r="AF34" s="72" t="str">
        <f t="shared" si="11"/>
        <v>K818050</v>
      </c>
      <c r="AG34" s="72" t="str">
        <f>VLOOKUP(AF34,AKT!$C$4:$E$324,3,FALSE)</f>
        <v>0950</v>
      </c>
    </row>
    <row r="35" spans="1:33">
      <c r="A35" s="82">
        <v>52</v>
      </c>
      <c r="B35" s="77" t="str">
        <f t="shared" si="18"/>
        <v>Ostale pomoći</v>
      </c>
      <c r="C35" s="368">
        <v>3225</v>
      </c>
      <c r="D35" s="77" t="str">
        <f t="shared" si="0"/>
        <v>Sitni inventar i auto gume</v>
      </c>
      <c r="E35" s="114" t="s">
        <v>707</v>
      </c>
      <c r="F35" s="77" t="str">
        <f t="shared" si="1"/>
        <v>ERASMUS+ projekt individualne mobilnosti nastavnog i nenastavnog osoblja kroz boravak na inozemnim ustanovama</v>
      </c>
      <c r="G35" s="77" t="str">
        <f t="shared" si="2"/>
        <v>0942</v>
      </c>
      <c r="H35" s="370">
        <v>0</v>
      </c>
      <c r="I35" s="371">
        <f t="shared" si="3"/>
        <v>120</v>
      </c>
      <c r="J35" s="371">
        <v>120</v>
      </c>
      <c r="K35" s="126"/>
      <c r="L35" s="125"/>
      <c r="M35" s="125"/>
      <c r="N35" s="126"/>
      <c r="O35" s="303"/>
      <c r="P35" s="81"/>
      <c r="R35" s="72" t="str">
        <f t="shared" si="4"/>
        <v>322</v>
      </c>
      <c r="S35" s="72" t="str">
        <f t="shared" si="5"/>
        <v>32</v>
      </c>
    </row>
    <row r="36" spans="1:33">
      <c r="A36" s="82">
        <v>52</v>
      </c>
      <c r="B36" s="77" t="str">
        <f t="shared" si="18"/>
        <v>Ostale pomoći</v>
      </c>
      <c r="C36" s="368">
        <v>3233</v>
      </c>
      <c r="D36" s="77" t="str">
        <f t="shared" si="0"/>
        <v>Usluge promidžbe i informiranja</v>
      </c>
      <c r="E36" s="114" t="s">
        <v>707</v>
      </c>
      <c r="F36" s="77" t="str">
        <f t="shared" si="1"/>
        <v>ERASMUS+ projekt individualne mobilnosti nastavnog i nenastavnog osoblja kroz boravak na inozemnim ustanovama</v>
      </c>
      <c r="G36" s="77" t="str">
        <f t="shared" si="2"/>
        <v>0942</v>
      </c>
      <c r="H36" s="370">
        <v>8000</v>
      </c>
      <c r="I36" s="371">
        <f t="shared" si="3"/>
        <v>0</v>
      </c>
      <c r="J36" s="371">
        <v>8000</v>
      </c>
      <c r="K36" s="126"/>
      <c r="L36" s="125"/>
      <c r="M36" s="125"/>
      <c r="N36" s="126"/>
      <c r="O36" s="303"/>
      <c r="P36" s="81"/>
      <c r="R36" s="72" t="str">
        <f t="shared" si="4"/>
        <v>323</v>
      </c>
      <c r="S36" s="72" t="str">
        <f t="shared" si="5"/>
        <v>32</v>
      </c>
      <c r="T36" s="72" t="str">
        <f t="shared" si="6"/>
        <v>94</v>
      </c>
      <c r="U36" s="168">
        <v>83</v>
      </c>
      <c r="V36" s="168" t="s">
        <v>1211</v>
      </c>
      <c r="X36" s="72">
        <v>3233</v>
      </c>
      <c r="Y36" s="72" t="s">
        <v>77</v>
      </c>
      <c r="AA36" s="72" t="str">
        <f t="shared" si="7"/>
        <v>32</v>
      </c>
      <c r="AB36" s="72" t="str">
        <f t="shared" si="8"/>
        <v>323</v>
      </c>
      <c r="AD36" s="72" t="s">
        <v>1146</v>
      </c>
      <c r="AE36" s="72" t="s">
        <v>1147</v>
      </c>
      <c r="AF36" s="72" t="str">
        <f t="shared" si="11"/>
        <v>K818050</v>
      </c>
      <c r="AG36" s="72" t="str">
        <f>VLOOKUP(AF36,AKT!$C$4:$E$324,3,FALSE)</f>
        <v>0950</v>
      </c>
    </row>
    <row r="37" spans="1:33">
      <c r="A37" s="82">
        <v>52</v>
      </c>
      <c r="B37" s="77" t="str">
        <f t="shared" si="18"/>
        <v>Ostale pomoći</v>
      </c>
      <c r="C37" s="368">
        <v>3237</v>
      </c>
      <c r="D37" s="77" t="str">
        <f t="shared" si="0"/>
        <v>Intelektualne i osobne usluge</v>
      </c>
      <c r="E37" s="114" t="s">
        <v>707</v>
      </c>
      <c r="F37" s="77" t="str">
        <f t="shared" si="1"/>
        <v>ERASMUS+ projekt individualne mobilnosti nastavnog i nenastavnog osoblja kroz boravak na inozemnim ustanovama</v>
      </c>
      <c r="G37" s="77" t="str">
        <f t="shared" si="2"/>
        <v>0942</v>
      </c>
      <c r="H37" s="370">
        <f>69725-1000</f>
        <v>68725</v>
      </c>
      <c r="I37" s="371">
        <f t="shared" si="3"/>
        <v>-725</v>
      </c>
      <c r="J37" s="371">
        <v>68000</v>
      </c>
      <c r="K37" s="126"/>
      <c r="L37" s="125"/>
      <c r="M37" s="125"/>
      <c r="N37" s="126"/>
      <c r="O37" s="303"/>
      <c r="P37" s="81"/>
      <c r="R37" s="72" t="str">
        <f t="shared" si="4"/>
        <v>323</v>
      </c>
      <c r="S37" s="72" t="str">
        <f t="shared" si="5"/>
        <v>32</v>
      </c>
      <c r="T37" s="72" t="str">
        <f t="shared" si="6"/>
        <v>94</v>
      </c>
      <c r="X37" s="72">
        <v>3234</v>
      </c>
      <c r="Y37" s="72" t="s">
        <v>90</v>
      </c>
      <c r="AA37" s="72" t="str">
        <f t="shared" si="7"/>
        <v>32</v>
      </c>
      <c r="AB37" s="72" t="str">
        <f t="shared" si="8"/>
        <v>323</v>
      </c>
      <c r="AD37" s="72" t="s">
        <v>1148</v>
      </c>
      <c r="AE37" s="72" t="s">
        <v>1149</v>
      </c>
      <c r="AF37" s="72" t="str">
        <f t="shared" si="11"/>
        <v>K818050</v>
      </c>
      <c r="AG37" s="72" t="str">
        <f>VLOOKUP(AF37,AKT!$C$4:$E$324,3,FALSE)</f>
        <v>0950</v>
      </c>
    </row>
    <row r="38" spans="1:33">
      <c r="A38" s="82">
        <v>52</v>
      </c>
      <c r="B38" s="77" t="str">
        <f t="shared" si="18"/>
        <v>Ostale pomoći</v>
      </c>
      <c r="C38" s="368">
        <v>3239</v>
      </c>
      <c r="D38" s="77" t="str">
        <f t="shared" si="0"/>
        <v>Ostale usluge</v>
      </c>
      <c r="E38" s="114" t="s">
        <v>707</v>
      </c>
      <c r="F38" s="77" t="str">
        <f t="shared" si="1"/>
        <v>ERASMUS+ projekt individualne mobilnosti nastavnog i nenastavnog osoblja kroz boravak na inozemnim ustanovama</v>
      </c>
      <c r="G38" s="77" t="str">
        <f t="shared" si="2"/>
        <v>0942</v>
      </c>
      <c r="H38" s="370">
        <f>6874-5674</f>
        <v>1200</v>
      </c>
      <c r="I38" s="371">
        <f t="shared" si="3"/>
        <v>-200</v>
      </c>
      <c r="J38" s="371">
        <v>1000</v>
      </c>
      <c r="K38" s="126"/>
      <c r="L38" s="125"/>
      <c r="M38" s="125"/>
      <c r="N38" s="126"/>
      <c r="O38" s="303"/>
      <c r="P38" s="81"/>
      <c r="R38" s="72" t="str">
        <f t="shared" si="4"/>
        <v>323</v>
      </c>
      <c r="S38" s="72" t="str">
        <f t="shared" si="5"/>
        <v>32</v>
      </c>
      <c r="T38" s="72" t="str">
        <f t="shared" si="6"/>
        <v>94</v>
      </c>
      <c r="X38" s="72">
        <v>3235</v>
      </c>
      <c r="Y38" s="72" t="s">
        <v>110</v>
      </c>
      <c r="AA38" s="72" t="str">
        <f t="shared" si="7"/>
        <v>32</v>
      </c>
      <c r="AB38" s="72" t="str">
        <f t="shared" si="8"/>
        <v>323</v>
      </c>
      <c r="AD38" s="72" t="s">
        <v>1150</v>
      </c>
      <c r="AE38" s="72" t="s">
        <v>1151</v>
      </c>
      <c r="AF38" s="72" t="str">
        <f t="shared" si="11"/>
        <v>K818050</v>
      </c>
      <c r="AG38" s="72" t="str">
        <f>VLOOKUP(AF38,AKT!$C$4:$E$324,3,FALSE)</f>
        <v>0950</v>
      </c>
    </row>
    <row r="39" spans="1:33">
      <c r="A39" s="82">
        <v>52</v>
      </c>
      <c r="B39" s="77" t="str">
        <f t="shared" si="18"/>
        <v>Ostale pomoći</v>
      </c>
      <c r="C39" s="368">
        <v>3241</v>
      </c>
      <c r="D39" s="77" t="str">
        <f t="shared" si="0"/>
        <v>Naknade troškova osobama izvan radnog odnosa</v>
      </c>
      <c r="E39" s="114" t="s">
        <v>707</v>
      </c>
      <c r="F39" s="77" t="str">
        <f t="shared" si="1"/>
        <v>ERASMUS+ projekt individualne mobilnosti nastavnog i nenastavnog osoblja kroz boravak na inozemnim ustanovama</v>
      </c>
      <c r="G39" s="77" t="str">
        <f t="shared" si="2"/>
        <v>0942</v>
      </c>
      <c r="H39" s="370">
        <v>5000</v>
      </c>
      <c r="I39" s="371">
        <f t="shared" si="3"/>
        <v>0</v>
      </c>
      <c r="J39" s="371">
        <v>5000</v>
      </c>
      <c r="K39" s="126"/>
      <c r="L39" s="125"/>
      <c r="M39" s="125"/>
      <c r="N39" s="126"/>
      <c r="O39" s="303"/>
      <c r="P39" s="81"/>
      <c r="R39" s="72" t="str">
        <f t="shared" si="4"/>
        <v>324</v>
      </c>
      <c r="S39" s="72" t="str">
        <f t="shared" si="5"/>
        <v>32</v>
      </c>
      <c r="T39" s="72" t="str">
        <f t="shared" si="6"/>
        <v>94</v>
      </c>
      <c r="X39" s="72">
        <v>3236</v>
      </c>
      <c r="Y39" s="72" t="s">
        <v>53</v>
      </c>
      <c r="AA39" s="72" t="str">
        <f t="shared" si="7"/>
        <v>32</v>
      </c>
      <c r="AB39" s="72" t="str">
        <f t="shared" si="8"/>
        <v>323</v>
      </c>
      <c r="AD39" s="72" t="s">
        <v>1152</v>
      </c>
      <c r="AE39" s="72" t="s">
        <v>1153</v>
      </c>
      <c r="AF39" s="72" t="str">
        <f t="shared" si="11"/>
        <v>K818050</v>
      </c>
      <c r="AG39" s="72" t="str">
        <f>VLOOKUP(AF39,AKT!$C$4:$E$324,3,FALSE)</f>
        <v>0950</v>
      </c>
    </row>
    <row r="40" spans="1:33">
      <c r="A40" s="82">
        <v>52</v>
      </c>
      <c r="B40" s="77" t="str">
        <f t="shared" si="18"/>
        <v>Ostale pomoći</v>
      </c>
      <c r="C40" s="368">
        <v>3293</v>
      </c>
      <c r="D40" s="77" t="str">
        <f t="shared" si="0"/>
        <v>Reprezentacija</v>
      </c>
      <c r="E40" s="114" t="s">
        <v>707</v>
      </c>
      <c r="F40" s="77" t="str">
        <f t="shared" si="1"/>
        <v>ERASMUS+ projekt individualne mobilnosti nastavnog i nenastavnog osoblja kroz boravak na inozemnim ustanovama</v>
      </c>
      <c r="G40" s="77" t="str">
        <f t="shared" si="2"/>
        <v>0942</v>
      </c>
      <c r="H40" s="370">
        <f>60517-3000</f>
        <v>57517</v>
      </c>
      <c r="I40" s="371">
        <f t="shared" si="3"/>
        <v>-49617</v>
      </c>
      <c r="J40" s="371">
        <v>7900</v>
      </c>
      <c r="K40" s="126"/>
      <c r="L40" s="125"/>
      <c r="M40" s="125"/>
      <c r="N40" s="126"/>
      <c r="O40" s="303"/>
      <c r="P40" s="81"/>
      <c r="R40" s="72" t="str">
        <f t="shared" si="4"/>
        <v>329</v>
      </c>
      <c r="S40" s="72" t="str">
        <f t="shared" si="5"/>
        <v>32</v>
      </c>
      <c r="T40" s="72" t="str">
        <f t="shared" si="6"/>
        <v>94</v>
      </c>
      <c r="X40" s="72">
        <v>3237</v>
      </c>
      <c r="Y40" s="72" t="s">
        <v>66</v>
      </c>
      <c r="AA40" s="72" t="str">
        <f t="shared" si="7"/>
        <v>32</v>
      </c>
      <c r="AB40" s="72" t="str">
        <f t="shared" si="8"/>
        <v>323</v>
      </c>
      <c r="AD40" s="72" t="s">
        <v>1154</v>
      </c>
      <c r="AE40" s="72" t="s">
        <v>1155</v>
      </c>
      <c r="AF40" s="72" t="str">
        <f t="shared" si="11"/>
        <v>K818050</v>
      </c>
      <c r="AG40" s="72" t="str">
        <f>VLOOKUP(AF40,AKT!$C$4:$E$324,3,FALSE)</f>
        <v>0950</v>
      </c>
    </row>
    <row r="41" spans="1:33">
      <c r="A41" s="82">
        <v>52</v>
      </c>
      <c r="B41" s="77" t="str">
        <f t="shared" si="18"/>
        <v>Ostale pomoći</v>
      </c>
      <c r="C41" s="368">
        <v>3299</v>
      </c>
      <c r="D41" s="77" t="str">
        <f t="shared" si="0"/>
        <v>Ostali nespomenuti rashodi poslovanja</v>
      </c>
      <c r="E41" s="114" t="s">
        <v>707</v>
      </c>
      <c r="F41" s="77" t="str">
        <f t="shared" si="1"/>
        <v>ERASMUS+ projekt individualne mobilnosti nastavnog i nenastavnog osoblja kroz boravak na inozemnim ustanovama</v>
      </c>
      <c r="G41" s="77" t="str">
        <f t="shared" si="2"/>
        <v>0942</v>
      </c>
      <c r="H41" s="370">
        <f>18236-1600</f>
        <v>16636</v>
      </c>
      <c r="I41" s="371">
        <f t="shared" si="3"/>
        <v>93364</v>
      </c>
      <c r="J41" s="371">
        <v>110000</v>
      </c>
      <c r="K41" s="126"/>
      <c r="L41" s="125"/>
      <c r="M41" s="125"/>
      <c r="N41" s="126"/>
      <c r="O41" s="303"/>
      <c r="P41" s="81"/>
      <c r="R41" s="72" t="str">
        <f t="shared" si="4"/>
        <v>329</v>
      </c>
      <c r="S41" s="72" t="str">
        <f t="shared" si="5"/>
        <v>32</v>
      </c>
      <c r="T41" s="72" t="str">
        <f t="shared" si="6"/>
        <v>94</v>
      </c>
      <c r="X41" s="72">
        <v>3238</v>
      </c>
      <c r="Y41" s="72" t="s">
        <v>103</v>
      </c>
      <c r="AA41" s="72" t="str">
        <f t="shared" si="7"/>
        <v>32</v>
      </c>
      <c r="AB41" s="72" t="str">
        <f t="shared" si="8"/>
        <v>323</v>
      </c>
      <c r="AD41" s="72" t="s">
        <v>1156</v>
      </c>
      <c r="AE41" s="72" t="s">
        <v>1157</v>
      </c>
      <c r="AF41" s="72" t="str">
        <f t="shared" si="11"/>
        <v>K818050</v>
      </c>
      <c r="AG41" s="72" t="str">
        <f>VLOOKUP(AF41,AKT!$C$4:$E$324,3,FALSE)</f>
        <v>0950</v>
      </c>
    </row>
    <row r="42" spans="1:33">
      <c r="A42" s="82">
        <v>52</v>
      </c>
      <c r="B42" s="77" t="str">
        <f t="shared" si="18"/>
        <v>Ostale pomoći</v>
      </c>
      <c r="C42" s="368">
        <v>3723</v>
      </c>
      <c r="D42" s="77" t="str">
        <f t="shared" si="0"/>
        <v>Naknade građanima i kućanstvima iz EU sredstava</v>
      </c>
      <c r="E42" s="114" t="s">
        <v>707</v>
      </c>
      <c r="F42" s="77" t="str">
        <f t="shared" si="1"/>
        <v>ERASMUS+ projekt individualne mobilnosti nastavnog i nenastavnog osoblja kroz boravak na inozemnim ustanovama</v>
      </c>
      <c r="G42" s="77" t="str">
        <f t="shared" si="2"/>
        <v>0942</v>
      </c>
      <c r="H42" s="370">
        <v>782172</v>
      </c>
      <c r="I42" s="371">
        <f t="shared" si="3"/>
        <v>-232172</v>
      </c>
      <c r="J42" s="371">
        <v>550000</v>
      </c>
      <c r="K42" s="126"/>
      <c r="L42" s="125"/>
      <c r="M42" s="125"/>
      <c r="N42" s="126"/>
      <c r="O42" s="303"/>
      <c r="P42" s="81"/>
      <c r="R42" s="72" t="str">
        <f t="shared" si="4"/>
        <v>372</v>
      </c>
      <c r="S42" s="72" t="str">
        <f t="shared" si="5"/>
        <v>37</v>
      </c>
      <c r="T42" s="72" t="str">
        <f t="shared" si="6"/>
        <v>94</v>
      </c>
      <c r="X42" s="72">
        <v>3239</v>
      </c>
      <c r="Y42" s="72" t="s">
        <v>83</v>
      </c>
      <c r="AA42" s="72" t="str">
        <f t="shared" si="7"/>
        <v>32</v>
      </c>
      <c r="AB42" s="72" t="str">
        <f t="shared" si="8"/>
        <v>323</v>
      </c>
      <c r="AD42" s="72" t="s">
        <v>1158</v>
      </c>
      <c r="AE42" s="72" t="s">
        <v>1159</v>
      </c>
      <c r="AF42" s="72" t="str">
        <f t="shared" si="11"/>
        <v>K818050</v>
      </c>
      <c r="AG42" s="72" t="str">
        <f>VLOOKUP(AF42,AKT!$C$4:$E$324,3,FALSE)</f>
        <v>0950</v>
      </c>
    </row>
    <row r="43" spans="1:33">
      <c r="A43" s="82">
        <v>52</v>
      </c>
      <c r="B43" s="77" t="str">
        <f t="shared" si="18"/>
        <v>Ostale pomoći</v>
      </c>
      <c r="C43" s="368">
        <v>3693</v>
      </c>
      <c r="D43" s="77" t="str">
        <f t="shared" si="0"/>
        <v>Tekući prijenosi između proračunskih korisnika istog proraču</v>
      </c>
      <c r="E43" s="114" t="s">
        <v>707</v>
      </c>
      <c r="F43" s="77" t="str">
        <f t="shared" si="1"/>
        <v>ERASMUS+ projekt individualne mobilnosti nastavnog i nenastavnog osoblja kroz boravak na inozemnim ustanovama</v>
      </c>
      <c r="G43" s="77" t="str">
        <f t="shared" si="2"/>
        <v>0942</v>
      </c>
      <c r="H43" s="371">
        <v>0</v>
      </c>
      <c r="I43" s="371">
        <f t="shared" si="3"/>
        <v>644368</v>
      </c>
      <c r="J43" s="371">
        <v>644368</v>
      </c>
      <c r="K43" s="126"/>
      <c r="L43" s="125"/>
      <c r="M43" s="125"/>
      <c r="N43" s="126"/>
      <c r="O43" s="303"/>
      <c r="P43" s="81"/>
      <c r="R43" s="72" t="str">
        <f t="shared" si="4"/>
        <v>369</v>
      </c>
      <c r="S43" s="72" t="str">
        <f t="shared" si="5"/>
        <v>36</v>
      </c>
      <c r="T43" s="72" t="str">
        <f t="shared" si="6"/>
        <v>94</v>
      </c>
      <c r="X43" s="72">
        <v>3241</v>
      </c>
      <c r="Y43" s="72" t="s">
        <v>80</v>
      </c>
      <c r="AA43" s="72" t="str">
        <f t="shared" si="7"/>
        <v>32</v>
      </c>
      <c r="AB43" s="72" t="str">
        <f t="shared" si="8"/>
        <v>324</v>
      </c>
      <c r="AD43" s="72" t="s">
        <v>1160</v>
      </c>
      <c r="AE43" s="72" t="s">
        <v>1161</v>
      </c>
      <c r="AF43" s="72" t="str">
        <f t="shared" si="11"/>
        <v>K818050</v>
      </c>
      <c r="AG43" s="72" t="str">
        <f>VLOOKUP(AF43,AKT!$C$4:$E$324,3,FALSE)</f>
        <v>0950</v>
      </c>
    </row>
    <row r="44" spans="1:33">
      <c r="A44" s="82">
        <v>52</v>
      </c>
      <c r="B44" s="77" t="str">
        <f t="shared" si="18"/>
        <v>Ostale pomoći</v>
      </c>
      <c r="C44" s="368">
        <v>4221</v>
      </c>
      <c r="D44" s="77" t="str">
        <f t="shared" si="0"/>
        <v>Uredska oprema i namještaj</v>
      </c>
      <c r="E44" s="114" t="s">
        <v>707</v>
      </c>
      <c r="F44" s="77" t="str">
        <f t="shared" si="1"/>
        <v>ERASMUS+ projekt individualne mobilnosti nastavnog i nenastavnog osoblja kroz boravak na inozemnim ustanovama</v>
      </c>
      <c r="G44" s="77" t="str">
        <f t="shared" si="2"/>
        <v>0942</v>
      </c>
      <c r="H44" s="371">
        <v>0</v>
      </c>
      <c r="I44" s="371">
        <f t="shared" si="3"/>
        <v>7000</v>
      </c>
      <c r="J44" s="371">
        <v>7000</v>
      </c>
      <c r="K44" s="126"/>
      <c r="L44" s="125"/>
      <c r="M44" s="125"/>
      <c r="N44" s="126"/>
      <c r="O44" s="303"/>
      <c r="P44" s="81"/>
      <c r="R44" s="72" t="str">
        <f t="shared" si="4"/>
        <v>422</v>
      </c>
      <c r="S44" s="72" t="str">
        <f t="shared" si="5"/>
        <v>42</v>
      </c>
      <c r="T44" s="72" t="str">
        <f t="shared" si="6"/>
        <v>94</v>
      </c>
      <c r="X44" s="72">
        <v>3291</v>
      </c>
      <c r="Y44" s="72" t="s">
        <v>81</v>
      </c>
      <c r="AA44" s="72" t="str">
        <f t="shared" si="7"/>
        <v>32</v>
      </c>
      <c r="AB44" s="72" t="str">
        <f t="shared" si="8"/>
        <v>329</v>
      </c>
      <c r="AD44" s="72" t="s">
        <v>1162</v>
      </c>
      <c r="AE44" s="72" t="s">
        <v>1163</v>
      </c>
      <c r="AF44" s="72" t="str">
        <f t="shared" si="11"/>
        <v>K818050</v>
      </c>
      <c r="AG44" s="72" t="str">
        <f>VLOOKUP(AF44,AKT!$C$4:$E$324,3,FALSE)</f>
        <v>0950</v>
      </c>
    </row>
    <row r="45" spans="1:33">
      <c r="A45" s="82">
        <v>52</v>
      </c>
      <c r="B45" s="77" t="str">
        <f t="shared" si="18"/>
        <v>Ostale pomoći</v>
      </c>
      <c r="C45" s="368">
        <v>4221</v>
      </c>
      <c r="D45" s="77" t="str">
        <f t="shared" si="0"/>
        <v>Uredska oprema i namještaj</v>
      </c>
      <c r="E45" s="114" t="s">
        <v>698</v>
      </c>
      <c r="F45" s="77" t="str">
        <f t="shared" si="1"/>
        <v>NOVI PODPROJEKT</v>
      </c>
      <c r="G45" s="77" t="str">
        <f t="shared" si="2"/>
        <v>NOVI PODPROJEKT</v>
      </c>
      <c r="H45" s="371">
        <v>0</v>
      </c>
      <c r="I45" s="371">
        <f t="shared" si="3"/>
        <v>9000</v>
      </c>
      <c r="J45" s="371">
        <v>9000</v>
      </c>
      <c r="K45" s="126" t="s">
        <v>5280</v>
      </c>
      <c r="L45" s="125"/>
      <c r="M45" s="125"/>
      <c r="N45" s="126"/>
      <c r="O45" s="303"/>
      <c r="P45" s="81"/>
      <c r="R45" s="72" t="str">
        <f t="shared" si="4"/>
        <v>422</v>
      </c>
      <c r="S45" s="72" t="str">
        <f t="shared" si="5"/>
        <v>42</v>
      </c>
      <c r="T45" s="72" t="str">
        <f t="shared" si="6"/>
        <v>OV</v>
      </c>
      <c r="X45" s="72">
        <v>3292</v>
      </c>
      <c r="Y45" s="72" t="s">
        <v>74</v>
      </c>
      <c r="AA45" s="72" t="str">
        <f t="shared" si="7"/>
        <v>32</v>
      </c>
      <c r="AB45" s="72" t="str">
        <f t="shared" si="8"/>
        <v>329</v>
      </c>
      <c r="AD45" s="72" t="s">
        <v>1164</v>
      </c>
      <c r="AE45" s="72" t="s">
        <v>1165</v>
      </c>
      <c r="AF45" s="72" t="str">
        <f t="shared" si="11"/>
        <v>K818050</v>
      </c>
      <c r="AG45" s="72" t="str">
        <f>VLOOKUP(AF45,AKT!$C$4:$E$324,3,FALSE)</f>
        <v>0950</v>
      </c>
    </row>
    <row r="46" spans="1:33">
      <c r="A46" s="82">
        <v>52</v>
      </c>
      <c r="B46" s="77" t="str">
        <f t="shared" si="18"/>
        <v>Ostale pomoći</v>
      </c>
      <c r="C46" s="368">
        <v>4224</v>
      </c>
      <c r="D46" s="77" t="str">
        <f t="shared" si="0"/>
        <v>Medicinska i laboratorijska oprema</v>
      </c>
      <c r="E46" s="114" t="s">
        <v>698</v>
      </c>
      <c r="F46" s="77" t="str">
        <f t="shared" si="1"/>
        <v>NOVI PODPROJEKT</v>
      </c>
      <c r="G46" s="77" t="str">
        <f t="shared" si="2"/>
        <v>NOVI PODPROJEKT</v>
      </c>
      <c r="H46" s="371">
        <v>0</v>
      </c>
      <c r="I46" s="371">
        <f t="shared" si="3"/>
        <v>66000</v>
      </c>
      <c r="J46" s="371">
        <v>66000</v>
      </c>
      <c r="K46" s="126" t="s">
        <v>5280</v>
      </c>
      <c r="L46" s="125"/>
      <c r="M46" s="125"/>
      <c r="N46" s="126"/>
      <c r="O46" s="303"/>
      <c r="P46" s="81"/>
      <c r="R46" s="72" t="str">
        <f t="shared" si="4"/>
        <v>422</v>
      </c>
      <c r="S46" s="72" t="str">
        <f t="shared" si="5"/>
        <v>42</v>
      </c>
      <c r="T46" s="72" t="str">
        <f t="shared" si="6"/>
        <v>OV</v>
      </c>
      <c r="X46" s="72">
        <v>3293</v>
      </c>
      <c r="Y46" s="72" t="s">
        <v>84</v>
      </c>
      <c r="AA46" s="72" t="str">
        <f t="shared" si="7"/>
        <v>32</v>
      </c>
      <c r="AB46" s="72" t="str">
        <f t="shared" si="8"/>
        <v>329</v>
      </c>
      <c r="AD46" s="72" t="s">
        <v>1166</v>
      </c>
      <c r="AE46" s="72" t="s">
        <v>1167</v>
      </c>
      <c r="AF46" s="72" t="str">
        <f t="shared" si="11"/>
        <v>K818050</v>
      </c>
      <c r="AG46" s="72" t="str">
        <f>VLOOKUP(AF46,AKT!$C$4:$E$324,3,FALSE)</f>
        <v>0950</v>
      </c>
    </row>
    <row r="47" spans="1:33">
      <c r="A47" s="82">
        <v>52</v>
      </c>
      <c r="B47" s="77" t="str">
        <f t="shared" si="18"/>
        <v>Ostale pomoći</v>
      </c>
      <c r="C47" s="368">
        <v>4227</v>
      </c>
      <c r="D47" s="77" t="str">
        <f t="shared" si="0"/>
        <v>Uređaji, strojevi i oprema za ostale namjene</v>
      </c>
      <c r="E47" s="114" t="s">
        <v>698</v>
      </c>
      <c r="F47" s="77" t="str">
        <f t="shared" si="1"/>
        <v>NOVI PODPROJEKT</v>
      </c>
      <c r="G47" s="77" t="str">
        <f t="shared" si="2"/>
        <v>NOVI PODPROJEKT</v>
      </c>
      <c r="H47" s="371">
        <v>0</v>
      </c>
      <c r="I47" s="371">
        <f t="shared" si="3"/>
        <v>17000</v>
      </c>
      <c r="J47" s="371">
        <v>17000</v>
      </c>
      <c r="K47" s="126" t="s">
        <v>5280</v>
      </c>
      <c r="L47" s="125"/>
      <c r="M47" s="125"/>
      <c r="N47" s="126"/>
      <c r="O47" s="303"/>
      <c r="P47" s="81"/>
      <c r="R47" s="72" t="str">
        <f t="shared" si="4"/>
        <v>422</v>
      </c>
      <c r="S47" s="72" t="str">
        <f t="shared" si="5"/>
        <v>42</v>
      </c>
      <c r="T47" s="72" t="str">
        <f t="shared" si="6"/>
        <v>OV</v>
      </c>
      <c r="X47" s="72">
        <v>3293</v>
      </c>
      <c r="Y47" s="72" t="s">
        <v>131</v>
      </c>
      <c r="AA47" s="72" t="str">
        <f t="shared" si="7"/>
        <v>32</v>
      </c>
      <c r="AB47" s="72" t="str">
        <f t="shared" si="8"/>
        <v>329</v>
      </c>
      <c r="AD47" s="72" t="s">
        <v>1248</v>
      </c>
      <c r="AE47" s="72" t="s">
        <v>1188</v>
      </c>
      <c r="AF47" s="72" t="str">
        <f t="shared" si="11"/>
        <v>K818050</v>
      </c>
      <c r="AG47" s="72" t="str">
        <f>VLOOKUP(AF47,AKT!$C$4:$E$324,3,FALSE)</f>
        <v>0950</v>
      </c>
    </row>
    <row r="48" spans="1:33">
      <c r="A48" s="82"/>
      <c r="B48" s="77" t="str">
        <f t="shared" si="18"/>
        <v/>
      </c>
      <c r="C48" s="368"/>
      <c r="D48" s="77" t="str">
        <f t="shared" si="0"/>
        <v/>
      </c>
      <c r="E48" s="114"/>
      <c r="F48" s="77" t="str">
        <f t="shared" si="1"/>
        <v/>
      </c>
      <c r="G48" s="77" t="str">
        <f t="shared" si="2"/>
        <v/>
      </c>
      <c r="H48" s="371"/>
      <c r="I48" s="371"/>
      <c r="J48" s="371"/>
      <c r="K48" s="126"/>
      <c r="L48" s="125"/>
      <c r="M48" s="125"/>
      <c r="N48" s="126"/>
      <c r="O48" s="303"/>
      <c r="P48" s="81"/>
      <c r="R48" s="72" t="str">
        <f t="shared" si="4"/>
        <v/>
      </c>
      <c r="S48" s="72" t="str">
        <f t="shared" si="5"/>
        <v/>
      </c>
      <c r="T48" s="72" t="str">
        <f t="shared" si="6"/>
        <v/>
      </c>
      <c r="X48" s="72">
        <v>3295</v>
      </c>
      <c r="Y48" s="72" t="s">
        <v>54</v>
      </c>
      <c r="AA48" s="72" t="str">
        <f t="shared" si="7"/>
        <v>32</v>
      </c>
      <c r="AB48" s="72" t="str">
        <f t="shared" si="8"/>
        <v>329</v>
      </c>
      <c r="AD48" s="72" t="s">
        <v>699</v>
      </c>
      <c r="AE48" s="72" t="s">
        <v>700</v>
      </c>
      <c r="AF48" s="72" t="str">
        <f t="shared" si="11"/>
        <v>A679071</v>
      </c>
      <c r="AG48" s="72" t="str">
        <f>VLOOKUP(AF48,AKT!$C$4:$E$324,3,FALSE)</f>
        <v>0942</v>
      </c>
    </row>
    <row r="49" spans="1:33">
      <c r="A49" s="82"/>
      <c r="B49" s="77" t="str">
        <f t="shared" si="18"/>
        <v/>
      </c>
      <c r="C49" s="368"/>
      <c r="D49" s="77" t="str">
        <f t="shared" si="0"/>
        <v/>
      </c>
      <c r="E49" s="114"/>
      <c r="F49" s="77" t="str">
        <f t="shared" si="1"/>
        <v/>
      </c>
      <c r="G49" s="77" t="str">
        <f t="shared" si="2"/>
        <v/>
      </c>
      <c r="H49" s="371"/>
      <c r="I49" s="371"/>
      <c r="J49" s="371"/>
      <c r="K49" s="126"/>
      <c r="L49" s="125"/>
      <c r="M49" s="125"/>
      <c r="N49" s="126"/>
      <c r="O49" s="303"/>
      <c r="P49" s="81"/>
      <c r="R49" s="72" t="str">
        <f t="shared" si="4"/>
        <v/>
      </c>
      <c r="S49" s="72" t="str">
        <f t="shared" si="5"/>
        <v/>
      </c>
      <c r="T49" s="72" t="str">
        <f t="shared" si="6"/>
        <v/>
      </c>
      <c r="X49" s="72">
        <v>3296</v>
      </c>
      <c r="Y49" s="72" t="s">
        <v>148</v>
      </c>
      <c r="AA49" s="72" t="str">
        <f t="shared" si="7"/>
        <v>32</v>
      </c>
      <c r="AB49" s="72" t="str">
        <f t="shared" si="8"/>
        <v>329</v>
      </c>
      <c r="AD49" s="72" t="s">
        <v>701</v>
      </c>
      <c r="AE49" s="72" t="s">
        <v>702</v>
      </c>
      <c r="AF49" s="72" t="str">
        <f t="shared" si="11"/>
        <v>A679071</v>
      </c>
      <c r="AG49" s="72" t="str">
        <f>VLOOKUP(AF49,AKT!$C$4:$E$324,3,FALSE)</f>
        <v>0942</v>
      </c>
    </row>
    <row r="50" spans="1:33">
      <c r="A50" s="82"/>
      <c r="B50" s="77" t="str">
        <f t="shared" si="18"/>
        <v/>
      </c>
      <c r="C50" s="368"/>
      <c r="D50" s="77" t="str">
        <f t="shared" si="0"/>
        <v/>
      </c>
      <c r="E50" s="114"/>
      <c r="F50" s="77" t="str">
        <f t="shared" si="1"/>
        <v/>
      </c>
      <c r="G50" s="77" t="str">
        <f t="shared" si="2"/>
        <v/>
      </c>
      <c r="H50" s="371"/>
      <c r="I50" s="371"/>
      <c r="J50" s="371"/>
      <c r="K50" s="126"/>
      <c r="L50" s="125"/>
      <c r="M50" s="125"/>
      <c r="N50" s="126"/>
      <c r="O50" s="303"/>
      <c r="P50" s="81"/>
      <c r="R50" s="72" t="str">
        <f t="shared" si="4"/>
        <v/>
      </c>
      <c r="S50" s="72" t="str">
        <f t="shared" si="5"/>
        <v/>
      </c>
      <c r="T50" s="72" t="str">
        <f t="shared" si="6"/>
        <v/>
      </c>
      <c r="X50" s="72">
        <v>3299</v>
      </c>
      <c r="Y50" s="72" t="s">
        <v>57</v>
      </c>
      <c r="AA50" s="72" t="str">
        <f t="shared" si="7"/>
        <v>32</v>
      </c>
      <c r="AB50" s="72" t="str">
        <f t="shared" si="8"/>
        <v>329</v>
      </c>
      <c r="AD50" s="72" t="s">
        <v>703</v>
      </c>
      <c r="AE50" s="72" t="s">
        <v>704</v>
      </c>
      <c r="AF50" s="72" t="str">
        <f t="shared" si="11"/>
        <v>A679071</v>
      </c>
      <c r="AG50" s="72" t="str">
        <f>VLOOKUP(AF50,AKT!$C$4:$E$324,3,FALSE)</f>
        <v>0942</v>
      </c>
    </row>
    <row r="51" spans="1:33">
      <c r="A51" s="82"/>
      <c r="B51" s="77" t="str">
        <f t="shared" si="18"/>
        <v/>
      </c>
      <c r="C51" s="368"/>
      <c r="D51" s="77" t="str">
        <f t="shared" si="0"/>
        <v/>
      </c>
      <c r="E51" s="114"/>
      <c r="F51" s="77" t="str">
        <f t="shared" si="1"/>
        <v/>
      </c>
      <c r="G51" s="77" t="str">
        <f t="shared" si="2"/>
        <v/>
      </c>
      <c r="H51" s="113"/>
      <c r="I51" s="113"/>
      <c r="J51" s="113"/>
      <c r="K51" s="126"/>
      <c r="L51" s="125"/>
      <c r="M51" s="125"/>
      <c r="N51" s="126"/>
      <c r="O51" s="303"/>
      <c r="P51" s="81"/>
      <c r="R51" s="72" t="str">
        <f t="shared" si="4"/>
        <v/>
      </c>
      <c r="S51" s="72" t="str">
        <f t="shared" si="5"/>
        <v/>
      </c>
      <c r="T51" s="72" t="str">
        <f t="shared" si="6"/>
        <v/>
      </c>
      <c r="X51" s="72">
        <v>3411</v>
      </c>
      <c r="Y51" s="72" t="s">
        <v>186</v>
      </c>
      <c r="AA51" s="72" t="str">
        <f t="shared" si="7"/>
        <v>34</v>
      </c>
      <c r="AB51" s="72" t="str">
        <f t="shared" si="8"/>
        <v>341</v>
      </c>
      <c r="AD51" s="72" t="s">
        <v>705</v>
      </c>
      <c r="AE51" s="72" t="s">
        <v>706</v>
      </c>
      <c r="AF51" s="72" t="str">
        <f t="shared" si="11"/>
        <v>A679071</v>
      </c>
      <c r="AG51" s="72" t="str">
        <f>VLOOKUP(AF51,AKT!$C$4:$E$324,3,FALSE)</f>
        <v>0942</v>
      </c>
    </row>
    <row r="52" spans="1:33">
      <c r="A52" s="82"/>
      <c r="B52" s="77" t="str">
        <f t="shared" si="18"/>
        <v/>
      </c>
      <c r="C52" s="368"/>
      <c r="D52" s="77" t="str">
        <f t="shared" si="0"/>
        <v/>
      </c>
      <c r="E52" s="114"/>
      <c r="F52" s="77" t="str">
        <f t="shared" si="1"/>
        <v/>
      </c>
      <c r="G52" s="77" t="str">
        <f t="shared" si="2"/>
        <v/>
      </c>
      <c r="H52" s="113"/>
      <c r="I52" s="113"/>
      <c r="J52" s="113"/>
      <c r="K52" s="126"/>
      <c r="L52" s="125"/>
      <c r="M52" s="125"/>
      <c r="N52" s="126"/>
      <c r="O52" s="303"/>
      <c r="P52" s="81"/>
      <c r="R52" s="72" t="str">
        <f t="shared" si="4"/>
        <v/>
      </c>
      <c r="S52" s="72" t="str">
        <f t="shared" si="5"/>
        <v/>
      </c>
      <c r="T52" s="72" t="str">
        <f t="shared" si="6"/>
        <v/>
      </c>
      <c r="X52" s="72">
        <v>3422</v>
      </c>
      <c r="Y52" s="72" t="s">
        <v>149</v>
      </c>
      <c r="AA52" s="72" t="str">
        <f t="shared" si="7"/>
        <v>34</v>
      </c>
      <c r="AB52" s="72" t="str">
        <f t="shared" si="8"/>
        <v>342</v>
      </c>
      <c r="AD52" s="72" t="s">
        <v>707</v>
      </c>
      <c r="AE52" s="72" t="s">
        <v>708</v>
      </c>
      <c r="AF52" s="72" t="str">
        <f t="shared" si="11"/>
        <v>A679071</v>
      </c>
      <c r="AG52" s="72" t="str">
        <f>VLOOKUP(AF52,AKT!$C$4:$E$324,3,FALSE)</f>
        <v>0942</v>
      </c>
    </row>
    <row r="53" spans="1:33">
      <c r="A53" s="82"/>
      <c r="B53" s="77" t="str">
        <f t="shared" si="18"/>
        <v/>
      </c>
      <c r="C53" s="368"/>
      <c r="D53" s="77" t="str">
        <f t="shared" si="0"/>
        <v/>
      </c>
      <c r="E53" s="114"/>
      <c r="F53" s="77" t="str">
        <f t="shared" si="1"/>
        <v/>
      </c>
      <c r="G53" s="77" t="str">
        <f t="shared" si="2"/>
        <v/>
      </c>
      <c r="H53" s="113"/>
      <c r="I53" s="113"/>
      <c r="J53" s="113"/>
      <c r="K53" s="126"/>
      <c r="L53" s="125"/>
      <c r="M53" s="125"/>
      <c r="N53" s="126"/>
      <c r="O53" s="303"/>
      <c r="P53" s="81"/>
      <c r="R53" s="72" t="str">
        <f t="shared" si="4"/>
        <v/>
      </c>
      <c r="S53" s="72" t="str">
        <f t="shared" si="5"/>
        <v/>
      </c>
      <c r="T53" s="72" t="str">
        <f t="shared" si="6"/>
        <v/>
      </c>
      <c r="X53" s="72">
        <v>3423</v>
      </c>
      <c r="Y53" s="72" t="s">
        <v>149</v>
      </c>
      <c r="AA53" s="72" t="str">
        <f t="shared" si="7"/>
        <v>34</v>
      </c>
      <c r="AB53" s="72" t="str">
        <f t="shared" si="8"/>
        <v>342</v>
      </c>
      <c r="AD53" s="72" t="s">
        <v>3020</v>
      </c>
      <c r="AE53" s="72" t="s">
        <v>3021</v>
      </c>
      <c r="AF53" s="72" t="str">
        <f t="shared" si="11"/>
        <v>A679071</v>
      </c>
      <c r="AG53" s="72" t="str">
        <f>VLOOKUP(AF53,AKT!$C$4:$E$324,3,FALSE)</f>
        <v>0942</v>
      </c>
    </row>
    <row r="54" spans="1:33">
      <c r="A54" s="82"/>
      <c r="B54" s="77" t="str">
        <f t="shared" si="18"/>
        <v/>
      </c>
      <c r="C54" s="368"/>
      <c r="D54" s="77" t="str">
        <f t="shared" si="0"/>
        <v/>
      </c>
      <c r="E54" s="114"/>
      <c r="F54" s="77" t="str">
        <f t="shared" si="1"/>
        <v/>
      </c>
      <c r="G54" s="77" t="str">
        <f t="shared" si="2"/>
        <v/>
      </c>
      <c r="H54" s="113"/>
      <c r="I54" s="113"/>
      <c r="J54" s="113"/>
      <c r="K54" s="126"/>
      <c r="L54" s="125"/>
      <c r="M54" s="125"/>
      <c r="N54" s="126"/>
      <c r="O54" s="303"/>
      <c r="P54" s="81"/>
      <c r="R54" s="72" t="str">
        <f t="shared" si="4"/>
        <v/>
      </c>
      <c r="S54" s="72" t="str">
        <f t="shared" si="5"/>
        <v/>
      </c>
      <c r="T54" s="72" t="str">
        <f t="shared" si="6"/>
        <v/>
      </c>
      <c r="X54" s="72">
        <v>3427</v>
      </c>
      <c r="Y54" s="72" t="s">
        <v>188</v>
      </c>
      <c r="AA54" s="72" t="str">
        <f t="shared" si="7"/>
        <v>34</v>
      </c>
      <c r="AB54" s="72" t="str">
        <f t="shared" si="8"/>
        <v>342</v>
      </c>
      <c r="AD54" s="72" t="s">
        <v>3022</v>
      </c>
      <c r="AE54" s="72" t="s">
        <v>3023</v>
      </c>
      <c r="AF54" s="72" t="str">
        <f t="shared" si="11"/>
        <v>A679071</v>
      </c>
      <c r="AG54" s="72" t="str">
        <f>VLOOKUP(AF54,AKT!$C$4:$E$324,3,FALSE)</f>
        <v>0942</v>
      </c>
    </row>
    <row r="55" spans="1:33">
      <c r="A55" s="82"/>
      <c r="B55" s="77" t="str">
        <f t="shared" si="18"/>
        <v/>
      </c>
      <c r="C55" s="368"/>
      <c r="D55" s="77" t="str">
        <f t="shared" si="0"/>
        <v/>
      </c>
      <c r="E55" s="114"/>
      <c r="F55" s="77" t="str">
        <f t="shared" si="1"/>
        <v/>
      </c>
      <c r="G55" s="77" t="str">
        <f t="shared" si="2"/>
        <v/>
      </c>
      <c r="H55" s="113"/>
      <c r="I55" s="113"/>
      <c r="J55" s="113"/>
      <c r="K55" s="126"/>
      <c r="L55" s="125"/>
      <c r="M55" s="125"/>
      <c r="N55" s="126"/>
      <c r="O55" s="303"/>
      <c r="P55" s="81"/>
      <c r="R55" s="72" t="str">
        <f t="shared" si="4"/>
        <v/>
      </c>
      <c r="S55" s="72" t="str">
        <f t="shared" si="5"/>
        <v/>
      </c>
      <c r="T55" s="72" t="str">
        <f t="shared" si="6"/>
        <v/>
      </c>
      <c r="X55" s="72">
        <v>3431</v>
      </c>
      <c r="Y55" s="72" t="s">
        <v>82</v>
      </c>
      <c r="AA55" s="72" t="str">
        <f t="shared" si="7"/>
        <v>34</v>
      </c>
      <c r="AB55" s="72" t="str">
        <f t="shared" si="8"/>
        <v>343</v>
      </c>
      <c r="AD55" s="72" t="s">
        <v>3024</v>
      </c>
      <c r="AE55" s="72" t="s">
        <v>3025</v>
      </c>
      <c r="AF55" s="72" t="str">
        <f t="shared" si="11"/>
        <v>A679071</v>
      </c>
      <c r="AG55" s="72" t="str">
        <f>VLOOKUP(AF55,AKT!$C$4:$E$324,3,FALSE)</f>
        <v>0942</v>
      </c>
    </row>
    <row r="56" spans="1:33">
      <c r="A56" s="82"/>
      <c r="B56" s="77" t="str">
        <f t="shared" ref="B56:B75" si="19">IFERROR(VLOOKUP(A56,$U$6:$V$34,2,FALSE),"")</f>
        <v/>
      </c>
      <c r="C56" s="368"/>
      <c r="D56" s="77" t="str">
        <f t="shared" si="0"/>
        <v/>
      </c>
      <c r="E56" s="114"/>
      <c r="F56" s="77" t="str">
        <f t="shared" si="1"/>
        <v/>
      </c>
      <c r="G56" s="77" t="str">
        <f t="shared" si="2"/>
        <v/>
      </c>
      <c r="H56" s="113"/>
      <c r="I56" s="113"/>
      <c r="J56" s="113"/>
      <c r="K56" s="126"/>
      <c r="L56" s="125"/>
      <c r="M56" s="125"/>
      <c r="N56" s="126"/>
      <c r="O56" s="303"/>
      <c r="P56" s="81"/>
      <c r="R56" s="72" t="str">
        <f t="shared" si="4"/>
        <v/>
      </c>
      <c r="S56" s="72" t="str">
        <f t="shared" si="5"/>
        <v/>
      </c>
      <c r="T56" s="72" t="str">
        <f t="shared" si="6"/>
        <v/>
      </c>
      <c r="X56" s="72">
        <v>3432</v>
      </c>
      <c r="Y56" s="72" t="s">
        <v>98</v>
      </c>
      <c r="AA56" s="72" t="str">
        <f t="shared" si="7"/>
        <v>34</v>
      </c>
      <c r="AB56" s="72" t="str">
        <f t="shared" si="8"/>
        <v>343</v>
      </c>
      <c r="AD56" s="72" t="s">
        <v>709</v>
      </c>
      <c r="AE56" s="72" t="s">
        <v>710</v>
      </c>
      <c r="AF56" s="72" t="str">
        <f t="shared" si="11"/>
        <v>A679071</v>
      </c>
      <c r="AG56" s="72" t="str">
        <f>VLOOKUP(AF56,AKT!$C$4:$E$324,3,FALSE)</f>
        <v>0942</v>
      </c>
    </row>
    <row r="57" spans="1:33">
      <c r="A57" s="82"/>
      <c r="B57" s="77" t="str">
        <f t="shared" si="19"/>
        <v/>
      </c>
      <c r="C57" s="368"/>
      <c r="D57" s="77" t="str">
        <f t="shared" si="0"/>
        <v/>
      </c>
      <c r="E57" s="114"/>
      <c r="F57" s="77" t="str">
        <f t="shared" si="1"/>
        <v/>
      </c>
      <c r="G57" s="77" t="str">
        <f t="shared" si="2"/>
        <v/>
      </c>
      <c r="H57" s="113"/>
      <c r="I57" s="113"/>
      <c r="J57" s="113"/>
      <c r="K57" s="126"/>
      <c r="L57" s="125"/>
      <c r="M57" s="125"/>
      <c r="N57" s="126"/>
      <c r="O57" s="303"/>
      <c r="P57" s="81"/>
      <c r="R57" s="72" t="str">
        <f t="shared" si="4"/>
        <v/>
      </c>
      <c r="S57" s="72" t="str">
        <f t="shared" si="5"/>
        <v/>
      </c>
      <c r="T57" s="72" t="str">
        <f t="shared" si="6"/>
        <v/>
      </c>
      <c r="X57" s="72">
        <v>3433</v>
      </c>
      <c r="Y57" s="72" t="s">
        <v>136</v>
      </c>
      <c r="AA57" s="72" t="str">
        <f t="shared" si="7"/>
        <v>34</v>
      </c>
      <c r="AB57" s="72" t="str">
        <f t="shared" si="8"/>
        <v>343</v>
      </c>
      <c r="AD57" s="72" t="s">
        <v>1249</v>
      </c>
      <c r="AE57" s="72" t="s">
        <v>1250</v>
      </c>
      <c r="AF57" s="72" t="str">
        <f t="shared" si="11"/>
        <v>A679071</v>
      </c>
      <c r="AG57" s="72" t="str">
        <f>VLOOKUP(AF57,AKT!$C$4:$E$324,3,FALSE)</f>
        <v>0942</v>
      </c>
    </row>
    <row r="58" spans="1:33">
      <c r="A58" s="82"/>
      <c r="B58" s="77" t="str">
        <f t="shared" si="19"/>
        <v/>
      </c>
      <c r="C58" s="368"/>
      <c r="D58" s="77" t="str">
        <f t="shared" si="0"/>
        <v/>
      </c>
      <c r="E58" s="114"/>
      <c r="F58" s="77" t="str">
        <f t="shared" si="1"/>
        <v/>
      </c>
      <c r="G58" s="77" t="str">
        <f t="shared" si="2"/>
        <v/>
      </c>
      <c r="H58" s="113"/>
      <c r="I58" s="113"/>
      <c r="J58" s="113"/>
      <c r="K58" s="126"/>
      <c r="L58" s="125"/>
      <c r="M58" s="125"/>
      <c r="N58" s="126"/>
      <c r="O58" s="303"/>
      <c r="P58" s="81"/>
      <c r="R58" s="72" t="str">
        <f t="shared" si="4"/>
        <v/>
      </c>
      <c r="S58" s="72" t="str">
        <f t="shared" si="5"/>
        <v/>
      </c>
      <c r="T58" s="72" t="str">
        <f t="shared" si="6"/>
        <v/>
      </c>
      <c r="X58" s="72">
        <v>3434</v>
      </c>
      <c r="Y58" s="72" t="s">
        <v>67</v>
      </c>
      <c r="AA58" s="72" t="str">
        <f t="shared" si="7"/>
        <v>34</v>
      </c>
      <c r="AB58" s="72" t="str">
        <f t="shared" si="8"/>
        <v>343</v>
      </c>
      <c r="AD58" s="72" t="s">
        <v>1251</v>
      </c>
      <c r="AE58" s="72" t="s">
        <v>1252</v>
      </c>
      <c r="AF58" s="72" t="str">
        <f t="shared" si="11"/>
        <v>A679071</v>
      </c>
      <c r="AG58" s="72" t="str">
        <f>VLOOKUP(AF58,AKT!$C$4:$E$324,3,FALSE)</f>
        <v>0942</v>
      </c>
    </row>
    <row r="59" spans="1:33">
      <c r="A59" s="82"/>
      <c r="B59" s="77" t="str">
        <f t="shared" si="19"/>
        <v/>
      </c>
      <c r="C59" s="368"/>
      <c r="D59" s="77" t="str">
        <f t="shared" si="0"/>
        <v/>
      </c>
      <c r="E59" s="114"/>
      <c r="F59" s="77" t="str">
        <f t="shared" si="1"/>
        <v/>
      </c>
      <c r="G59" s="77" t="str">
        <f t="shared" si="2"/>
        <v/>
      </c>
      <c r="H59" s="113"/>
      <c r="I59" s="113"/>
      <c r="J59" s="113"/>
      <c r="K59" s="126"/>
      <c r="L59" s="125"/>
      <c r="M59" s="125"/>
      <c r="N59" s="126"/>
      <c r="O59" s="303"/>
      <c r="P59" s="81"/>
      <c r="R59" s="72" t="str">
        <f t="shared" si="4"/>
        <v/>
      </c>
      <c r="S59" s="72" t="str">
        <f t="shared" si="5"/>
        <v/>
      </c>
      <c r="T59" s="72" t="str">
        <f t="shared" si="6"/>
        <v/>
      </c>
      <c r="X59" s="72">
        <v>3511</v>
      </c>
      <c r="Y59" s="72" t="s">
        <v>179</v>
      </c>
      <c r="AA59" s="72" t="str">
        <f t="shared" si="7"/>
        <v>35</v>
      </c>
      <c r="AB59" s="72" t="str">
        <f t="shared" si="8"/>
        <v>351</v>
      </c>
      <c r="AD59" s="72" t="s">
        <v>1253</v>
      </c>
      <c r="AE59" s="72" t="s">
        <v>1254</v>
      </c>
      <c r="AF59" s="72" t="str">
        <f t="shared" si="11"/>
        <v>A679071</v>
      </c>
      <c r="AG59" s="72" t="str">
        <f>VLOOKUP(AF59,AKT!$C$4:$E$324,3,FALSE)</f>
        <v>0942</v>
      </c>
    </row>
    <row r="60" spans="1:33">
      <c r="A60" s="82"/>
      <c r="B60" s="77" t="str">
        <f t="shared" si="19"/>
        <v/>
      </c>
      <c r="C60" s="368"/>
      <c r="D60" s="77" t="str">
        <f t="shared" si="0"/>
        <v/>
      </c>
      <c r="E60" s="114"/>
      <c r="F60" s="77" t="str">
        <f t="shared" si="1"/>
        <v/>
      </c>
      <c r="G60" s="77" t="str">
        <f t="shared" si="2"/>
        <v/>
      </c>
      <c r="H60" s="113"/>
      <c r="I60" s="113"/>
      <c r="J60" s="113"/>
      <c r="K60" s="126"/>
      <c r="L60" s="125"/>
      <c r="M60" s="125"/>
      <c r="N60" s="126"/>
      <c r="O60" s="303"/>
      <c r="P60" s="81"/>
      <c r="R60" s="72" t="str">
        <f t="shared" si="4"/>
        <v/>
      </c>
      <c r="S60" s="72" t="str">
        <f t="shared" si="5"/>
        <v/>
      </c>
      <c r="T60" s="72" t="str">
        <f t="shared" si="6"/>
        <v/>
      </c>
      <c r="X60" s="72">
        <v>3512</v>
      </c>
      <c r="Y60" s="72" t="s">
        <v>181</v>
      </c>
      <c r="AA60" s="72" t="str">
        <f t="shared" si="7"/>
        <v>35</v>
      </c>
      <c r="AB60" s="72" t="str">
        <f t="shared" si="8"/>
        <v>351</v>
      </c>
      <c r="AD60" s="72" t="s">
        <v>1255</v>
      </c>
      <c r="AE60" s="72" t="s">
        <v>1256</v>
      </c>
      <c r="AF60" s="72" t="str">
        <f t="shared" si="11"/>
        <v>A679071</v>
      </c>
      <c r="AG60" s="72" t="str">
        <f>VLOOKUP(AF60,AKT!$C$4:$E$324,3,FALSE)</f>
        <v>0942</v>
      </c>
    </row>
    <row r="61" spans="1:33">
      <c r="A61" s="82"/>
      <c r="B61" s="77" t="str">
        <f t="shared" si="19"/>
        <v/>
      </c>
      <c r="C61" s="368"/>
      <c r="D61" s="77" t="str">
        <f t="shared" si="0"/>
        <v/>
      </c>
      <c r="E61" s="114"/>
      <c r="F61" s="77" t="str">
        <f t="shared" si="1"/>
        <v/>
      </c>
      <c r="G61" s="77" t="str">
        <f t="shared" si="2"/>
        <v/>
      </c>
      <c r="H61" s="113"/>
      <c r="I61" s="113"/>
      <c r="J61" s="113"/>
      <c r="K61" s="126"/>
      <c r="L61" s="125"/>
      <c r="M61" s="125"/>
      <c r="N61" s="126"/>
      <c r="O61" s="303"/>
      <c r="P61" s="81"/>
      <c r="R61" s="72" t="str">
        <f t="shared" si="4"/>
        <v/>
      </c>
      <c r="S61" s="72" t="str">
        <f t="shared" si="5"/>
        <v/>
      </c>
      <c r="T61" s="72" t="str">
        <f t="shared" si="6"/>
        <v/>
      </c>
      <c r="X61" s="72">
        <v>3522</v>
      </c>
      <c r="Y61" s="72" t="s">
        <v>234</v>
      </c>
      <c r="AA61" s="72" t="str">
        <f t="shared" si="7"/>
        <v>35</v>
      </c>
      <c r="AB61" s="72" t="str">
        <f t="shared" si="8"/>
        <v>352</v>
      </c>
      <c r="AD61" s="72" t="s">
        <v>1257</v>
      </c>
      <c r="AE61" s="72" t="s">
        <v>1258</v>
      </c>
      <c r="AF61" s="72" t="str">
        <f t="shared" si="11"/>
        <v>A679071</v>
      </c>
      <c r="AG61" s="72" t="str">
        <f>VLOOKUP(AF61,AKT!$C$4:$E$324,3,FALSE)</f>
        <v>0942</v>
      </c>
    </row>
    <row r="62" spans="1:33">
      <c r="A62" s="82"/>
      <c r="B62" s="77" t="str">
        <f t="shared" si="19"/>
        <v/>
      </c>
      <c r="C62" s="368"/>
      <c r="D62" s="77" t="str">
        <f t="shared" si="0"/>
        <v/>
      </c>
      <c r="E62" s="114"/>
      <c r="F62" s="77" t="str">
        <f t="shared" si="1"/>
        <v/>
      </c>
      <c r="G62" s="77" t="str">
        <f t="shared" si="2"/>
        <v/>
      </c>
      <c r="H62" s="113"/>
      <c r="I62" s="113"/>
      <c r="J62" s="113"/>
      <c r="K62" s="126"/>
      <c r="L62" s="125"/>
      <c r="M62" s="125"/>
      <c r="N62" s="126"/>
      <c r="O62" s="303"/>
      <c r="P62" s="81"/>
      <c r="R62" s="72" t="str">
        <f t="shared" si="4"/>
        <v/>
      </c>
      <c r="S62" s="72" t="str">
        <f t="shared" si="5"/>
        <v/>
      </c>
      <c r="T62" s="72" t="str">
        <f t="shared" si="6"/>
        <v/>
      </c>
      <c r="X62" s="72">
        <v>3531</v>
      </c>
      <c r="Y62" s="72" t="s">
        <v>133</v>
      </c>
      <c r="AA62" s="72" t="str">
        <f t="shared" si="7"/>
        <v>35</v>
      </c>
      <c r="AB62" s="72" t="str">
        <f t="shared" si="8"/>
        <v>353</v>
      </c>
      <c r="AD62" s="72" t="s">
        <v>1259</v>
      </c>
      <c r="AE62" s="72" t="s">
        <v>1260</v>
      </c>
      <c r="AF62" s="72" t="str">
        <f t="shared" si="11"/>
        <v>A679071</v>
      </c>
      <c r="AG62" s="72" t="str">
        <f>VLOOKUP(AF62,AKT!$C$4:$E$324,3,FALSE)</f>
        <v>0942</v>
      </c>
    </row>
    <row r="63" spans="1:33">
      <c r="A63" s="82"/>
      <c r="B63" s="77" t="str">
        <f t="shared" si="19"/>
        <v/>
      </c>
      <c r="C63" s="368"/>
      <c r="D63" s="77" t="str">
        <f t="shared" si="0"/>
        <v/>
      </c>
      <c r="E63" s="114"/>
      <c r="F63" s="77" t="str">
        <f t="shared" si="1"/>
        <v/>
      </c>
      <c r="G63" s="77" t="str">
        <f t="shared" si="2"/>
        <v/>
      </c>
      <c r="H63" s="113"/>
      <c r="I63" s="113"/>
      <c r="J63" s="113"/>
      <c r="K63" s="126"/>
      <c r="L63" s="125"/>
      <c r="M63" s="125"/>
      <c r="N63" s="126"/>
      <c r="O63" s="303"/>
      <c r="P63" s="81"/>
      <c r="R63" s="72" t="str">
        <f t="shared" si="4"/>
        <v/>
      </c>
      <c r="S63" s="72" t="str">
        <f t="shared" si="5"/>
        <v/>
      </c>
      <c r="T63" s="72" t="str">
        <f t="shared" si="6"/>
        <v/>
      </c>
      <c r="X63" s="72">
        <v>3611</v>
      </c>
      <c r="Y63" s="72" t="s">
        <v>87</v>
      </c>
      <c r="AA63" s="72" t="str">
        <f t="shared" si="7"/>
        <v>36</v>
      </c>
      <c r="AB63" s="72" t="str">
        <f t="shared" si="8"/>
        <v>361</v>
      </c>
      <c r="AD63" s="72" t="s">
        <v>1261</v>
      </c>
      <c r="AE63" s="72" t="s">
        <v>1262</v>
      </c>
      <c r="AF63" s="72" t="str">
        <f t="shared" si="11"/>
        <v>A679071</v>
      </c>
      <c r="AG63" s="72" t="str">
        <f>VLOOKUP(AF63,AKT!$C$4:$E$324,3,FALSE)</f>
        <v>0942</v>
      </c>
    </row>
    <row r="64" spans="1:33">
      <c r="A64" s="82"/>
      <c r="B64" s="77" t="str">
        <f t="shared" si="19"/>
        <v/>
      </c>
      <c r="C64" s="368"/>
      <c r="D64" s="77" t="str">
        <f t="shared" si="0"/>
        <v/>
      </c>
      <c r="E64" s="114"/>
      <c r="F64" s="77" t="str">
        <f t="shared" si="1"/>
        <v/>
      </c>
      <c r="G64" s="77" t="str">
        <f t="shared" si="2"/>
        <v/>
      </c>
      <c r="H64" s="113"/>
      <c r="I64" s="113"/>
      <c r="J64" s="113"/>
      <c r="K64" s="126"/>
      <c r="L64" s="125"/>
      <c r="M64" s="125"/>
      <c r="N64" s="126"/>
      <c r="O64" s="303"/>
      <c r="P64" s="81"/>
      <c r="R64" s="72" t="str">
        <f t="shared" si="4"/>
        <v/>
      </c>
      <c r="S64" s="72" t="str">
        <f t="shared" si="5"/>
        <v/>
      </c>
      <c r="T64" s="72" t="str">
        <f t="shared" si="6"/>
        <v/>
      </c>
      <c r="X64" s="72">
        <v>3621</v>
      </c>
      <c r="Y64" s="72" t="s">
        <v>137</v>
      </c>
      <c r="AA64" s="72" t="str">
        <f t="shared" si="7"/>
        <v>36</v>
      </c>
      <c r="AB64" s="72" t="str">
        <f t="shared" si="8"/>
        <v>362</v>
      </c>
      <c r="AD64" s="72" t="s">
        <v>1263</v>
      </c>
      <c r="AE64" s="72" t="s">
        <v>1264</v>
      </c>
      <c r="AF64" s="72" t="str">
        <f t="shared" si="11"/>
        <v>A679071</v>
      </c>
      <c r="AG64" s="72" t="str">
        <f>VLOOKUP(AF64,AKT!$C$4:$E$324,3,FALSE)</f>
        <v>0942</v>
      </c>
    </row>
    <row r="65" spans="1:33">
      <c r="A65" s="82"/>
      <c r="B65" s="77" t="str">
        <f t="shared" si="19"/>
        <v/>
      </c>
      <c r="C65" s="368"/>
      <c r="D65" s="77" t="str">
        <f t="shared" si="0"/>
        <v/>
      </c>
      <c r="E65" s="114"/>
      <c r="F65" s="77" t="str">
        <f t="shared" si="1"/>
        <v/>
      </c>
      <c r="G65" s="77" t="str">
        <f t="shared" si="2"/>
        <v/>
      </c>
      <c r="H65" s="113"/>
      <c r="I65" s="113"/>
      <c r="J65" s="113"/>
      <c r="K65" s="126"/>
      <c r="L65" s="125"/>
      <c r="M65" s="125"/>
      <c r="N65" s="126"/>
      <c r="O65" s="303"/>
      <c r="P65" s="81"/>
      <c r="R65" s="72" t="str">
        <f t="shared" si="4"/>
        <v/>
      </c>
      <c r="S65" s="72" t="str">
        <f t="shared" si="5"/>
        <v/>
      </c>
      <c r="T65" s="72" t="str">
        <f t="shared" si="6"/>
        <v/>
      </c>
      <c r="X65" s="72">
        <v>3631</v>
      </c>
      <c r="Y65" s="72" t="s">
        <v>178</v>
      </c>
      <c r="AA65" s="72" t="str">
        <f t="shared" si="7"/>
        <v>36</v>
      </c>
      <c r="AB65" s="72" t="str">
        <f t="shared" si="8"/>
        <v>363</v>
      </c>
      <c r="AD65" s="72" t="s">
        <v>1265</v>
      </c>
      <c r="AE65" s="72" t="s">
        <v>1266</v>
      </c>
      <c r="AF65" s="72" t="str">
        <f t="shared" si="11"/>
        <v>A679071</v>
      </c>
      <c r="AG65" s="72" t="str">
        <f>VLOOKUP(AF65,AKT!$C$4:$E$324,3,FALSE)</f>
        <v>0942</v>
      </c>
    </row>
    <row r="66" spans="1:33">
      <c r="A66" s="82"/>
      <c r="B66" s="77" t="str">
        <f t="shared" si="19"/>
        <v/>
      </c>
      <c r="C66" s="368"/>
      <c r="D66" s="77" t="str">
        <f t="shared" si="0"/>
        <v/>
      </c>
      <c r="E66" s="114"/>
      <c r="F66" s="77" t="str">
        <f t="shared" si="1"/>
        <v/>
      </c>
      <c r="G66" s="77" t="str">
        <f t="shared" si="2"/>
        <v/>
      </c>
      <c r="H66" s="113"/>
      <c r="I66" s="113"/>
      <c r="J66" s="113"/>
      <c r="K66" s="126"/>
      <c r="L66" s="125"/>
      <c r="M66" s="125"/>
      <c r="N66" s="126"/>
      <c r="O66" s="303"/>
      <c r="P66" s="81"/>
      <c r="R66" s="72" t="str">
        <f t="shared" si="4"/>
        <v/>
      </c>
      <c r="S66" s="72" t="str">
        <f t="shared" si="5"/>
        <v/>
      </c>
      <c r="T66" s="72" t="str">
        <f t="shared" si="6"/>
        <v/>
      </c>
      <c r="X66" s="72">
        <v>3632</v>
      </c>
      <c r="Y66" s="72" t="s">
        <v>235</v>
      </c>
      <c r="AA66" s="72" t="str">
        <f t="shared" si="7"/>
        <v>36</v>
      </c>
      <c r="AB66" s="72" t="str">
        <f t="shared" si="8"/>
        <v>363</v>
      </c>
      <c r="AD66" s="72" t="s">
        <v>1267</v>
      </c>
      <c r="AE66" s="72" t="s">
        <v>1268</v>
      </c>
      <c r="AF66" s="72" t="str">
        <f t="shared" si="11"/>
        <v>A679071</v>
      </c>
      <c r="AG66" s="72" t="str">
        <f>VLOOKUP(AF66,AKT!$C$4:$E$324,3,FALSE)</f>
        <v>0942</v>
      </c>
    </row>
    <row r="67" spans="1:33">
      <c r="A67" s="82"/>
      <c r="B67" s="77" t="str">
        <f t="shared" si="19"/>
        <v/>
      </c>
      <c r="C67" s="368"/>
      <c r="D67" s="77" t="str">
        <f t="shared" ref="D67:D130" si="20">IFERROR(VLOOKUP(C67,$X$5:$Z$140,2,FALSE),"")</f>
        <v/>
      </c>
      <c r="E67" s="114"/>
      <c r="F67" s="77" t="str">
        <f t="shared" ref="F67:F130" si="21">IFERROR(VLOOKUP(E67,$AD$6:$AE$1101,2,FALSE),"")</f>
        <v/>
      </c>
      <c r="G67" s="77" t="str">
        <f t="shared" si="2"/>
        <v/>
      </c>
      <c r="H67" s="113"/>
      <c r="I67" s="113"/>
      <c r="J67" s="113"/>
      <c r="K67" s="126"/>
      <c r="L67" s="125"/>
      <c r="M67" s="125"/>
      <c r="N67" s="126"/>
      <c r="O67" s="303"/>
      <c r="P67" s="81"/>
      <c r="R67" s="72" t="str">
        <f t="shared" si="4"/>
        <v/>
      </c>
      <c r="S67" s="72" t="str">
        <f t="shared" si="5"/>
        <v/>
      </c>
      <c r="T67" s="72" t="str">
        <f t="shared" si="6"/>
        <v/>
      </c>
      <c r="X67" s="72">
        <v>3661</v>
      </c>
      <c r="Y67" s="72" t="s">
        <v>99</v>
      </c>
      <c r="AA67" s="72" t="str">
        <f t="shared" si="7"/>
        <v>36</v>
      </c>
      <c r="AB67" s="72" t="str">
        <f t="shared" si="8"/>
        <v>366</v>
      </c>
      <c r="AD67" s="72" t="s">
        <v>1269</v>
      </c>
      <c r="AE67" s="72" t="s">
        <v>1270</v>
      </c>
      <c r="AF67" s="72" t="str">
        <f t="shared" si="11"/>
        <v>A679071</v>
      </c>
      <c r="AG67" s="72" t="str">
        <f>VLOOKUP(AF67,AKT!$C$4:$E$324,3,FALSE)</f>
        <v>0942</v>
      </c>
    </row>
    <row r="68" spans="1:33">
      <c r="A68" s="82"/>
      <c r="B68" s="77" t="str">
        <f t="shared" si="19"/>
        <v/>
      </c>
      <c r="C68" s="368"/>
      <c r="D68" s="77" t="str">
        <f t="shared" si="20"/>
        <v/>
      </c>
      <c r="E68" s="114"/>
      <c r="F68" s="77" t="str">
        <f t="shared" si="21"/>
        <v/>
      </c>
      <c r="G68" s="77" t="str">
        <f t="shared" ref="G68:G131" si="22">IFERROR(VLOOKUP(E68,$AD$6:$AG$1101,4,FALSE),"")</f>
        <v/>
      </c>
      <c r="H68" s="113"/>
      <c r="I68" s="113"/>
      <c r="J68" s="113"/>
      <c r="K68" s="126"/>
      <c r="L68" s="125"/>
      <c r="M68" s="125"/>
      <c r="N68" s="126"/>
      <c r="O68" s="303"/>
      <c r="P68" s="81"/>
      <c r="R68" s="72" t="str">
        <f t="shared" si="4"/>
        <v/>
      </c>
      <c r="S68" s="72" t="str">
        <f t="shared" si="5"/>
        <v/>
      </c>
      <c r="T68" s="72" t="str">
        <f t="shared" si="6"/>
        <v/>
      </c>
      <c r="X68" s="72">
        <v>3662</v>
      </c>
      <c r="Y68" s="72" t="s">
        <v>182</v>
      </c>
      <c r="AA68" s="72" t="str">
        <f t="shared" si="7"/>
        <v>36</v>
      </c>
      <c r="AB68" s="72" t="str">
        <f t="shared" si="8"/>
        <v>366</v>
      </c>
      <c r="AD68" s="72" t="s">
        <v>3026</v>
      </c>
      <c r="AE68" s="72" t="s">
        <v>3027</v>
      </c>
      <c r="AF68" s="72" t="str">
        <f t="shared" si="11"/>
        <v>A679071</v>
      </c>
      <c r="AG68" s="72" t="str">
        <f>VLOOKUP(AF68,AKT!$C$4:$E$324,3,FALSE)</f>
        <v>0942</v>
      </c>
    </row>
    <row r="69" spans="1:33">
      <c r="A69" s="82"/>
      <c r="B69" s="77" t="str">
        <f t="shared" si="19"/>
        <v/>
      </c>
      <c r="C69" s="368"/>
      <c r="D69" s="77" t="str">
        <f t="shared" si="20"/>
        <v/>
      </c>
      <c r="E69" s="114"/>
      <c r="F69" s="77" t="str">
        <f t="shared" si="21"/>
        <v/>
      </c>
      <c r="G69" s="77" t="str">
        <f t="shared" si="22"/>
        <v/>
      </c>
      <c r="H69" s="113"/>
      <c r="I69" s="113"/>
      <c r="J69" s="113"/>
      <c r="K69" s="126"/>
      <c r="L69" s="125"/>
      <c r="M69" s="125"/>
      <c r="N69" s="126"/>
      <c r="O69" s="303"/>
      <c r="P69" s="81"/>
      <c r="R69" s="72" t="str">
        <f t="shared" si="4"/>
        <v/>
      </c>
      <c r="S69" s="72" t="str">
        <f t="shared" si="5"/>
        <v/>
      </c>
      <c r="T69" s="72" t="str">
        <f t="shared" si="6"/>
        <v/>
      </c>
      <c r="X69" s="72">
        <v>3681</v>
      </c>
      <c r="Y69" s="72" t="s">
        <v>26</v>
      </c>
      <c r="AA69" s="72" t="str">
        <f t="shared" si="7"/>
        <v>36</v>
      </c>
      <c r="AB69" s="72" t="str">
        <f t="shared" si="8"/>
        <v>368</v>
      </c>
      <c r="AD69" s="72" t="s">
        <v>2014</v>
      </c>
      <c r="AE69" s="72" t="s">
        <v>2015</v>
      </c>
      <c r="AF69" s="72" t="str">
        <f t="shared" si="11"/>
        <v>A679071</v>
      </c>
      <c r="AG69" s="72" t="str">
        <f>VLOOKUP(AF69,AKT!$C$4:$E$324,3,FALSE)</f>
        <v>0942</v>
      </c>
    </row>
    <row r="70" spans="1:33">
      <c r="A70" s="82"/>
      <c r="B70" s="77" t="str">
        <f t="shared" si="19"/>
        <v/>
      </c>
      <c r="C70" s="368"/>
      <c r="D70" s="77" t="str">
        <f t="shared" si="20"/>
        <v/>
      </c>
      <c r="E70" s="114"/>
      <c r="F70" s="77" t="str">
        <f t="shared" si="21"/>
        <v/>
      </c>
      <c r="G70" s="77" t="str">
        <f t="shared" si="22"/>
        <v/>
      </c>
      <c r="H70" s="113"/>
      <c r="I70" s="113"/>
      <c r="J70" s="113"/>
      <c r="K70" s="126"/>
      <c r="L70" s="125"/>
      <c r="M70" s="125"/>
      <c r="N70" s="126"/>
      <c r="O70" s="303"/>
      <c r="P70" s="81"/>
      <c r="R70" s="72" t="str">
        <f t="shared" si="4"/>
        <v/>
      </c>
      <c r="S70" s="72" t="str">
        <f t="shared" si="5"/>
        <v/>
      </c>
      <c r="T70" s="72" t="str">
        <f t="shared" si="6"/>
        <v/>
      </c>
      <c r="X70" s="72">
        <v>3682</v>
      </c>
      <c r="Y70" s="72" t="s">
        <v>27</v>
      </c>
      <c r="AA70" s="72" t="str">
        <f t="shared" si="7"/>
        <v>36</v>
      </c>
      <c r="AB70" s="72" t="str">
        <f t="shared" si="8"/>
        <v>368</v>
      </c>
      <c r="AD70" s="72" t="s">
        <v>2016</v>
      </c>
      <c r="AE70" s="72" t="s">
        <v>2017</v>
      </c>
      <c r="AF70" s="72" t="str">
        <f t="shared" si="11"/>
        <v>A679071</v>
      </c>
      <c r="AG70" s="72" t="str">
        <f>VLOOKUP(AF70,AKT!$C$4:$E$324,3,FALSE)</f>
        <v>0942</v>
      </c>
    </row>
    <row r="71" spans="1:33">
      <c r="A71" s="82"/>
      <c r="B71" s="77" t="str">
        <f t="shared" si="19"/>
        <v/>
      </c>
      <c r="C71" s="368"/>
      <c r="D71" s="77" t="str">
        <f t="shared" si="20"/>
        <v/>
      </c>
      <c r="E71" s="114"/>
      <c r="F71" s="77" t="str">
        <f t="shared" si="21"/>
        <v/>
      </c>
      <c r="G71" s="77" t="str">
        <f t="shared" si="22"/>
        <v/>
      </c>
      <c r="H71" s="113"/>
      <c r="I71" s="113"/>
      <c r="J71" s="113"/>
      <c r="K71" s="126"/>
      <c r="L71" s="125"/>
      <c r="M71" s="125"/>
      <c r="N71" s="126"/>
      <c r="O71" s="303"/>
      <c r="P71" s="81"/>
      <c r="R71" s="72" t="str">
        <f t="shared" si="4"/>
        <v/>
      </c>
      <c r="S71" s="72" t="str">
        <f t="shared" si="5"/>
        <v/>
      </c>
      <c r="T71" s="72" t="str">
        <f t="shared" si="6"/>
        <v/>
      </c>
      <c r="X71" s="72">
        <v>3691</v>
      </c>
      <c r="Y71" s="72" t="s">
        <v>104</v>
      </c>
      <c r="AA71" s="72" t="str">
        <f t="shared" si="7"/>
        <v>36</v>
      </c>
      <c r="AB71" s="72" t="str">
        <f t="shared" si="8"/>
        <v>369</v>
      </c>
      <c r="AD71" s="72" t="s">
        <v>2018</v>
      </c>
      <c r="AE71" s="72" t="s">
        <v>2019</v>
      </c>
      <c r="AF71" s="72" t="str">
        <f t="shared" si="11"/>
        <v>A679071</v>
      </c>
      <c r="AG71" s="72" t="str">
        <f>VLOOKUP(AF71,AKT!$C$4:$E$324,3,FALSE)</f>
        <v>0942</v>
      </c>
    </row>
    <row r="72" spans="1:33">
      <c r="A72" s="82"/>
      <c r="B72" s="77" t="str">
        <f t="shared" si="19"/>
        <v/>
      </c>
      <c r="C72" s="368"/>
      <c r="D72" s="77" t="str">
        <f t="shared" si="20"/>
        <v/>
      </c>
      <c r="E72" s="114"/>
      <c r="F72" s="77" t="str">
        <f t="shared" si="21"/>
        <v/>
      </c>
      <c r="G72" s="77" t="str">
        <f t="shared" si="22"/>
        <v/>
      </c>
      <c r="H72" s="113"/>
      <c r="I72" s="113"/>
      <c r="J72" s="113"/>
      <c r="K72" s="126"/>
      <c r="L72" s="125"/>
      <c r="M72" s="125"/>
      <c r="N72" s="126"/>
      <c r="O72" s="303"/>
      <c r="P72" s="81"/>
      <c r="R72" s="72" t="str">
        <f t="shared" si="4"/>
        <v/>
      </c>
      <c r="S72" s="72" t="str">
        <f t="shared" si="5"/>
        <v/>
      </c>
      <c r="T72" s="72" t="str">
        <f t="shared" si="6"/>
        <v/>
      </c>
      <c r="X72" s="72">
        <v>3692</v>
      </c>
      <c r="Y72" s="72" t="s">
        <v>176</v>
      </c>
      <c r="AA72" s="72" t="str">
        <f t="shared" si="7"/>
        <v>36</v>
      </c>
      <c r="AB72" s="72" t="str">
        <f t="shared" si="8"/>
        <v>369</v>
      </c>
      <c r="AD72" s="72" t="s">
        <v>2020</v>
      </c>
      <c r="AE72" s="72" t="s">
        <v>2021</v>
      </c>
      <c r="AF72" s="72" t="str">
        <f t="shared" si="11"/>
        <v>A679071</v>
      </c>
      <c r="AG72" s="72" t="str">
        <f>VLOOKUP(AF72,AKT!$C$4:$E$324,3,FALSE)</f>
        <v>0942</v>
      </c>
    </row>
    <row r="73" spans="1:33">
      <c r="A73" s="82"/>
      <c r="B73" s="77" t="str">
        <f t="shared" si="19"/>
        <v/>
      </c>
      <c r="C73" s="82"/>
      <c r="D73" s="77" t="str">
        <f t="shared" si="20"/>
        <v/>
      </c>
      <c r="E73" s="114"/>
      <c r="F73" s="77" t="str">
        <f t="shared" si="21"/>
        <v/>
      </c>
      <c r="G73" s="77" t="str">
        <f t="shared" si="22"/>
        <v/>
      </c>
      <c r="H73" s="113"/>
      <c r="I73" s="113"/>
      <c r="J73" s="113"/>
      <c r="K73" s="126"/>
      <c r="L73" s="125"/>
      <c r="M73" s="125"/>
      <c r="N73" s="126"/>
      <c r="O73" s="303"/>
      <c r="P73" s="81"/>
      <c r="R73" s="72" t="str">
        <f t="shared" si="4"/>
        <v/>
      </c>
      <c r="S73" s="72" t="str">
        <f t="shared" si="5"/>
        <v/>
      </c>
      <c r="T73" s="72" t="str">
        <f t="shared" si="6"/>
        <v/>
      </c>
      <c r="X73" s="72">
        <v>3693</v>
      </c>
      <c r="Y73" s="72" t="s">
        <v>104</v>
      </c>
      <c r="AA73" s="72" t="str">
        <f t="shared" si="7"/>
        <v>36</v>
      </c>
      <c r="AB73" s="72" t="str">
        <f t="shared" si="8"/>
        <v>369</v>
      </c>
      <c r="AD73" s="72" t="s">
        <v>2022</v>
      </c>
      <c r="AE73" s="72" t="s">
        <v>2023</v>
      </c>
      <c r="AF73" s="72" t="str">
        <f t="shared" si="11"/>
        <v>A679071</v>
      </c>
      <c r="AG73" s="72" t="str">
        <f>VLOOKUP(AF73,AKT!$C$4:$E$324,3,FALSE)</f>
        <v>0942</v>
      </c>
    </row>
    <row r="74" spans="1:33">
      <c r="A74" s="82"/>
      <c r="B74" s="77" t="str">
        <f t="shared" si="19"/>
        <v/>
      </c>
      <c r="C74" s="82"/>
      <c r="D74" s="77" t="str">
        <f t="shared" si="20"/>
        <v/>
      </c>
      <c r="E74" s="114"/>
      <c r="F74" s="77" t="str">
        <f t="shared" si="21"/>
        <v/>
      </c>
      <c r="G74" s="77" t="str">
        <f t="shared" si="22"/>
        <v/>
      </c>
      <c r="H74" s="113"/>
      <c r="I74" s="113"/>
      <c r="J74" s="113"/>
      <c r="K74" s="126"/>
      <c r="L74" s="125"/>
      <c r="M74" s="125"/>
      <c r="N74" s="126"/>
      <c r="O74" s="303"/>
      <c r="P74" s="81"/>
      <c r="R74" s="72" t="str">
        <f t="shared" si="4"/>
        <v/>
      </c>
      <c r="S74" s="72" t="str">
        <f t="shared" si="5"/>
        <v/>
      </c>
      <c r="T74" s="72" t="str">
        <f t="shared" si="6"/>
        <v/>
      </c>
      <c r="X74" s="72">
        <v>3694</v>
      </c>
      <c r="Y74" s="72" t="s">
        <v>176</v>
      </c>
      <c r="AA74" s="72" t="str">
        <f t="shared" si="7"/>
        <v>36</v>
      </c>
      <c r="AB74" s="72" t="str">
        <f t="shared" si="8"/>
        <v>369</v>
      </c>
      <c r="AD74" s="72" t="s">
        <v>2024</v>
      </c>
      <c r="AE74" s="72" t="s">
        <v>2025</v>
      </c>
      <c r="AF74" s="72" t="str">
        <f t="shared" si="11"/>
        <v>A679071</v>
      </c>
      <c r="AG74" s="72" t="str">
        <f>VLOOKUP(AF74,AKT!$C$4:$E$324,3,FALSE)</f>
        <v>0942</v>
      </c>
    </row>
    <row r="75" spans="1:33">
      <c r="A75" s="82"/>
      <c r="B75" s="77" t="str">
        <f t="shared" si="19"/>
        <v/>
      </c>
      <c r="C75" s="82"/>
      <c r="D75" s="77" t="str">
        <f t="shared" si="20"/>
        <v/>
      </c>
      <c r="E75" s="114"/>
      <c r="F75" s="77" t="str">
        <f t="shared" si="21"/>
        <v/>
      </c>
      <c r="G75" s="77" t="str">
        <f t="shared" si="22"/>
        <v/>
      </c>
      <c r="H75" s="113"/>
      <c r="I75" s="113"/>
      <c r="J75" s="113"/>
      <c r="K75" s="126"/>
      <c r="L75" s="125"/>
      <c r="M75" s="125"/>
      <c r="N75" s="126"/>
      <c r="O75" s="303"/>
      <c r="P75" s="81"/>
      <c r="R75" s="72" t="str">
        <f t="shared" si="4"/>
        <v/>
      </c>
      <c r="S75" s="72" t="str">
        <f t="shared" si="5"/>
        <v/>
      </c>
      <c r="T75" s="72" t="str">
        <f t="shared" si="6"/>
        <v/>
      </c>
      <c r="X75" s="72">
        <v>3711</v>
      </c>
      <c r="Y75" s="72" t="s">
        <v>123</v>
      </c>
      <c r="AA75" s="72" t="str">
        <f t="shared" si="7"/>
        <v>37</v>
      </c>
      <c r="AB75" s="72" t="str">
        <f t="shared" si="8"/>
        <v>371</v>
      </c>
      <c r="AD75" s="72" t="s">
        <v>2026</v>
      </c>
      <c r="AE75" s="72" t="s">
        <v>2027</v>
      </c>
      <c r="AF75" s="72" t="str">
        <f t="shared" si="11"/>
        <v>A679071</v>
      </c>
      <c r="AG75" s="72" t="str">
        <f>VLOOKUP(AF75,AKT!$C$4:$E$324,3,FALSE)</f>
        <v>0942</v>
      </c>
    </row>
    <row r="76" spans="1:33">
      <c r="A76" s="82"/>
      <c r="B76" s="77" t="str">
        <f t="shared" ref="B76:B139" si="23">IFERROR(VLOOKUP(A76,$U$6:$V$34,2,FALSE),"")</f>
        <v/>
      </c>
      <c r="C76" s="82"/>
      <c r="D76" s="77" t="str">
        <f t="shared" si="20"/>
        <v/>
      </c>
      <c r="E76" s="114"/>
      <c r="F76" s="77" t="str">
        <f t="shared" si="21"/>
        <v/>
      </c>
      <c r="G76" s="77" t="str">
        <f t="shared" si="22"/>
        <v/>
      </c>
      <c r="H76" s="113"/>
      <c r="I76" s="113"/>
      <c r="J76" s="113"/>
      <c r="K76" s="126"/>
      <c r="L76" s="125"/>
      <c r="M76" s="125"/>
      <c r="N76" s="126"/>
      <c r="O76" s="303"/>
      <c r="P76" s="81"/>
      <c r="R76" s="72" t="str">
        <f t="shared" si="4"/>
        <v/>
      </c>
      <c r="S76" s="72" t="str">
        <f t="shared" si="5"/>
        <v/>
      </c>
      <c r="T76" s="72" t="str">
        <f t="shared" si="6"/>
        <v/>
      </c>
      <c r="X76" s="72">
        <v>3712</v>
      </c>
      <c r="Y76" s="72" t="s">
        <v>141</v>
      </c>
      <c r="AA76" s="72" t="str">
        <f t="shared" si="7"/>
        <v>37</v>
      </c>
      <c r="AB76" s="72" t="str">
        <f t="shared" si="8"/>
        <v>371</v>
      </c>
      <c r="AD76" s="72" t="s">
        <v>2028</v>
      </c>
      <c r="AE76" s="72" t="s">
        <v>2029</v>
      </c>
      <c r="AF76" s="72" t="str">
        <f t="shared" si="11"/>
        <v>A679071</v>
      </c>
      <c r="AG76" s="72" t="str">
        <f>VLOOKUP(AF76,AKT!$C$4:$E$324,3,FALSE)</f>
        <v>0942</v>
      </c>
    </row>
    <row r="77" spans="1:33">
      <c r="A77" s="82"/>
      <c r="B77" s="77" t="str">
        <f t="shared" si="23"/>
        <v/>
      </c>
      <c r="C77" s="82"/>
      <c r="D77" s="77" t="str">
        <f t="shared" si="20"/>
        <v/>
      </c>
      <c r="E77" s="114"/>
      <c r="F77" s="77" t="str">
        <f t="shared" si="21"/>
        <v/>
      </c>
      <c r="G77" s="77" t="str">
        <f t="shared" si="22"/>
        <v/>
      </c>
      <c r="H77" s="113"/>
      <c r="I77" s="113"/>
      <c r="J77" s="113"/>
      <c r="K77" s="126"/>
      <c r="L77" s="125"/>
      <c r="M77" s="125"/>
      <c r="N77" s="126"/>
      <c r="O77" s="303"/>
      <c r="P77" s="81"/>
      <c r="R77" s="72" t="str">
        <f t="shared" si="4"/>
        <v/>
      </c>
      <c r="S77" s="72" t="str">
        <f t="shared" si="5"/>
        <v/>
      </c>
      <c r="T77" s="72" t="str">
        <f t="shared" si="6"/>
        <v/>
      </c>
      <c r="X77" s="72">
        <v>3713</v>
      </c>
      <c r="Y77" s="72" t="s">
        <v>168</v>
      </c>
      <c r="AA77" s="72" t="str">
        <f t="shared" si="7"/>
        <v>37</v>
      </c>
      <c r="AB77" s="72" t="str">
        <f t="shared" si="8"/>
        <v>371</v>
      </c>
      <c r="AD77" s="72" t="s">
        <v>2030</v>
      </c>
      <c r="AE77" s="72" t="s">
        <v>2031</v>
      </c>
      <c r="AF77" s="72" t="str">
        <f t="shared" si="11"/>
        <v>A679071</v>
      </c>
      <c r="AG77" s="72" t="str">
        <f>VLOOKUP(AF77,AKT!$C$4:$E$324,3,FALSE)</f>
        <v>0942</v>
      </c>
    </row>
    <row r="78" spans="1:33">
      <c r="A78" s="82"/>
      <c r="B78" s="77" t="str">
        <f t="shared" si="23"/>
        <v/>
      </c>
      <c r="C78" s="82"/>
      <c r="D78" s="77" t="str">
        <f t="shared" si="20"/>
        <v/>
      </c>
      <c r="E78" s="114"/>
      <c r="F78" s="77" t="str">
        <f t="shared" si="21"/>
        <v/>
      </c>
      <c r="G78" s="77" t="str">
        <f t="shared" si="22"/>
        <v/>
      </c>
      <c r="H78" s="113"/>
      <c r="I78" s="113"/>
      <c r="J78" s="113"/>
      <c r="K78" s="126"/>
      <c r="L78" s="125"/>
      <c r="M78" s="125"/>
      <c r="N78" s="126"/>
      <c r="O78" s="303"/>
      <c r="P78" s="81"/>
      <c r="R78" s="72" t="str">
        <f t="shared" si="4"/>
        <v/>
      </c>
      <c r="S78" s="72" t="str">
        <f t="shared" si="5"/>
        <v/>
      </c>
      <c r="T78" s="72" t="str">
        <f t="shared" si="6"/>
        <v/>
      </c>
      <c r="X78" s="72">
        <v>3714</v>
      </c>
      <c r="Y78" s="72" t="s">
        <v>189</v>
      </c>
      <c r="AA78" s="72" t="str">
        <f t="shared" si="7"/>
        <v>37</v>
      </c>
      <c r="AB78" s="72" t="str">
        <f t="shared" si="8"/>
        <v>371</v>
      </c>
      <c r="AD78" s="72" t="s">
        <v>2032</v>
      </c>
      <c r="AE78" s="72" t="s">
        <v>2033</v>
      </c>
      <c r="AF78" s="72" t="str">
        <f t="shared" si="11"/>
        <v>A679071</v>
      </c>
      <c r="AG78" s="72" t="str">
        <f>VLOOKUP(AF78,AKT!$C$4:$E$324,3,FALSE)</f>
        <v>0942</v>
      </c>
    </row>
    <row r="79" spans="1:33">
      <c r="A79" s="82"/>
      <c r="B79" s="77" t="str">
        <f t="shared" si="23"/>
        <v/>
      </c>
      <c r="C79" s="82"/>
      <c r="D79" s="77" t="str">
        <f t="shared" si="20"/>
        <v/>
      </c>
      <c r="E79" s="114"/>
      <c r="F79" s="77" t="str">
        <f t="shared" si="21"/>
        <v/>
      </c>
      <c r="G79" s="77" t="str">
        <f t="shared" si="22"/>
        <v/>
      </c>
      <c r="H79" s="113"/>
      <c r="I79" s="113"/>
      <c r="J79" s="113"/>
      <c r="K79" s="126"/>
      <c r="L79" s="125"/>
      <c r="M79" s="125"/>
      <c r="N79" s="126"/>
      <c r="O79" s="303"/>
      <c r="P79" s="81"/>
      <c r="R79" s="72" t="str">
        <f t="shared" ref="R79:R142" si="24">LEFT(C79,3)</f>
        <v/>
      </c>
      <c r="S79" s="72" t="str">
        <f t="shared" ref="S79:S142" si="25">LEFT(C79,2)</f>
        <v/>
      </c>
      <c r="T79" s="72" t="str">
        <f t="shared" ref="T79:T142" si="26">MID(G79,2,2)</f>
        <v/>
      </c>
      <c r="X79" s="72">
        <v>3715</v>
      </c>
      <c r="Y79" s="72" t="s">
        <v>127</v>
      </c>
      <c r="AA79" s="72" t="str">
        <f t="shared" si="7"/>
        <v>37</v>
      </c>
      <c r="AB79" s="72" t="str">
        <f t="shared" si="8"/>
        <v>371</v>
      </c>
      <c r="AD79" s="72" t="s">
        <v>2034</v>
      </c>
      <c r="AE79" s="72" t="s">
        <v>2035</v>
      </c>
      <c r="AF79" s="72" t="str">
        <f t="shared" si="11"/>
        <v>A679071</v>
      </c>
      <c r="AG79" s="72" t="str">
        <f>VLOOKUP(AF79,AKT!$C$4:$E$324,3,FALSE)</f>
        <v>0942</v>
      </c>
    </row>
    <row r="80" spans="1:33">
      <c r="A80" s="82"/>
      <c r="B80" s="77" t="str">
        <f t="shared" si="23"/>
        <v/>
      </c>
      <c r="C80" s="82"/>
      <c r="D80" s="77" t="str">
        <f t="shared" si="20"/>
        <v/>
      </c>
      <c r="E80" s="114"/>
      <c r="F80" s="77" t="str">
        <f t="shared" si="21"/>
        <v/>
      </c>
      <c r="G80" s="77" t="str">
        <f t="shared" si="22"/>
        <v/>
      </c>
      <c r="H80" s="113"/>
      <c r="I80" s="113"/>
      <c r="J80" s="113"/>
      <c r="K80" s="126"/>
      <c r="L80" s="125"/>
      <c r="M80" s="125"/>
      <c r="N80" s="126"/>
      <c r="O80" s="303"/>
      <c r="P80" s="81"/>
      <c r="R80" s="72" t="str">
        <f t="shared" si="24"/>
        <v/>
      </c>
      <c r="S80" s="72" t="str">
        <f t="shared" si="25"/>
        <v/>
      </c>
      <c r="T80" s="72" t="str">
        <f t="shared" si="26"/>
        <v/>
      </c>
      <c r="X80" s="72">
        <v>3721</v>
      </c>
      <c r="Y80" s="72" t="s">
        <v>65</v>
      </c>
      <c r="AA80" s="72" t="str">
        <f t="shared" ref="AA80:AA140" si="27">LEFT(X80,2)</f>
        <v>37</v>
      </c>
      <c r="AB80" s="72" t="str">
        <f t="shared" si="8"/>
        <v>372</v>
      </c>
      <c r="AD80" s="72" t="s">
        <v>2036</v>
      </c>
      <c r="AE80" s="72" t="s">
        <v>2037</v>
      </c>
      <c r="AF80" s="72" t="str">
        <f t="shared" si="11"/>
        <v>A679071</v>
      </c>
      <c r="AG80" s="72" t="str">
        <f>VLOOKUP(AF80,AKT!$C$4:$E$324,3,FALSE)</f>
        <v>0942</v>
      </c>
    </row>
    <row r="81" spans="1:33">
      <c r="A81" s="82"/>
      <c r="B81" s="77" t="str">
        <f t="shared" si="23"/>
        <v/>
      </c>
      <c r="C81" s="82"/>
      <c r="D81" s="77" t="str">
        <f t="shared" si="20"/>
        <v/>
      </c>
      <c r="E81" s="114"/>
      <c r="F81" s="77" t="str">
        <f t="shared" si="21"/>
        <v/>
      </c>
      <c r="G81" s="77" t="str">
        <f t="shared" si="22"/>
        <v/>
      </c>
      <c r="H81" s="113"/>
      <c r="I81" s="113"/>
      <c r="J81" s="113"/>
      <c r="K81" s="126"/>
      <c r="L81" s="125"/>
      <c r="M81" s="125"/>
      <c r="N81" s="126"/>
      <c r="O81" s="303"/>
      <c r="P81" s="81"/>
      <c r="R81" s="72" t="str">
        <f t="shared" si="24"/>
        <v/>
      </c>
      <c r="S81" s="72" t="str">
        <f t="shared" si="25"/>
        <v/>
      </c>
      <c r="T81" s="72" t="str">
        <f t="shared" si="26"/>
        <v/>
      </c>
      <c r="X81" s="72">
        <v>3722</v>
      </c>
      <c r="Y81" s="72" t="s">
        <v>150</v>
      </c>
      <c r="AA81" s="72" t="str">
        <f t="shared" si="27"/>
        <v>37</v>
      </c>
      <c r="AB81" s="72" t="str">
        <f t="shared" ref="AB81:AB140" si="28">LEFT(X81,3)</f>
        <v>372</v>
      </c>
      <c r="AD81" s="72" t="s">
        <v>2038</v>
      </c>
      <c r="AE81" s="72" t="s">
        <v>2039</v>
      </c>
      <c r="AF81" s="72" t="str">
        <f t="shared" si="11"/>
        <v>A679071</v>
      </c>
      <c r="AG81" s="72" t="str">
        <f>VLOOKUP(AF81,AKT!$C$4:$E$324,3,FALSE)</f>
        <v>0942</v>
      </c>
    </row>
    <row r="82" spans="1:33">
      <c r="A82" s="82"/>
      <c r="B82" s="77" t="str">
        <f t="shared" si="23"/>
        <v/>
      </c>
      <c r="C82" s="82"/>
      <c r="D82" s="77" t="str">
        <f t="shared" si="20"/>
        <v/>
      </c>
      <c r="E82" s="114"/>
      <c r="F82" s="77" t="str">
        <f t="shared" si="21"/>
        <v/>
      </c>
      <c r="G82" s="77" t="str">
        <f t="shared" si="22"/>
        <v/>
      </c>
      <c r="H82" s="113"/>
      <c r="I82" s="113"/>
      <c r="J82" s="113"/>
      <c r="K82" s="126"/>
      <c r="L82" s="125"/>
      <c r="M82" s="125"/>
      <c r="N82" s="126"/>
      <c r="O82" s="303"/>
      <c r="P82" s="81"/>
      <c r="R82" s="72" t="str">
        <f t="shared" si="24"/>
        <v/>
      </c>
      <c r="S82" s="72" t="str">
        <f t="shared" si="25"/>
        <v/>
      </c>
      <c r="T82" s="72" t="str">
        <f t="shared" si="26"/>
        <v/>
      </c>
      <c r="X82" s="72">
        <v>3723</v>
      </c>
      <c r="Y82" s="72" t="s">
        <v>105</v>
      </c>
      <c r="AA82" s="72" t="str">
        <f t="shared" si="27"/>
        <v>37</v>
      </c>
      <c r="AB82" s="72" t="str">
        <f t="shared" si="28"/>
        <v>372</v>
      </c>
      <c r="AD82" s="72" t="s">
        <v>2040</v>
      </c>
      <c r="AE82" s="72" t="s">
        <v>2041</v>
      </c>
      <c r="AF82" s="72" t="str">
        <f t="shared" si="11"/>
        <v>A679071</v>
      </c>
      <c r="AG82" s="72" t="str">
        <f>VLOOKUP(AF82,AKT!$C$4:$E$324,3,FALSE)</f>
        <v>0942</v>
      </c>
    </row>
    <row r="83" spans="1:33">
      <c r="A83" s="82"/>
      <c r="B83" s="77" t="str">
        <f t="shared" si="23"/>
        <v/>
      </c>
      <c r="C83" s="82"/>
      <c r="D83" s="77" t="str">
        <f t="shared" si="20"/>
        <v/>
      </c>
      <c r="E83" s="114"/>
      <c r="F83" s="77" t="str">
        <f t="shared" si="21"/>
        <v/>
      </c>
      <c r="G83" s="77" t="str">
        <f t="shared" si="22"/>
        <v/>
      </c>
      <c r="H83" s="113"/>
      <c r="I83" s="113"/>
      <c r="J83" s="113"/>
      <c r="K83" s="126"/>
      <c r="L83" s="125"/>
      <c r="M83" s="125"/>
      <c r="N83" s="126"/>
      <c r="O83" s="303"/>
      <c r="P83" s="81"/>
      <c r="R83" s="72" t="str">
        <f t="shared" si="24"/>
        <v/>
      </c>
      <c r="S83" s="72" t="str">
        <f t="shared" si="25"/>
        <v/>
      </c>
      <c r="T83" s="72" t="str">
        <f t="shared" si="26"/>
        <v/>
      </c>
      <c r="X83" s="72">
        <v>3811</v>
      </c>
      <c r="Y83" s="72" t="s">
        <v>55</v>
      </c>
      <c r="AA83" s="72" t="str">
        <f t="shared" si="27"/>
        <v>38</v>
      </c>
      <c r="AB83" s="72" t="str">
        <f t="shared" si="28"/>
        <v>381</v>
      </c>
      <c r="AD83" s="72" t="s">
        <v>2042</v>
      </c>
      <c r="AE83" s="72" t="s">
        <v>2043</v>
      </c>
      <c r="AF83" s="72" t="str">
        <f t="shared" ref="AF83:AF146" si="29">LEFT(AD83,7)</f>
        <v>A679071</v>
      </c>
      <c r="AG83" s="72" t="str">
        <f>VLOOKUP(AF83,AKT!$C$4:$E$324,3,FALSE)</f>
        <v>0942</v>
      </c>
    </row>
    <row r="84" spans="1:33">
      <c r="A84" s="82"/>
      <c r="B84" s="77" t="str">
        <f t="shared" si="23"/>
        <v/>
      </c>
      <c r="C84" s="82"/>
      <c r="D84" s="77" t="str">
        <f t="shared" si="20"/>
        <v/>
      </c>
      <c r="E84" s="114"/>
      <c r="F84" s="77" t="str">
        <f t="shared" si="21"/>
        <v/>
      </c>
      <c r="G84" s="77" t="str">
        <f t="shared" si="22"/>
        <v/>
      </c>
      <c r="H84" s="113"/>
      <c r="I84" s="113"/>
      <c r="J84" s="113"/>
      <c r="K84" s="126"/>
      <c r="L84" s="125"/>
      <c r="M84" s="125"/>
      <c r="N84" s="126"/>
      <c r="O84" s="303"/>
      <c r="P84" s="81"/>
      <c r="R84" s="72" t="str">
        <f t="shared" si="24"/>
        <v/>
      </c>
      <c r="S84" s="72" t="str">
        <f t="shared" si="25"/>
        <v/>
      </c>
      <c r="T84" s="72" t="str">
        <f t="shared" si="26"/>
        <v/>
      </c>
      <c r="X84" s="72">
        <v>3812</v>
      </c>
      <c r="Y84" s="72" t="s">
        <v>151</v>
      </c>
      <c r="AA84" s="72" t="str">
        <f t="shared" si="27"/>
        <v>38</v>
      </c>
      <c r="AB84" s="72" t="str">
        <f t="shared" si="28"/>
        <v>381</v>
      </c>
      <c r="AD84" s="72" t="s">
        <v>2044</v>
      </c>
      <c r="AE84" s="72" t="s">
        <v>2045</v>
      </c>
      <c r="AF84" s="72" t="str">
        <f t="shared" si="29"/>
        <v>A679071</v>
      </c>
      <c r="AG84" s="72" t="str">
        <f>VLOOKUP(AF84,AKT!$C$4:$E$324,3,FALSE)</f>
        <v>0942</v>
      </c>
    </row>
    <row r="85" spans="1:33">
      <c r="A85" s="82"/>
      <c r="B85" s="77" t="str">
        <f t="shared" si="23"/>
        <v/>
      </c>
      <c r="C85" s="82"/>
      <c r="D85" s="77" t="str">
        <f t="shared" si="20"/>
        <v/>
      </c>
      <c r="E85" s="114"/>
      <c r="F85" s="77" t="str">
        <f t="shared" si="21"/>
        <v/>
      </c>
      <c r="G85" s="77" t="str">
        <f t="shared" si="22"/>
        <v/>
      </c>
      <c r="H85" s="113"/>
      <c r="I85" s="113"/>
      <c r="J85" s="113"/>
      <c r="K85" s="126"/>
      <c r="L85" s="125"/>
      <c r="M85" s="125"/>
      <c r="N85" s="126"/>
      <c r="O85" s="303"/>
      <c r="P85" s="81"/>
      <c r="R85" s="72" t="str">
        <f t="shared" si="24"/>
        <v/>
      </c>
      <c r="S85" s="72" t="str">
        <f t="shared" si="25"/>
        <v/>
      </c>
      <c r="T85" s="72" t="str">
        <f t="shared" si="26"/>
        <v/>
      </c>
      <c r="X85" s="72">
        <v>3813</v>
      </c>
      <c r="Y85" s="72" t="s">
        <v>94</v>
      </c>
      <c r="AA85" s="72" t="str">
        <f t="shared" si="27"/>
        <v>38</v>
      </c>
      <c r="AB85" s="72" t="str">
        <f t="shared" si="28"/>
        <v>381</v>
      </c>
      <c r="AD85" s="72" t="s">
        <v>2046</v>
      </c>
      <c r="AE85" s="72" t="s">
        <v>2047</v>
      </c>
      <c r="AF85" s="72" t="str">
        <f t="shared" si="29"/>
        <v>A679071</v>
      </c>
      <c r="AG85" s="72" t="str">
        <f>VLOOKUP(AF85,AKT!$C$4:$E$324,3,FALSE)</f>
        <v>0942</v>
      </c>
    </row>
    <row r="86" spans="1:33">
      <c r="A86" s="82"/>
      <c r="B86" s="77" t="str">
        <f t="shared" si="23"/>
        <v/>
      </c>
      <c r="C86" s="82"/>
      <c r="D86" s="77" t="str">
        <f t="shared" si="20"/>
        <v/>
      </c>
      <c r="E86" s="114"/>
      <c r="F86" s="77" t="str">
        <f t="shared" si="21"/>
        <v/>
      </c>
      <c r="G86" s="77" t="str">
        <f t="shared" si="22"/>
        <v/>
      </c>
      <c r="H86" s="113"/>
      <c r="I86" s="113"/>
      <c r="J86" s="113"/>
      <c r="K86" s="126"/>
      <c r="L86" s="125"/>
      <c r="M86" s="125"/>
      <c r="N86" s="126"/>
      <c r="O86" s="303"/>
      <c r="P86" s="81"/>
      <c r="R86" s="72" t="str">
        <f t="shared" si="24"/>
        <v/>
      </c>
      <c r="S86" s="72" t="str">
        <f t="shared" si="25"/>
        <v/>
      </c>
      <c r="T86" s="72" t="str">
        <f t="shared" si="26"/>
        <v/>
      </c>
      <c r="X86" s="72">
        <v>3821</v>
      </c>
      <c r="Y86" s="72" t="s">
        <v>169</v>
      </c>
      <c r="AA86" s="72" t="str">
        <f t="shared" si="27"/>
        <v>38</v>
      </c>
      <c r="AB86" s="72" t="str">
        <f t="shared" si="28"/>
        <v>382</v>
      </c>
      <c r="AD86" s="72" t="s">
        <v>2048</v>
      </c>
      <c r="AE86" s="72" t="s">
        <v>2049</v>
      </c>
      <c r="AF86" s="72" t="str">
        <f t="shared" si="29"/>
        <v>A679071</v>
      </c>
      <c r="AG86" s="72" t="str">
        <f>VLOOKUP(AF86,AKT!$C$4:$E$324,3,FALSE)</f>
        <v>0942</v>
      </c>
    </row>
    <row r="87" spans="1:33">
      <c r="A87" s="82"/>
      <c r="B87" s="77" t="str">
        <f t="shared" si="23"/>
        <v/>
      </c>
      <c r="C87" s="82"/>
      <c r="D87" s="77" t="str">
        <f t="shared" si="20"/>
        <v/>
      </c>
      <c r="E87" s="114"/>
      <c r="F87" s="77" t="str">
        <f t="shared" si="21"/>
        <v/>
      </c>
      <c r="G87" s="77" t="str">
        <f t="shared" si="22"/>
        <v/>
      </c>
      <c r="H87" s="113"/>
      <c r="I87" s="113"/>
      <c r="J87" s="113"/>
      <c r="K87" s="126"/>
      <c r="L87" s="125"/>
      <c r="M87" s="125"/>
      <c r="N87" s="126"/>
      <c r="O87" s="303"/>
      <c r="P87" s="81"/>
      <c r="R87" s="72" t="str">
        <f t="shared" si="24"/>
        <v/>
      </c>
      <c r="S87" s="72" t="str">
        <f t="shared" si="25"/>
        <v/>
      </c>
      <c r="T87" s="72" t="str">
        <f t="shared" si="26"/>
        <v/>
      </c>
      <c r="X87" s="72">
        <v>3831</v>
      </c>
      <c r="Y87" s="72" t="s">
        <v>152</v>
      </c>
      <c r="AA87" s="72" t="str">
        <f t="shared" si="27"/>
        <v>38</v>
      </c>
      <c r="AB87" s="72" t="str">
        <f t="shared" si="28"/>
        <v>383</v>
      </c>
      <c r="AD87" s="72" t="s">
        <v>2050</v>
      </c>
      <c r="AE87" s="72" t="s">
        <v>2051</v>
      </c>
      <c r="AF87" s="72" t="str">
        <f t="shared" si="29"/>
        <v>A679071</v>
      </c>
      <c r="AG87" s="72" t="str">
        <f>VLOOKUP(AF87,AKT!$C$4:$E$324,3,FALSE)</f>
        <v>0942</v>
      </c>
    </row>
    <row r="88" spans="1:33">
      <c r="A88" s="82"/>
      <c r="B88" s="77" t="str">
        <f t="shared" si="23"/>
        <v/>
      </c>
      <c r="C88" s="82"/>
      <c r="D88" s="77" t="str">
        <f t="shared" si="20"/>
        <v/>
      </c>
      <c r="E88" s="114"/>
      <c r="F88" s="77" t="str">
        <f t="shared" si="21"/>
        <v/>
      </c>
      <c r="G88" s="77" t="str">
        <f t="shared" si="22"/>
        <v/>
      </c>
      <c r="H88" s="113"/>
      <c r="I88" s="113"/>
      <c r="J88" s="113"/>
      <c r="K88" s="126"/>
      <c r="L88" s="125"/>
      <c r="M88" s="125"/>
      <c r="N88" s="126"/>
      <c r="O88" s="303"/>
      <c r="P88" s="81"/>
      <c r="R88" s="72" t="str">
        <f t="shared" si="24"/>
        <v/>
      </c>
      <c r="S88" s="72" t="str">
        <f t="shared" si="25"/>
        <v/>
      </c>
      <c r="T88" s="72" t="str">
        <f t="shared" si="26"/>
        <v/>
      </c>
      <c r="X88" s="72">
        <v>3832</v>
      </c>
      <c r="Y88" s="72" t="s">
        <v>192</v>
      </c>
      <c r="AA88" s="72" t="str">
        <f t="shared" si="27"/>
        <v>38</v>
      </c>
      <c r="AB88" s="72" t="str">
        <f t="shared" si="28"/>
        <v>383</v>
      </c>
      <c r="AD88" s="72" t="s">
        <v>2052</v>
      </c>
      <c r="AE88" s="72" t="s">
        <v>2053</v>
      </c>
      <c r="AF88" s="72" t="str">
        <f t="shared" si="29"/>
        <v>A679071</v>
      </c>
      <c r="AG88" s="72" t="str">
        <f>VLOOKUP(AF88,AKT!$C$4:$E$324,3,FALSE)</f>
        <v>0942</v>
      </c>
    </row>
    <row r="89" spans="1:33">
      <c r="A89" s="82"/>
      <c r="B89" s="77" t="str">
        <f t="shared" si="23"/>
        <v/>
      </c>
      <c r="C89" s="82"/>
      <c r="D89" s="77" t="str">
        <f t="shared" si="20"/>
        <v/>
      </c>
      <c r="E89" s="114"/>
      <c r="F89" s="77" t="str">
        <f t="shared" si="21"/>
        <v/>
      </c>
      <c r="G89" s="77" t="str">
        <f t="shared" si="22"/>
        <v/>
      </c>
      <c r="H89" s="113"/>
      <c r="I89" s="113"/>
      <c r="J89" s="113"/>
      <c r="K89" s="126"/>
      <c r="L89" s="125"/>
      <c r="M89" s="125"/>
      <c r="N89" s="126"/>
      <c r="O89" s="303"/>
      <c r="P89" s="81"/>
      <c r="R89" s="72" t="str">
        <f t="shared" si="24"/>
        <v/>
      </c>
      <c r="S89" s="72" t="str">
        <f t="shared" si="25"/>
        <v/>
      </c>
      <c r="T89" s="72" t="str">
        <f t="shared" si="26"/>
        <v/>
      </c>
      <c r="X89" s="72">
        <v>3833</v>
      </c>
      <c r="Y89" s="72" t="s">
        <v>153</v>
      </c>
      <c r="AA89" s="72" t="str">
        <f t="shared" si="27"/>
        <v>38</v>
      </c>
      <c r="AB89" s="72" t="str">
        <f t="shared" si="28"/>
        <v>383</v>
      </c>
      <c r="AD89" s="72" t="s">
        <v>2054</v>
      </c>
      <c r="AE89" s="72" t="s">
        <v>2055</v>
      </c>
      <c r="AF89" s="72" t="str">
        <f t="shared" si="29"/>
        <v>A679071</v>
      </c>
      <c r="AG89" s="72" t="str">
        <f>VLOOKUP(AF89,AKT!$C$4:$E$324,3,FALSE)</f>
        <v>0942</v>
      </c>
    </row>
    <row r="90" spans="1:33">
      <c r="A90" s="82"/>
      <c r="B90" s="77" t="str">
        <f t="shared" si="23"/>
        <v/>
      </c>
      <c r="C90" s="82"/>
      <c r="D90" s="77" t="str">
        <f t="shared" si="20"/>
        <v/>
      </c>
      <c r="E90" s="114"/>
      <c r="F90" s="77" t="str">
        <f t="shared" si="21"/>
        <v/>
      </c>
      <c r="G90" s="77" t="str">
        <f t="shared" si="22"/>
        <v/>
      </c>
      <c r="H90" s="113"/>
      <c r="I90" s="113"/>
      <c r="J90" s="113"/>
      <c r="K90" s="126"/>
      <c r="L90" s="125"/>
      <c r="M90" s="125"/>
      <c r="N90" s="126"/>
      <c r="O90" s="303"/>
      <c r="P90" s="81"/>
      <c r="R90" s="72" t="str">
        <f t="shared" si="24"/>
        <v/>
      </c>
      <c r="S90" s="72" t="str">
        <f t="shared" si="25"/>
        <v/>
      </c>
      <c r="T90" s="72" t="str">
        <f t="shared" si="26"/>
        <v/>
      </c>
      <c r="X90" s="72">
        <v>3834</v>
      </c>
      <c r="Y90" s="72" t="s">
        <v>154</v>
      </c>
      <c r="AA90" s="72" t="str">
        <f t="shared" si="27"/>
        <v>38</v>
      </c>
      <c r="AB90" s="72" t="str">
        <f t="shared" si="28"/>
        <v>383</v>
      </c>
      <c r="AD90" s="72" t="s">
        <v>2056</v>
      </c>
      <c r="AE90" s="72" t="s">
        <v>2057</v>
      </c>
      <c r="AF90" s="72" t="str">
        <f t="shared" si="29"/>
        <v>A679071</v>
      </c>
      <c r="AG90" s="72" t="str">
        <f>VLOOKUP(AF90,AKT!$C$4:$E$324,3,FALSE)</f>
        <v>0942</v>
      </c>
    </row>
    <row r="91" spans="1:33">
      <c r="A91" s="82"/>
      <c r="B91" s="77" t="str">
        <f t="shared" si="23"/>
        <v/>
      </c>
      <c r="C91" s="82"/>
      <c r="D91" s="77" t="str">
        <f t="shared" si="20"/>
        <v/>
      </c>
      <c r="E91" s="114"/>
      <c r="F91" s="77" t="str">
        <f t="shared" si="21"/>
        <v/>
      </c>
      <c r="G91" s="77" t="str">
        <f t="shared" si="22"/>
        <v/>
      </c>
      <c r="H91" s="113"/>
      <c r="I91" s="113"/>
      <c r="J91" s="113"/>
      <c r="K91" s="126"/>
      <c r="L91" s="125"/>
      <c r="M91" s="125"/>
      <c r="N91" s="126"/>
      <c r="O91" s="303"/>
      <c r="P91" s="81"/>
      <c r="R91" s="72" t="str">
        <f t="shared" si="24"/>
        <v/>
      </c>
      <c r="S91" s="72" t="str">
        <f t="shared" si="25"/>
        <v/>
      </c>
      <c r="T91" s="72" t="str">
        <f t="shared" si="26"/>
        <v/>
      </c>
      <c r="X91" s="72">
        <v>3835</v>
      </c>
      <c r="Y91" s="72" t="s">
        <v>155</v>
      </c>
      <c r="AA91" s="72" t="str">
        <f t="shared" si="27"/>
        <v>38</v>
      </c>
      <c r="AB91" s="72" t="str">
        <f t="shared" si="28"/>
        <v>383</v>
      </c>
      <c r="AD91" s="72" t="s">
        <v>2058</v>
      </c>
      <c r="AE91" s="72" t="s">
        <v>2059</v>
      </c>
      <c r="AF91" s="72" t="str">
        <f t="shared" si="29"/>
        <v>A679071</v>
      </c>
      <c r="AG91" s="72" t="str">
        <f>VLOOKUP(AF91,AKT!$C$4:$E$324,3,FALSE)</f>
        <v>0942</v>
      </c>
    </row>
    <row r="92" spans="1:33">
      <c r="A92" s="82"/>
      <c r="B92" s="77" t="str">
        <f t="shared" si="23"/>
        <v/>
      </c>
      <c r="C92" s="82"/>
      <c r="D92" s="77" t="str">
        <f t="shared" si="20"/>
        <v/>
      </c>
      <c r="E92" s="114"/>
      <c r="F92" s="77" t="str">
        <f t="shared" si="21"/>
        <v/>
      </c>
      <c r="G92" s="77" t="str">
        <f t="shared" si="22"/>
        <v/>
      </c>
      <c r="H92" s="113"/>
      <c r="I92" s="113"/>
      <c r="J92" s="113"/>
      <c r="K92" s="126"/>
      <c r="L92" s="125"/>
      <c r="M92" s="125"/>
      <c r="N92" s="126"/>
      <c r="O92" s="303"/>
      <c r="P92" s="81"/>
      <c r="R92" s="72" t="str">
        <f t="shared" si="24"/>
        <v/>
      </c>
      <c r="S92" s="72" t="str">
        <f t="shared" si="25"/>
        <v/>
      </c>
      <c r="T92" s="72" t="str">
        <f t="shared" si="26"/>
        <v/>
      </c>
      <c r="X92" s="123">
        <v>3861</v>
      </c>
      <c r="Y92" s="124" t="s">
        <v>660</v>
      </c>
      <c r="Z92" s="123"/>
      <c r="AA92" s="123" t="str">
        <f t="shared" si="27"/>
        <v>38</v>
      </c>
      <c r="AB92" s="123" t="str">
        <f t="shared" si="28"/>
        <v>386</v>
      </c>
      <c r="AD92" s="72" t="s">
        <v>2060</v>
      </c>
      <c r="AE92" s="72" t="s">
        <v>2061</v>
      </c>
      <c r="AF92" s="72" t="str">
        <f t="shared" si="29"/>
        <v>A679071</v>
      </c>
      <c r="AG92" s="72" t="str">
        <f>VLOOKUP(AF92,AKT!$C$4:$E$324,3,FALSE)</f>
        <v>0942</v>
      </c>
    </row>
    <row r="93" spans="1:33">
      <c r="A93" s="82"/>
      <c r="B93" s="77" t="str">
        <f t="shared" si="23"/>
        <v/>
      </c>
      <c r="C93" s="82"/>
      <c r="D93" s="77" t="str">
        <f t="shared" si="20"/>
        <v/>
      </c>
      <c r="E93" s="114"/>
      <c r="F93" s="77" t="str">
        <f t="shared" si="21"/>
        <v/>
      </c>
      <c r="G93" s="77" t="str">
        <f t="shared" si="22"/>
        <v/>
      </c>
      <c r="H93" s="113"/>
      <c r="I93" s="113"/>
      <c r="J93" s="113"/>
      <c r="K93" s="126"/>
      <c r="L93" s="125"/>
      <c r="M93" s="125"/>
      <c r="N93" s="126"/>
      <c r="O93" s="303"/>
      <c r="P93" s="81"/>
      <c r="R93" s="72" t="str">
        <f t="shared" si="24"/>
        <v/>
      </c>
      <c r="S93" s="72" t="str">
        <f t="shared" si="25"/>
        <v/>
      </c>
      <c r="T93" s="72" t="str">
        <f t="shared" si="26"/>
        <v/>
      </c>
      <c r="X93" s="122">
        <v>3862</v>
      </c>
      <c r="Y93" s="72" t="s">
        <v>661</v>
      </c>
      <c r="AA93" s="72" t="str">
        <f t="shared" si="27"/>
        <v>38</v>
      </c>
      <c r="AB93" s="72" t="str">
        <f t="shared" si="28"/>
        <v>386</v>
      </c>
      <c r="AD93" s="72" t="s">
        <v>2062</v>
      </c>
      <c r="AE93" s="72" t="s">
        <v>2063</v>
      </c>
      <c r="AF93" s="72" t="str">
        <f t="shared" si="29"/>
        <v>A679071</v>
      </c>
      <c r="AG93" s="72" t="str">
        <f>VLOOKUP(AF93,AKT!$C$4:$E$324,3,FALSE)</f>
        <v>0942</v>
      </c>
    </row>
    <row r="94" spans="1:33">
      <c r="A94" s="82"/>
      <c r="B94" s="77" t="str">
        <f t="shared" si="23"/>
        <v/>
      </c>
      <c r="C94" s="82"/>
      <c r="D94" s="77" t="str">
        <f t="shared" si="20"/>
        <v/>
      </c>
      <c r="E94" s="114"/>
      <c r="F94" s="77" t="str">
        <f t="shared" si="21"/>
        <v/>
      </c>
      <c r="G94" s="77" t="str">
        <f t="shared" si="22"/>
        <v/>
      </c>
      <c r="H94" s="113"/>
      <c r="I94" s="113"/>
      <c r="J94" s="113"/>
      <c r="K94" s="126"/>
      <c r="L94" s="125"/>
      <c r="M94" s="125"/>
      <c r="N94" s="126"/>
      <c r="O94" s="303"/>
      <c r="P94" s="81"/>
      <c r="R94" s="72" t="str">
        <f t="shared" si="24"/>
        <v/>
      </c>
      <c r="S94" s="72" t="str">
        <f t="shared" si="25"/>
        <v/>
      </c>
      <c r="T94" s="72" t="str">
        <f t="shared" si="26"/>
        <v/>
      </c>
      <c r="X94" s="122">
        <v>3863</v>
      </c>
      <c r="Y94" s="72" t="s">
        <v>662</v>
      </c>
      <c r="AA94" s="72" t="str">
        <f t="shared" si="27"/>
        <v>38</v>
      </c>
      <c r="AB94" s="72" t="str">
        <f t="shared" si="28"/>
        <v>386</v>
      </c>
      <c r="AD94" s="72" t="s">
        <v>2064</v>
      </c>
      <c r="AE94" s="72" t="s">
        <v>2065</v>
      </c>
      <c r="AF94" s="72" t="str">
        <f t="shared" si="29"/>
        <v>A679071</v>
      </c>
      <c r="AG94" s="72" t="str">
        <f>VLOOKUP(AF94,AKT!$C$4:$E$324,3,FALSE)</f>
        <v>0942</v>
      </c>
    </row>
    <row r="95" spans="1:33">
      <c r="A95" s="82"/>
      <c r="B95" s="77" t="str">
        <f t="shared" si="23"/>
        <v/>
      </c>
      <c r="C95" s="82"/>
      <c r="D95" s="77" t="str">
        <f t="shared" si="20"/>
        <v/>
      </c>
      <c r="E95" s="114"/>
      <c r="F95" s="77" t="str">
        <f t="shared" si="21"/>
        <v/>
      </c>
      <c r="G95" s="77" t="str">
        <f t="shared" si="22"/>
        <v/>
      </c>
      <c r="H95" s="113"/>
      <c r="I95" s="113"/>
      <c r="J95" s="113"/>
      <c r="K95" s="126"/>
      <c r="L95" s="125"/>
      <c r="M95" s="125"/>
      <c r="N95" s="126"/>
      <c r="O95" s="303"/>
      <c r="P95" s="81"/>
      <c r="R95" s="72" t="str">
        <f t="shared" si="24"/>
        <v/>
      </c>
      <c r="S95" s="72" t="str">
        <f t="shared" si="25"/>
        <v/>
      </c>
      <c r="T95" s="72" t="str">
        <f t="shared" si="26"/>
        <v/>
      </c>
      <c r="X95" s="72">
        <v>4111</v>
      </c>
      <c r="Y95" s="72" t="s">
        <v>156</v>
      </c>
      <c r="AA95" s="72" t="str">
        <f t="shared" si="27"/>
        <v>41</v>
      </c>
      <c r="AB95" s="72" t="str">
        <f t="shared" si="28"/>
        <v>411</v>
      </c>
      <c r="AD95" s="72" t="s">
        <v>3028</v>
      </c>
      <c r="AE95" s="72" t="s">
        <v>3029</v>
      </c>
      <c r="AF95" s="72" t="str">
        <f t="shared" si="29"/>
        <v>A679071</v>
      </c>
      <c r="AG95" s="72" t="str">
        <f>VLOOKUP(AF95,AKT!$C$4:$E$324,3,FALSE)</f>
        <v>0942</v>
      </c>
    </row>
    <row r="96" spans="1:33">
      <c r="A96" s="82"/>
      <c r="B96" s="77" t="str">
        <f t="shared" si="23"/>
        <v/>
      </c>
      <c r="C96" s="82"/>
      <c r="D96" s="77" t="str">
        <f t="shared" si="20"/>
        <v/>
      </c>
      <c r="E96" s="114"/>
      <c r="F96" s="77" t="str">
        <f t="shared" si="21"/>
        <v/>
      </c>
      <c r="G96" s="77" t="str">
        <f t="shared" si="22"/>
        <v/>
      </c>
      <c r="H96" s="113"/>
      <c r="I96" s="113"/>
      <c r="J96" s="113"/>
      <c r="K96" s="126"/>
      <c r="L96" s="125"/>
      <c r="M96" s="125"/>
      <c r="N96" s="126"/>
      <c r="O96" s="303"/>
      <c r="P96" s="81"/>
      <c r="R96" s="72" t="str">
        <f t="shared" si="24"/>
        <v/>
      </c>
      <c r="S96" s="72" t="str">
        <f t="shared" si="25"/>
        <v/>
      </c>
      <c r="T96" s="72" t="str">
        <f t="shared" si="26"/>
        <v/>
      </c>
      <c r="X96" s="72">
        <v>4113</v>
      </c>
      <c r="Y96" s="72" t="s">
        <v>190</v>
      </c>
      <c r="AA96" s="72" t="str">
        <f t="shared" si="27"/>
        <v>41</v>
      </c>
      <c r="AB96" s="72" t="str">
        <f t="shared" si="28"/>
        <v>411</v>
      </c>
      <c r="AD96" s="72" t="s">
        <v>3030</v>
      </c>
      <c r="AE96" s="72" t="s">
        <v>3031</v>
      </c>
      <c r="AF96" s="72" t="str">
        <f t="shared" si="29"/>
        <v>A679071</v>
      </c>
      <c r="AG96" s="72" t="str">
        <f>VLOOKUP(AF96,AKT!$C$4:$E$324,3,FALSE)</f>
        <v>0942</v>
      </c>
    </row>
    <row r="97" spans="1:33">
      <c r="A97" s="82"/>
      <c r="B97" s="77" t="str">
        <f t="shared" si="23"/>
        <v/>
      </c>
      <c r="C97" s="82"/>
      <c r="D97" s="77" t="str">
        <f t="shared" si="20"/>
        <v/>
      </c>
      <c r="E97" s="114"/>
      <c r="F97" s="77" t="str">
        <f t="shared" si="21"/>
        <v/>
      </c>
      <c r="G97" s="77" t="str">
        <f t="shared" si="22"/>
        <v/>
      </c>
      <c r="H97" s="113"/>
      <c r="I97" s="113"/>
      <c r="J97" s="113"/>
      <c r="K97" s="126"/>
      <c r="L97" s="125"/>
      <c r="M97" s="125"/>
      <c r="N97" s="126"/>
      <c r="O97" s="303"/>
      <c r="P97" s="81"/>
      <c r="R97" s="72" t="str">
        <f t="shared" si="24"/>
        <v/>
      </c>
      <c r="S97" s="72" t="str">
        <f t="shared" si="25"/>
        <v/>
      </c>
      <c r="T97" s="72" t="str">
        <f t="shared" si="26"/>
        <v/>
      </c>
      <c r="X97" s="72">
        <v>4122</v>
      </c>
      <c r="Y97" s="72" t="s">
        <v>157</v>
      </c>
      <c r="AA97" s="72" t="str">
        <f t="shared" si="27"/>
        <v>41</v>
      </c>
      <c r="AB97" s="72" t="str">
        <f t="shared" si="28"/>
        <v>412</v>
      </c>
      <c r="AD97" s="72" t="s">
        <v>3032</v>
      </c>
      <c r="AE97" s="72" t="s">
        <v>3033</v>
      </c>
      <c r="AF97" s="72" t="str">
        <f t="shared" si="29"/>
        <v>A679071</v>
      </c>
      <c r="AG97" s="72" t="str">
        <f>VLOOKUP(AF97,AKT!$C$4:$E$324,3,FALSE)</f>
        <v>0942</v>
      </c>
    </row>
    <row r="98" spans="1:33">
      <c r="A98" s="82"/>
      <c r="B98" s="77" t="str">
        <f t="shared" si="23"/>
        <v/>
      </c>
      <c r="C98" s="82"/>
      <c r="D98" s="77" t="str">
        <f t="shared" si="20"/>
        <v/>
      </c>
      <c r="E98" s="114"/>
      <c r="F98" s="77" t="str">
        <f t="shared" si="21"/>
        <v/>
      </c>
      <c r="G98" s="77" t="str">
        <f t="shared" si="22"/>
        <v/>
      </c>
      <c r="H98" s="113"/>
      <c r="I98" s="113"/>
      <c r="J98" s="113"/>
      <c r="K98" s="126"/>
      <c r="L98" s="125"/>
      <c r="M98" s="125"/>
      <c r="N98" s="126"/>
      <c r="O98" s="303"/>
      <c r="P98" s="81"/>
      <c r="R98" s="72" t="str">
        <f t="shared" si="24"/>
        <v/>
      </c>
      <c r="S98" s="72" t="str">
        <f t="shared" si="25"/>
        <v/>
      </c>
      <c r="T98" s="72" t="str">
        <f t="shared" si="26"/>
        <v/>
      </c>
      <c r="X98" s="72">
        <v>4123</v>
      </c>
      <c r="Y98" s="72" t="s">
        <v>128</v>
      </c>
      <c r="AA98" s="72" t="str">
        <f t="shared" si="27"/>
        <v>41</v>
      </c>
      <c r="AB98" s="72" t="str">
        <f t="shared" si="28"/>
        <v>412</v>
      </c>
      <c r="AD98" s="72" t="s">
        <v>3034</v>
      </c>
      <c r="AE98" s="72" t="s">
        <v>3035</v>
      </c>
      <c r="AF98" s="72" t="str">
        <f t="shared" si="29"/>
        <v>A679071</v>
      </c>
      <c r="AG98" s="72" t="str">
        <f>VLOOKUP(AF98,AKT!$C$4:$E$324,3,FALSE)</f>
        <v>0942</v>
      </c>
    </row>
    <row r="99" spans="1:33">
      <c r="A99" s="82"/>
      <c r="B99" s="77" t="str">
        <f t="shared" si="23"/>
        <v/>
      </c>
      <c r="C99" s="82"/>
      <c r="D99" s="77" t="str">
        <f t="shared" si="20"/>
        <v/>
      </c>
      <c r="E99" s="114"/>
      <c r="F99" s="77" t="str">
        <f t="shared" si="21"/>
        <v/>
      </c>
      <c r="G99" s="77" t="str">
        <f t="shared" si="22"/>
        <v/>
      </c>
      <c r="H99" s="113"/>
      <c r="I99" s="113"/>
      <c r="J99" s="113"/>
      <c r="K99" s="126"/>
      <c r="L99" s="125"/>
      <c r="M99" s="125"/>
      <c r="N99" s="126"/>
      <c r="O99" s="303"/>
      <c r="P99" s="81"/>
      <c r="R99" s="72" t="str">
        <f t="shared" si="24"/>
        <v/>
      </c>
      <c r="S99" s="72" t="str">
        <f t="shared" si="25"/>
        <v/>
      </c>
      <c r="T99" s="72" t="str">
        <f t="shared" si="26"/>
        <v/>
      </c>
      <c r="X99" s="72">
        <v>4124</v>
      </c>
      <c r="Y99" s="72" t="s">
        <v>114</v>
      </c>
      <c r="AA99" s="72" t="str">
        <f t="shared" si="27"/>
        <v>41</v>
      </c>
      <c r="AB99" s="72" t="str">
        <f t="shared" si="28"/>
        <v>412</v>
      </c>
      <c r="AD99" s="72" t="s">
        <v>3036</v>
      </c>
      <c r="AE99" s="72" t="s">
        <v>3037</v>
      </c>
      <c r="AF99" s="72" t="str">
        <f t="shared" si="29"/>
        <v>A679071</v>
      </c>
      <c r="AG99" s="72" t="str">
        <f>VLOOKUP(AF99,AKT!$C$4:$E$324,3,FALSE)</f>
        <v>0942</v>
      </c>
    </row>
    <row r="100" spans="1:33">
      <c r="A100" s="82"/>
      <c r="B100" s="77" t="str">
        <f t="shared" si="23"/>
        <v/>
      </c>
      <c r="C100" s="82"/>
      <c r="D100" s="77" t="str">
        <f t="shared" si="20"/>
        <v/>
      </c>
      <c r="E100" s="114"/>
      <c r="F100" s="77" t="str">
        <f t="shared" si="21"/>
        <v/>
      </c>
      <c r="G100" s="77" t="str">
        <f t="shared" si="22"/>
        <v/>
      </c>
      <c r="H100" s="113"/>
      <c r="I100" s="113"/>
      <c r="J100" s="113"/>
      <c r="K100" s="126"/>
      <c r="L100" s="125"/>
      <c r="M100" s="125"/>
      <c r="N100" s="126"/>
      <c r="O100" s="303"/>
      <c r="P100" s="81"/>
      <c r="R100" s="72" t="str">
        <f t="shared" si="24"/>
        <v/>
      </c>
      <c r="S100" s="72" t="str">
        <f t="shared" si="25"/>
        <v/>
      </c>
      <c r="T100" s="72" t="str">
        <f t="shared" si="26"/>
        <v/>
      </c>
      <c r="X100" s="72">
        <v>4126</v>
      </c>
      <c r="Y100" s="72" t="s">
        <v>158</v>
      </c>
      <c r="AA100" s="72" t="str">
        <f t="shared" si="27"/>
        <v>41</v>
      </c>
      <c r="AB100" s="72" t="str">
        <f t="shared" si="28"/>
        <v>412</v>
      </c>
      <c r="AD100" s="72" t="s">
        <v>3038</v>
      </c>
      <c r="AE100" s="72" t="s">
        <v>3039</v>
      </c>
      <c r="AF100" s="72" t="str">
        <f t="shared" si="29"/>
        <v>A679071</v>
      </c>
      <c r="AG100" s="72" t="str">
        <f>VLOOKUP(AF100,AKT!$C$4:$E$324,3,FALSE)</f>
        <v>0942</v>
      </c>
    </row>
    <row r="101" spans="1:33">
      <c r="A101" s="82"/>
      <c r="B101" s="77" t="str">
        <f t="shared" si="23"/>
        <v/>
      </c>
      <c r="C101" s="82"/>
      <c r="D101" s="77" t="str">
        <f t="shared" si="20"/>
        <v/>
      </c>
      <c r="E101" s="114"/>
      <c r="F101" s="77" t="str">
        <f t="shared" si="21"/>
        <v/>
      </c>
      <c r="G101" s="77" t="str">
        <f t="shared" si="22"/>
        <v/>
      </c>
      <c r="H101" s="113"/>
      <c r="I101" s="113"/>
      <c r="J101" s="113"/>
      <c r="K101" s="126"/>
      <c r="L101" s="125"/>
      <c r="M101" s="125"/>
      <c r="N101" s="126"/>
      <c r="O101" s="303"/>
      <c r="P101" s="81"/>
      <c r="R101" s="72" t="str">
        <f t="shared" si="24"/>
        <v/>
      </c>
      <c r="S101" s="72" t="str">
        <f t="shared" si="25"/>
        <v/>
      </c>
      <c r="T101" s="72" t="str">
        <f t="shared" si="26"/>
        <v/>
      </c>
      <c r="X101" s="72">
        <v>4211</v>
      </c>
      <c r="Y101" s="72" t="s">
        <v>172</v>
      </c>
      <c r="AA101" s="72" t="str">
        <f t="shared" si="27"/>
        <v>42</v>
      </c>
      <c r="AB101" s="72" t="str">
        <f t="shared" si="28"/>
        <v>421</v>
      </c>
      <c r="AD101" s="72" t="s">
        <v>3040</v>
      </c>
      <c r="AE101" s="72" t="s">
        <v>3041</v>
      </c>
      <c r="AF101" s="72" t="str">
        <f t="shared" si="29"/>
        <v>A679071</v>
      </c>
      <c r="AG101" s="72" t="str">
        <f>VLOOKUP(AF101,AKT!$C$4:$E$324,3,FALSE)</f>
        <v>0942</v>
      </c>
    </row>
    <row r="102" spans="1:33">
      <c r="A102" s="82"/>
      <c r="B102" s="77" t="str">
        <f t="shared" si="23"/>
        <v/>
      </c>
      <c r="C102" s="82"/>
      <c r="D102" s="77" t="str">
        <f t="shared" si="20"/>
        <v/>
      </c>
      <c r="E102" s="114"/>
      <c r="F102" s="77" t="str">
        <f t="shared" si="21"/>
        <v/>
      </c>
      <c r="G102" s="77" t="str">
        <f t="shared" si="22"/>
        <v/>
      </c>
      <c r="H102" s="113"/>
      <c r="I102" s="113"/>
      <c r="J102" s="113"/>
      <c r="K102" s="126"/>
      <c r="L102" s="125"/>
      <c r="M102" s="125"/>
      <c r="N102" s="126"/>
      <c r="O102" s="303"/>
      <c r="P102" s="81"/>
      <c r="R102" s="72" t="str">
        <f t="shared" si="24"/>
        <v/>
      </c>
      <c r="S102" s="72" t="str">
        <f t="shared" si="25"/>
        <v/>
      </c>
      <c r="T102" s="72" t="str">
        <f t="shared" si="26"/>
        <v/>
      </c>
      <c r="X102" s="72">
        <v>4212</v>
      </c>
      <c r="Y102" s="72" t="s">
        <v>60</v>
      </c>
      <c r="AA102" s="72" t="str">
        <f t="shared" si="27"/>
        <v>42</v>
      </c>
      <c r="AB102" s="72" t="str">
        <f t="shared" si="28"/>
        <v>421</v>
      </c>
      <c r="AD102" s="72" t="s">
        <v>3042</v>
      </c>
      <c r="AE102" s="72" t="s">
        <v>3043</v>
      </c>
      <c r="AF102" s="72" t="str">
        <f t="shared" si="29"/>
        <v>A679071</v>
      </c>
      <c r="AG102" s="72" t="str">
        <f>VLOOKUP(AF102,AKT!$C$4:$E$324,3,FALSE)</f>
        <v>0942</v>
      </c>
    </row>
    <row r="103" spans="1:33">
      <c r="A103" s="82"/>
      <c r="B103" s="77" t="str">
        <f t="shared" si="23"/>
        <v/>
      </c>
      <c r="C103" s="82"/>
      <c r="D103" s="77" t="str">
        <f t="shared" si="20"/>
        <v/>
      </c>
      <c r="E103" s="114"/>
      <c r="F103" s="77" t="str">
        <f t="shared" si="21"/>
        <v/>
      </c>
      <c r="G103" s="77" t="str">
        <f t="shared" si="22"/>
        <v/>
      </c>
      <c r="H103" s="113"/>
      <c r="I103" s="113"/>
      <c r="J103" s="113"/>
      <c r="K103" s="126"/>
      <c r="L103" s="125"/>
      <c r="M103" s="125"/>
      <c r="N103" s="126"/>
      <c r="O103" s="303"/>
      <c r="P103" s="81"/>
      <c r="R103" s="72" t="str">
        <f t="shared" si="24"/>
        <v/>
      </c>
      <c r="S103" s="72" t="str">
        <f t="shared" si="25"/>
        <v/>
      </c>
      <c r="T103" s="72" t="str">
        <f t="shared" si="26"/>
        <v/>
      </c>
      <c r="X103" s="72">
        <v>4213</v>
      </c>
      <c r="Y103" s="72" t="s">
        <v>159</v>
      </c>
      <c r="AA103" s="72" t="str">
        <f t="shared" si="27"/>
        <v>42</v>
      </c>
      <c r="AB103" s="72" t="str">
        <f t="shared" si="28"/>
        <v>421</v>
      </c>
      <c r="AD103" s="72" t="s">
        <v>3044</v>
      </c>
      <c r="AE103" s="72" t="s">
        <v>1171</v>
      </c>
      <c r="AF103" s="72" t="str">
        <f t="shared" si="29"/>
        <v>A679071</v>
      </c>
      <c r="AG103" s="72" t="str">
        <f>VLOOKUP(AF103,AKT!$C$4:$E$324,3,FALSE)</f>
        <v>0942</v>
      </c>
    </row>
    <row r="104" spans="1:33">
      <c r="A104" s="82"/>
      <c r="B104" s="77" t="str">
        <f t="shared" si="23"/>
        <v/>
      </c>
      <c r="C104" s="82"/>
      <c r="D104" s="77" t="str">
        <f t="shared" si="20"/>
        <v/>
      </c>
      <c r="E104" s="114"/>
      <c r="F104" s="77" t="str">
        <f t="shared" si="21"/>
        <v/>
      </c>
      <c r="G104" s="77" t="str">
        <f t="shared" si="22"/>
        <v/>
      </c>
      <c r="H104" s="113"/>
      <c r="I104" s="113"/>
      <c r="J104" s="113"/>
      <c r="K104" s="126"/>
      <c r="L104" s="125"/>
      <c r="M104" s="125"/>
      <c r="N104" s="126"/>
      <c r="O104" s="303"/>
      <c r="P104" s="81"/>
      <c r="R104" s="72" t="str">
        <f t="shared" si="24"/>
        <v/>
      </c>
      <c r="S104" s="72" t="str">
        <f t="shared" si="25"/>
        <v/>
      </c>
      <c r="T104" s="72" t="str">
        <f t="shared" si="26"/>
        <v/>
      </c>
      <c r="X104" s="72">
        <v>4214</v>
      </c>
      <c r="Y104" s="72" t="s">
        <v>160</v>
      </c>
      <c r="AA104" s="72" t="str">
        <f t="shared" si="27"/>
        <v>42</v>
      </c>
      <c r="AB104" s="72" t="str">
        <f t="shared" si="28"/>
        <v>421</v>
      </c>
      <c r="AD104" s="72" t="s">
        <v>711</v>
      </c>
      <c r="AE104" s="72" t="s">
        <v>712</v>
      </c>
      <c r="AF104" s="72" t="str">
        <f t="shared" si="29"/>
        <v>A679072</v>
      </c>
      <c r="AG104" s="72" t="str">
        <f>VLOOKUP(AF104,AKT!$C$4:$E$324,3,FALSE)</f>
        <v>0942</v>
      </c>
    </row>
    <row r="105" spans="1:33">
      <c r="A105" s="82"/>
      <c r="B105" s="77" t="str">
        <f t="shared" si="23"/>
        <v/>
      </c>
      <c r="C105" s="82"/>
      <c r="D105" s="77" t="str">
        <f t="shared" si="20"/>
        <v/>
      </c>
      <c r="E105" s="114"/>
      <c r="F105" s="77" t="str">
        <f t="shared" si="21"/>
        <v/>
      </c>
      <c r="G105" s="77" t="str">
        <f t="shared" si="22"/>
        <v/>
      </c>
      <c r="H105" s="113"/>
      <c r="I105" s="113"/>
      <c r="J105" s="113"/>
      <c r="K105" s="126"/>
      <c r="L105" s="125"/>
      <c r="M105" s="125"/>
      <c r="N105" s="126"/>
      <c r="O105" s="303"/>
      <c r="P105" s="81"/>
      <c r="R105" s="72" t="str">
        <f t="shared" si="24"/>
        <v/>
      </c>
      <c r="S105" s="72" t="str">
        <f t="shared" si="25"/>
        <v/>
      </c>
      <c r="T105" s="72" t="str">
        <f t="shared" si="26"/>
        <v/>
      </c>
      <c r="X105" s="72">
        <v>4221</v>
      </c>
      <c r="Y105" s="72" t="s">
        <v>95</v>
      </c>
      <c r="AA105" s="72" t="str">
        <f t="shared" si="27"/>
        <v>42</v>
      </c>
      <c r="AB105" s="72" t="str">
        <f t="shared" si="28"/>
        <v>422</v>
      </c>
      <c r="AD105" s="72" t="s">
        <v>713</v>
      </c>
      <c r="AE105" s="72" t="s">
        <v>714</v>
      </c>
      <c r="AF105" s="72" t="str">
        <f t="shared" si="29"/>
        <v>A679072</v>
      </c>
      <c r="AG105" s="72" t="str">
        <f>VLOOKUP(AF105,AKT!$C$4:$E$324,3,FALSE)</f>
        <v>0942</v>
      </c>
    </row>
    <row r="106" spans="1:33">
      <c r="A106" s="82"/>
      <c r="B106" s="77" t="str">
        <f t="shared" si="23"/>
        <v/>
      </c>
      <c r="C106" s="82"/>
      <c r="D106" s="77" t="str">
        <f t="shared" si="20"/>
        <v/>
      </c>
      <c r="E106" s="114"/>
      <c r="F106" s="77" t="str">
        <f t="shared" si="21"/>
        <v/>
      </c>
      <c r="G106" s="77" t="str">
        <f t="shared" si="22"/>
        <v/>
      </c>
      <c r="H106" s="113"/>
      <c r="I106" s="113"/>
      <c r="J106" s="113"/>
      <c r="K106" s="126"/>
      <c r="L106" s="125"/>
      <c r="M106" s="125"/>
      <c r="N106" s="126"/>
      <c r="O106" s="303"/>
      <c r="P106" s="81"/>
      <c r="R106" s="72" t="str">
        <f t="shared" si="24"/>
        <v/>
      </c>
      <c r="S106" s="72" t="str">
        <f t="shared" si="25"/>
        <v/>
      </c>
      <c r="T106" s="72" t="str">
        <f t="shared" si="26"/>
        <v/>
      </c>
      <c r="X106" s="72">
        <v>4222</v>
      </c>
      <c r="Y106" s="72" t="s">
        <v>106</v>
      </c>
      <c r="AA106" s="72" t="str">
        <f t="shared" si="27"/>
        <v>42</v>
      </c>
      <c r="AB106" s="72" t="str">
        <f t="shared" si="28"/>
        <v>422</v>
      </c>
      <c r="AD106" s="72" t="s">
        <v>3045</v>
      </c>
      <c r="AE106" s="72" t="s">
        <v>3046</v>
      </c>
      <c r="AF106" s="72" t="str">
        <f t="shared" si="29"/>
        <v>A679072</v>
      </c>
      <c r="AG106" s="72" t="str">
        <f>VLOOKUP(AF106,AKT!$C$4:$E$324,3,FALSE)</f>
        <v>0942</v>
      </c>
    </row>
    <row r="107" spans="1:33">
      <c r="A107" s="82"/>
      <c r="B107" s="77" t="str">
        <f t="shared" si="23"/>
        <v/>
      </c>
      <c r="C107" s="82"/>
      <c r="D107" s="77" t="str">
        <f t="shared" si="20"/>
        <v/>
      </c>
      <c r="E107" s="114"/>
      <c r="F107" s="77" t="str">
        <f t="shared" si="21"/>
        <v/>
      </c>
      <c r="G107" s="77" t="str">
        <f t="shared" si="22"/>
        <v/>
      </c>
      <c r="H107" s="113"/>
      <c r="I107" s="113"/>
      <c r="J107" s="113"/>
      <c r="K107" s="126"/>
      <c r="L107" s="125"/>
      <c r="M107" s="125"/>
      <c r="N107" s="126"/>
      <c r="O107" s="303"/>
      <c r="P107" s="81"/>
      <c r="R107" s="72" t="str">
        <f t="shared" si="24"/>
        <v/>
      </c>
      <c r="S107" s="72" t="str">
        <f t="shared" si="25"/>
        <v/>
      </c>
      <c r="T107" s="72" t="str">
        <f t="shared" si="26"/>
        <v/>
      </c>
      <c r="X107" s="72">
        <v>4223</v>
      </c>
      <c r="Y107" s="72" t="s">
        <v>119</v>
      </c>
      <c r="AA107" s="72" t="str">
        <f t="shared" si="27"/>
        <v>42</v>
      </c>
      <c r="AB107" s="72" t="str">
        <f t="shared" si="28"/>
        <v>422</v>
      </c>
      <c r="AD107" s="72" t="s">
        <v>3047</v>
      </c>
      <c r="AE107" s="72" t="s">
        <v>3048</v>
      </c>
      <c r="AF107" s="72" t="str">
        <f t="shared" si="29"/>
        <v>A679072</v>
      </c>
      <c r="AG107" s="72" t="str">
        <f>VLOOKUP(AF107,AKT!$C$4:$E$324,3,FALSE)</f>
        <v>0942</v>
      </c>
    </row>
    <row r="108" spans="1:33">
      <c r="A108" s="82"/>
      <c r="B108" s="77" t="str">
        <f t="shared" si="23"/>
        <v/>
      </c>
      <c r="C108" s="82"/>
      <c r="D108" s="77" t="str">
        <f t="shared" si="20"/>
        <v/>
      </c>
      <c r="E108" s="114"/>
      <c r="F108" s="77" t="str">
        <f t="shared" si="21"/>
        <v/>
      </c>
      <c r="G108" s="77" t="str">
        <f t="shared" si="22"/>
        <v/>
      </c>
      <c r="H108" s="113"/>
      <c r="I108" s="113"/>
      <c r="J108" s="113"/>
      <c r="K108" s="126"/>
      <c r="L108" s="125"/>
      <c r="M108" s="125"/>
      <c r="N108" s="126"/>
      <c r="O108" s="303"/>
      <c r="P108" s="81"/>
      <c r="R108" s="72" t="str">
        <f t="shared" si="24"/>
        <v/>
      </c>
      <c r="S108" s="72" t="str">
        <f t="shared" si="25"/>
        <v/>
      </c>
      <c r="T108" s="72" t="str">
        <f t="shared" si="26"/>
        <v/>
      </c>
      <c r="X108" s="72">
        <v>4224</v>
      </c>
      <c r="Y108" s="72" t="s">
        <v>112</v>
      </c>
      <c r="AA108" s="72" t="str">
        <f t="shared" si="27"/>
        <v>42</v>
      </c>
      <c r="AB108" s="72" t="str">
        <f t="shared" si="28"/>
        <v>422</v>
      </c>
      <c r="AD108" s="72" t="s">
        <v>3049</v>
      </c>
      <c r="AE108" s="72" t="s">
        <v>3050</v>
      </c>
      <c r="AF108" s="72" t="str">
        <f t="shared" si="29"/>
        <v>A679072</v>
      </c>
      <c r="AG108" s="72" t="str">
        <f>VLOOKUP(AF108,AKT!$C$4:$E$324,3,FALSE)</f>
        <v>0942</v>
      </c>
    </row>
    <row r="109" spans="1:33">
      <c r="A109" s="82"/>
      <c r="B109" s="77" t="str">
        <f t="shared" si="23"/>
        <v/>
      </c>
      <c r="C109" s="82"/>
      <c r="D109" s="77" t="str">
        <f t="shared" si="20"/>
        <v/>
      </c>
      <c r="E109" s="114"/>
      <c r="F109" s="77" t="str">
        <f t="shared" si="21"/>
        <v/>
      </c>
      <c r="G109" s="77" t="str">
        <f t="shared" si="22"/>
        <v/>
      </c>
      <c r="H109" s="113"/>
      <c r="I109" s="113"/>
      <c r="J109" s="113"/>
      <c r="K109" s="126"/>
      <c r="L109" s="125"/>
      <c r="M109" s="125"/>
      <c r="N109" s="126"/>
      <c r="O109" s="303"/>
      <c r="P109" s="81"/>
      <c r="R109" s="72" t="str">
        <f t="shared" si="24"/>
        <v/>
      </c>
      <c r="S109" s="72" t="str">
        <f t="shared" si="25"/>
        <v/>
      </c>
      <c r="T109" s="72" t="str">
        <f t="shared" si="26"/>
        <v/>
      </c>
      <c r="X109" s="72">
        <v>4225</v>
      </c>
      <c r="Y109" s="72" t="s">
        <v>116</v>
      </c>
      <c r="AA109" s="72" t="str">
        <f t="shared" si="27"/>
        <v>42</v>
      </c>
      <c r="AB109" s="72" t="str">
        <f t="shared" si="28"/>
        <v>422</v>
      </c>
      <c r="AD109" s="72" t="s">
        <v>3051</v>
      </c>
      <c r="AE109" s="72" t="s">
        <v>3052</v>
      </c>
      <c r="AF109" s="72" t="str">
        <f t="shared" si="29"/>
        <v>A679072</v>
      </c>
      <c r="AG109" s="72" t="str">
        <f>VLOOKUP(AF109,AKT!$C$4:$E$324,3,FALSE)</f>
        <v>0942</v>
      </c>
    </row>
    <row r="110" spans="1:33">
      <c r="A110" s="82"/>
      <c r="B110" s="77" t="str">
        <f t="shared" si="23"/>
        <v/>
      </c>
      <c r="C110" s="82"/>
      <c r="D110" s="77" t="str">
        <f t="shared" si="20"/>
        <v/>
      </c>
      <c r="E110" s="114"/>
      <c r="F110" s="77" t="str">
        <f t="shared" si="21"/>
        <v/>
      </c>
      <c r="G110" s="77" t="str">
        <f t="shared" si="22"/>
        <v/>
      </c>
      <c r="H110" s="113"/>
      <c r="I110" s="113"/>
      <c r="J110" s="113"/>
      <c r="K110" s="126"/>
      <c r="L110" s="125"/>
      <c r="M110" s="125"/>
      <c r="N110" s="126"/>
      <c r="O110" s="303"/>
      <c r="P110" s="81"/>
      <c r="R110" s="72" t="str">
        <f t="shared" si="24"/>
        <v/>
      </c>
      <c r="S110" s="72" t="str">
        <f t="shared" si="25"/>
        <v/>
      </c>
      <c r="T110" s="72" t="str">
        <f t="shared" si="26"/>
        <v/>
      </c>
      <c r="X110" s="72">
        <v>4226</v>
      </c>
      <c r="Y110" s="72" t="s">
        <v>161</v>
      </c>
      <c r="AA110" s="72" t="str">
        <f t="shared" si="27"/>
        <v>42</v>
      </c>
      <c r="AB110" s="72" t="str">
        <f t="shared" si="28"/>
        <v>422</v>
      </c>
      <c r="AD110" s="72" t="s">
        <v>715</v>
      </c>
      <c r="AE110" s="72" t="s">
        <v>716</v>
      </c>
      <c r="AF110" s="72" t="str">
        <f t="shared" si="29"/>
        <v>A679072</v>
      </c>
      <c r="AG110" s="72" t="str">
        <f>VLOOKUP(AF110,AKT!$C$4:$E$324,3,FALSE)</f>
        <v>0942</v>
      </c>
    </row>
    <row r="111" spans="1:33">
      <c r="A111" s="82"/>
      <c r="B111" s="77" t="str">
        <f t="shared" si="23"/>
        <v/>
      </c>
      <c r="C111" s="82"/>
      <c r="D111" s="77" t="str">
        <f t="shared" si="20"/>
        <v/>
      </c>
      <c r="E111" s="114"/>
      <c r="F111" s="77" t="str">
        <f t="shared" si="21"/>
        <v/>
      </c>
      <c r="G111" s="77" t="str">
        <f t="shared" si="22"/>
        <v/>
      </c>
      <c r="H111" s="113"/>
      <c r="I111" s="113"/>
      <c r="J111" s="113"/>
      <c r="K111" s="126"/>
      <c r="L111" s="125"/>
      <c r="M111" s="125"/>
      <c r="N111" s="126"/>
      <c r="O111" s="303"/>
      <c r="P111" s="81"/>
      <c r="R111" s="72" t="str">
        <f t="shared" si="24"/>
        <v/>
      </c>
      <c r="S111" s="72" t="str">
        <f t="shared" si="25"/>
        <v/>
      </c>
      <c r="T111" s="72" t="str">
        <f t="shared" si="26"/>
        <v/>
      </c>
      <c r="X111" s="72">
        <v>4227</v>
      </c>
      <c r="Y111" s="72" t="s">
        <v>129</v>
      </c>
      <c r="AA111" s="72" t="str">
        <f t="shared" si="27"/>
        <v>42</v>
      </c>
      <c r="AB111" s="72" t="str">
        <f t="shared" si="28"/>
        <v>422</v>
      </c>
      <c r="AD111" s="72" t="s">
        <v>717</v>
      </c>
      <c r="AE111" s="72" t="s">
        <v>718</v>
      </c>
      <c r="AF111" s="72" t="str">
        <f t="shared" si="29"/>
        <v>A679072</v>
      </c>
      <c r="AG111" s="72" t="str">
        <f>VLOOKUP(AF111,AKT!$C$4:$E$324,3,FALSE)</f>
        <v>0942</v>
      </c>
    </row>
    <row r="112" spans="1:33">
      <c r="A112" s="82"/>
      <c r="B112" s="77" t="str">
        <f t="shared" si="23"/>
        <v/>
      </c>
      <c r="C112" s="82"/>
      <c r="D112" s="77" t="str">
        <f t="shared" si="20"/>
        <v/>
      </c>
      <c r="E112" s="114"/>
      <c r="F112" s="77" t="str">
        <f t="shared" si="21"/>
        <v/>
      </c>
      <c r="G112" s="77" t="str">
        <f t="shared" si="22"/>
        <v/>
      </c>
      <c r="H112" s="113"/>
      <c r="I112" s="113"/>
      <c r="J112" s="113"/>
      <c r="K112" s="126"/>
      <c r="L112" s="125"/>
      <c r="M112" s="125"/>
      <c r="N112" s="126"/>
      <c r="O112" s="303"/>
      <c r="P112" s="81"/>
      <c r="R112" s="72" t="str">
        <f t="shared" si="24"/>
        <v/>
      </c>
      <c r="S112" s="72" t="str">
        <f t="shared" si="25"/>
        <v/>
      </c>
      <c r="T112" s="72" t="str">
        <f t="shared" si="26"/>
        <v/>
      </c>
      <c r="X112" s="72">
        <v>4231</v>
      </c>
      <c r="Y112" s="72" t="s">
        <v>162</v>
      </c>
      <c r="AA112" s="72" t="str">
        <f t="shared" si="27"/>
        <v>42</v>
      </c>
      <c r="AB112" s="72" t="str">
        <f t="shared" si="28"/>
        <v>423</v>
      </c>
      <c r="AD112" s="72" t="s">
        <v>719</v>
      </c>
      <c r="AE112" s="72" t="s">
        <v>720</v>
      </c>
      <c r="AF112" s="72" t="str">
        <f t="shared" si="29"/>
        <v>A679072</v>
      </c>
      <c r="AG112" s="72" t="str">
        <f>VLOOKUP(AF112,AKT!$C$4:$E$324,3,FALSE)</f>
        <v>0942</v>
      </c>
    </row>
    <row r="113" spans="1:33">
      <c r="A113" s="82"/>
      <c r="B113" s="77" t="str">
        <f t="shared" si="23"/>
        <v/>
      </c>
      <c r="C113" s="82"/>
      <c r="D113" s="77" t="str">
        <f t="shared" si="20"/>
        <v/>
      </c>
      <c r="E113" s="114"/>
      <c r="F113" s="77" t="str">
        <f t="shared" si="21"/>
        <v/>
      </c>
      <c r="G113" s="77" t="str">
        <f t="shared" si="22"/>
        <v/>
      </c>
      <c r="H113" s="113"/>
      <c r="I113" s="113"/>
      <c r="J113" s="113"/>
      <c r="K113" s="126"/>
      <c r="L113" s="125"/>
      <c r="M113" s="125"/>
      <c r="N113" s="126"/>
      <c r="O113" s="303"/>
      <c r="P113" s="81"/>
      <c r="R113" s="72" t="str">
        <f t="shared" si="24"/>
        <v/>
      </c>
      <c r="S113" s="72" t="str">
        <f t="shared" si="25"/>
        <v/>
      </c>
      <c r="T113" s="72" t="str">
        <f t="shared" si="26"/>
        <v/>
      </c>
      <c r="X113" s="72">
        <v>4233</v>
      </c>
      <c r="Y113" s="72" t="s">
        <v>170</v>
      </c>
      <c r="AA113" s="72" t="str">
        <f t="shared" si="27"/>
        <v>42</v>
      </c>
      <c r="AB113" s="72" t="str">
        <f t="shared" si="28"/>
        <v>423</v>
      </c>
      <c r="AD113" s="72" t="s">
        <v>721</v>
      </c>
      <c r="AE113" s="72" t="s">
        <v>722</v>
      </c>
      <c r="AF113" s="72" t="str">
        <f t="shared" si="29"/>
        <v>A679072</v>
      </c>
      <c r="AG113" s="72" t="str">
        <f>VLOOKUP(AF113,AKT!$C$4:$E$324,3,FALSE)</f>
        <v>0942</v>
      </c>
    </row>
    <row r="114" spans="1:33">
      <c r="A114" s="82"/>
      <c r="B114" s="77" t="str">
        <f t="shared" si="23"/>
        <v/>
      </c>
      <c r="C114" s="82"/>
      <c r="D114" s="77" t="str">
        <f t="shared" si="20"/>
        <v/>
      </c>
      <c r="E114" s="114"/>
      <c r="F114" s="77" t="str">
        <f t="shared" si="21"/>
        <v/>
      </c>
      <c r="G114" s="77" t="str">
        <f t="shared" si="22"/>
        <v/>
      </c>
      <c r="H114" s="113"/>
      <c r="I114" s="113"/>
      <c r="J114" s="113"/>
      <c r="K114" s="126"/>
      <c r="L114" s="125"/>
      <c r="M114" s="125"/>
      <c r="N114" s="126"/>
      <c r="O114" s="303"/>
      <c r="P114" s="81"/>
      <c r="R114" s="72" t="str">
        <f t="shared" si="24"/>
        <v/>
      </c>
      <c r="S114" s="72" t="str">
        <f t="shared" si="25"/>
        <v/>
      </c>
      <c r="T114" s="72" t="str">
        <f t="shared" si="26"/>
        <v/>
      </c>
      <c r="X114" s="72">
        <v>4241</v>
      </c>
      <c r="Y114" s="72" t="s">
        <v>107</v>
      </c>
      <c r="AA114" s="72" t="str">
        <f t="shared" si="27"/>
        <v>42</v>
      </c>
      <c r="AB114" s="72" t="str">
        <f t="shared" si="28"/>
        <v>424</v>
      </c>
      <c r="AD114" s="72" t="s">
        <v>723</v>
      </c>
      <c r="AE114" s="72" t="s">
        <v>724</v>
      </c>
      <c r="AF114" s="72" t="str">
        <f t="shared" si="29"/>
        <v>A679072</v>
      </c>
      <c r="AG114" s="72" t="str">
        <f>VLOOKUP(AF114,AKT!$C$4:$E$324,3,FALSE)</f>
        <v>0942</v>
      </c>
    </row>
    <row r="115" spans="1:33">
      <c r="A115" s="82"/>
      <c r="B115" s="77" t="str">
        <f t="shared" si="23"/>
        <v/>
      </c>
      <c r="C115" s="82"/>
      <c r="D115" s="77" t="str">
        <f t="shared" si="20"/>
        <v/>
      </c>
      <c r="E115" s="114"/>
      <c r="F115" s="77" t="str">
        <f t="shared" si="21"/>
        <v/>
      </c>
      <c r="G115" s="77" t="str">
        <f t="shared" si="22"/>
        <v/>
      </c>
      <c r="H115" s="113"/>
      <c r="I115" s="113"/>
      <c r="J115" s="113"/>
      <c r="K115" s="126"/>
      <c r="L115" s="125"/>
      <c r="M115" s="125"/>
      <c r="N115" s="126"/>
      <c r="O115" s="303"/>
      <c r="P115" s="81"/>
      <c r="R115" s="72" t="str">
        <f t="shared" si="24"/>
        <v/>
      </c>
      <c r="S115" s="72" t="str">
        <f t="shared" si="25"/>
        <v/>
      </c>
      <c r="T115" s="72" t="str">
        <f t="shared" si="26"/>
        <v/>
      </c>
      <c r="X115" s="72">
        <v>4242</v>
      </c>
      <c r="Y115" s="72" t="s">
        <v>139</v>
      </c>
      <c r="AA115" s="72" t="str">
        <f t="shared" si="27"/>
        <v>42</v>
      </c>
      <c r="AB115" s="72" t="str">
        <f t="shared" si="28"/>
        <v>424</v>
      </c>
      <c r="AD115" s="72" t="s">
        <v>725</v>
      </c>
      <c r="AE115" s="72" t="s">
        <v>726</v>
      </c>
      <c r="AF115" s="72" t="str">
        <f t="shared" si="29"/>
        <v>A679072</v>
      </c>
      <c r="AG115" s="72" t="str">
        <f>VLOOKUP(AF115,AKT!$C$4:$E$324,3,FALSE)</f>
        <v>0942</v>
      </c>
    </row>
    <row r="116" spans="1:33">
      <c r="A116" s="82"/>
      <c r="B116" s="77" t="str">
        <f t="shared" si="23"/>
        <v/>
      </c>
      <c r="C116" s="82"/>
      <c r="D116" s="77" t="str">
        <f t="shared" si="20"/>
        <v/>
      </c>
      <c r="E116" s="114"/>
      <c r="F116" s="77" t="str">
        <f t="shared" si="21"/>
        <v/>
      </c>
      <c r="G116" s="77" t="str">
        <f t="shared" si="22"/>
        <v/>
      </c>
      <c r="H116" s="113"/>
      <c r="I116" s="113"/>
      <c r="J116" s="113"/>
      <c r="K116" s="126"/>
      <c r="L116" s="125"/>
      <c r="M116" s="125"/>
      <c r="N116" s="126"/>
      <c r="O116" s="303"/>
      <c r="P116" s="81"/>
      <c r="R116" s="72" t="str">
        <f t="shared" si="24"/>
        <v/>
      </c>
      <c r="S116" s="72" t="str">
        <f t="shared" si="25"/>
        <v/>
      </c>
      <c r="T116" s="72" t="str">
        <f t="shared" si="26"/>
        <v/>
      </c>
      <c r="X116" s="72">
        <v>4244</v>
      </c>
      <c r="Y116" s="72" t="s">
        <v>171</v>
      </c>
      <c r="AA116" s="72" t="str">
        <f t="shared" si="27"/>
        <v>42</v>
      </c>
      <c r="AB116" s="72" t="str">
        <f t="shared" si="28"/>
        <v>424</v>
      </c>
      <c r="AD116" s="72" t="s">
        <v>727</v>
      </c>
      <c r="AE116" s="72" t="s">
        <v>728</v>
      </c>
      <c r="AF116" s="72" t="str">
        <f t="shared" si="29"/>
        <v>A679072</v>
      </c>
      <c r="AG116" s="72" t="str">
        <f>VLOOKUP(AF116,AKT!$C$4:$E$324,3,FALSE)</f>
        <v>0942</v>
      </c>
    </row>
    <row r="117" spans="1:33">
      <c r="A117" s="82"/>
      <c r="B117" s="77" t="str">
        <f t="shared" si="23"/>
        <v/>
      </c>
      <c r="C117" s="82"/>
      <c r="D117" s="77" t="str">
        <f t="shared" si="20"/>
        <v/>
      </c>
      <c r="E117" s="114"/>
      <c r="F117" s="77" t="str">
        <f t="shared" si="21"/>
        <v/>
      </c>
      <c r="G117" s="77" t="str">
        <f t="shared" si="22"/>
        <v/>
      </c>
      <c r="H117" s="113"/>
      <c r="I117" s="113"/>
      <c r="J117" s="113"/>
      <c r="K117" s="126"/>
      <c r="L117" s="125"/>
      <c r="M117" s="125"/>
      <c r="N117" s="126"/>
      <c r="O117" s="303"/>
      <c r="P117" s="81"/>
      <c r="R117" s="72" t="str">
        <f t="shared" si="24"/>
        <v/>
      </c>
      <c r="S117" s="72" t="str">
        <f t="shared" si="25"/>
        <v/>
      </c>
      <c r="T117" s="72" t="str">
        <f t="shared" si="26"/>
        <v/>
      </c>
      <c r="X117" s="72">
        <v>4251</v>
      </c>
      <c r="Y117" s="72" t="s">
        <v>163</v>
      </c>
      <c r="AA117" s="72" t="str">
        <f t="shared" si="27"/>
        <v>42</v>
      </c>
      <c r="AB117" s="72" t="str">
        <f t="shared" si="28"/>
        <v>425</v>
      </c>
      <c r="AD117" s="72" t="s">
        <v>729</v>
      </c>
      <c r="AE117" s="72" t="s">
        <v>730</v>
      </c>
      <c r="AF117" s="72" t="str">
        <f t="shared" si="29"/>
        <v>A679072</v>
      </c>
      <c r="AG117" s="72" t="str">
        <f>VLOOKUP(AF117,AKT!$C$4:$E$324,3,FALSE)</f>
        <v>0942</v>
      </c>
    </row>
    <row r="118" spans="1:33">
      <c r="A118" s="82"/>
      <c r="B118" s="77" t="str">
        <f t="shared" si="23"/>
        <v/>
      </c>
      <c r="C118" s="82"/>
      <c r="D118" s="77" t="str">
        <f t="shared" si="20"/>
        <v/>
      </c>
      <c r="E118" s="114"/>
      <c r="F118" s="77" t="str">
        <f t="shared" si="21"/>
        <v/>
      </c>
      <c r="G118" s="77" t="str">
        <f t="shared" si="22"/>
        <v/>
      </c>
      <c r="H118" s="113"/>
      <c r="I118" s="113"/>
      <c r="J118" s="113"/>
      <c r="K118" s="126"/>
      <c r="L118" s="125"/>
      <c r="M118" s="125"/>
      <c r="N118" s="126"/>
      <c r="O118" s="303"/>
      <c r="P118" s="81"/>
      <c r="R118" s="72" t="str">
        <f t="shared" si="24"/>
        <v/>
      </c>
      <c r="S118" s="72" t="str">
        <f t="shared" si="25"/>
        <v/>
      </c>
      <c r="T118" s="72" t="str">
        <f t="shared" si="26"/>
        <v/>
      </c>
      <c r="X118" s="72">
        <v>4252</v>
      </c>
      <c r="Y118" s="72" t="s">
        <v>164</v>
      </c>
      <c r="AA118" s="72" t="str">
        <f t="shared" si="27"/>
        <v>42</v>
      </c>
      <c r="AB118" s="72" t="str">
        <f t="shared" si="28"/>
        <v>425</v>
      </c>
      <c r="AD118" s="72" t="s">
        <v>731</v>
      </c>
      <c r="AE118" s="72" t="s">
        <v>732</v>
      </c>
      <c r="AF118" s="72" t="str">
        <f t="shared" si="29"/>
        <v>A679072</v>
      </c>
      <c r="AG118" s="72" t="str">
        <f>VLOOKUP(AF118,AKT!$C$4:$E$324,3,FALSE)</f>
        <v>0942</v>
      </c>
    </row>
    <row r="119" spans="1:33">
      <c r="A119" s="82"/>
      <c r="B119" s="77" t="str">
        <f t="shared" si="23"/>
        <v/>
      </c>
      <c r="C119" s="82"/>
      <c r="D119" s="77" t="str">
        <f t="shared" si="20"/>
        <v/>
      </c>
      <c r="E119" s="114"/>
      <c r="F119" s="77" t="str">
        <f t="shared" si="21"/>
        <v/>
      </c>
      <c r="G119" s="77" t="str">
        <f t="shared" si="22"/>
        <v/>
      </c>
      <c r="H119" s="113"/>
      <c r="I119" s="113"/>
      <c r="J119" s="113"/>
      <c r="K119" s="126"/>
      <c r="L119" s="125"/>
      <c r="M119" s="125"/>
      <c r="N119" s="126"/>
      <c r="O119" s="303"/>
      <c r="P119" s="81"/>
      <c r="R119" s="72" t="str">
        <f t="shared" si="24"/>
        <v/>
      </c>
      <c r="S119" s="72" t="str">
        <f t="shared" si="25"/>
        <v/>
      </c>
      <c r="T119" s="72" t="str">
        <f t="shared" si="26"/>
        <v/>
      </c>
      <c r="X119" s="72">
        <v>4262</v>
      </c>
      <c r="Y119" s="72" t="s">
        <v>108</v>
      </c>
      <c r="AA119" s="72" t="str">
        <f t="shared" si="27"/>
        <v>42</v>
      </c>
      <c r="AB119" s="72" t="str">
        <f t="shared" si="28"/>
        <v>426</v>
      </c>
      <c r="AD119" s="72" t="s">
        <v>733</v>
      </c>
      <c r="AE119" s="72" t="s">
        <v>734</v>
      </c>
      <c r="AF119" s="72" t="str">
        <f t="shared" si="29"/>
        <v>A679072</v>
      </c>
      <c r="AG119" s="72" t="str">
        <f>VLOOKUP(AF119,AKT!$C$4:$E$324,3,FALSE)</f>
        <v>0942</v>
      </c>
    </row>
    <row r="120" spans="1:33">
      <c r="A120" s="82"/>
      <c r="B120" s="77" t="str">
        <f t="shared" si="23"/>
        <v/>
      </c>
      <c r="C120" s="82"/>
      <c r="D120" s="77" t="str">
        <f t="shared" si="20"/>
        <v/>
      </c>
      <c r="E120" s="114"/>
      <c r="F120" s="77" t="str">
        <f t="shared" si="21"/>
        <v/>
      </c>
      <c r="G120" s="77" t="str">
        <f t="shared" si="22"/>
        <v/>
      </c>
      <c r="H120" s="113"/>
      <c r="I120" s="113"/>
      <c r="J120" s="113"/>
      <c r="K120" s="126"/>
      <c r="L120" s="125"/>
      <c r="M120" s="125"/>
      <c r="N120" s="126"/>
      <c r="O120" s="303"/>
      <c r="P120" s="81"/>
      <c r="R120" s="72" t="str">
        <f t="shared" si="24"/>
        <v/>
      </c>
      <c r="S120" s="72" t="str">
        <f t="shared" si="25"/>
        <v/>
      </c>
      <c r="T120" s="72" t="str">
        <f t="shared" si="26"/>
        <v/>
      </c>
      <c r="X120" s="72">
        <v>4263</v>
      </c>
      <c r="Y120" s="72" t="s">
        <v>165</v>
      </c>
      <c r="AA120" s="72" t="str">
        <f t="shared" si="27"/>
        <v>42</v>
      </c>
      <c r="AB120" s="72" t="str">
        <f t="shared" si="28"/>
        <v>426</v>
      </c>
      <c r="AD120" s="72" t="s">
        <v>735</v>
      </c>
      <c r="AE120" s="72" t="s">
        <v>736</v>
      </c>
      <c r="AF120" s="72" t="str">
        <f t="shared" si="29"/>
        <v>A679072</v>
      </c>
      <c r="AG120" s="72" t="str">
        <f>VLOOKUP(AF120,AKT!$C$4:$E$324,3,FALSE)</f>
        <v>0942</v>
      </c>
    </row>
    <row r="121" spans="1:33">
      <c r="A121" s="82"/>
      <c r="B121" s="77" t="str">
        <f t="shared" si="23"/>
        <v/>
      </c>
      <c r="C121" s="82"/>
      <c r="D121" s="77" t="str">
        <f t="shared" si="20"/>
        <v/>
      </c>
      <c r="E121" s="114"/>
      <c r="F121" s="77" t="str">
        <f t="shared" si="21"/>
        <v/>
      </c>
      <c r="G121" s="77" t="str">
        <f t="shared" si="22"/>
        <v/>
      </c>
      <c r="H121" s="113"/>
      <c r="I121" s="113"/>
      <c r="J121" s="113"/>
      <c r="K121" s="126"/>
      <c r="L121" s="125"/>
      <c r="M121" s="125"/>
      <c r="N121" s="126"/>
      <c r="O121" s="303"/>
      <c r="P121" s="81"/>
      <c r="R121" s="72" t="str">
        <f t="shared" si="24"/>
        <v/>
      </c>
      <c r="S121" s="72" t="str">
        <f t="shared" si="25"/>
        <v/>
      </c>
      <c r="T121" s="72" t="str">
        <f t="shared" si="26"/>
        <v/>
      </c>
      <c r="X121" s="72">
        <v>4264</v>
      </c>
      <c r="Y121" s="72" t="s">
        <v>120</v>
      </c>
      <c r="AA121" s="72" t="str">
        <f t="shared" si="27"/>
        <v>42</v>
      </c>
      <c r="AB121" s="72" t="str">
        <f t="shared" si="28"/>
        <v>426</v>
      </c>
      <c r="AD121" s="72" t="s">
        <v>1271</v>
      </c>
      <c r="AE121" s="72" t="s">
        <v>1272</v>
      </c>
      <c r="AF121" s="72" t="str">
        <f t="shared" si="29"/>
        <v>A679072</v>
      </c>
      <c r="AG121" s="72" t="str">
        <f>VLOOKUP(AF121,AKT!$C$4:$E$324,3,FALSE)</f>
        <v>0942</v>
      </c>
    </row>
    <row r="122" spans="1:33">
      <c r="A122" s="82"/>
      <c r="B122" s="77" t="str">
        <f t="shared" si="23"/>
        <v/>
      </c>
      <c r="C122" s="82"/>
      <c r="D122" s="77" t="str">
        <f t="shared" si="20"/>
        <v/>
      </c>
      <c r="E122" s="114"/>
      <c r="F122" s="77" t="str">
        <f t="shared" si="21"/>
        <v/>
      </c>
      <c r="G122" s="77" t="str">
        <f t="shared" si="22"/>
        <v/>
      </c>
      <c r="H122" s="113"/>
      <c r="I122" s="113"/>
      <c r="J122" s="113"/>
      <c r="K122" s="126"/>
      <c r="L122" s="125"/>
      <c r="M122" s="125"/>
      <c r="N122" s="126"/>
      <c r="O122" s="303"/>
      <c r="P122" s="81"/>
      <c r="R122" s="72" t="str">
        <f t="shared" si="24"/>
        <v/>
      </c>
      <c r="S122" s="72" t="str">
        <f t="shared" si="25"/>
        <v/>
      </c>
      <c r="T122" s="72" t="str">
        <f t="shared" si="26"/>
        <v/>
      </c>
      <c r="X122" s="72">
        <v>4312</v>
      </c>
      <c r="Y122" s="72" t="s">
        <v>122</v>
      </c>
      <c r="AA122" s="72" t="str">
        <f t="shared" si="27"/>
        <v>43</v>
      </c>
      <c r="AB122" s="72" t="str">
        <f t="shared" si="28"/>
        <v>431</v>
      </c>
      <c r="AD122" s="72" t="s">
        <v>1273</v>
      </c>
      <c r="AE122" s="72" t="s">
        <v>1274</v>
      </c>
      <c r="AF122" s="72" t="str">
        <f t="shared" si="29"/>
        <v>A679072</v>
      </c>
      <c r="AG122" s="72" t="str">
        <f>VLOOKUP(AF122,AKT!$C$4:$E$324,3,FALSE)</f>
        <v>0942</v>
      </c>
    </row>
    <row r="123" spans="1:33">
      <c r="A123" s="82"/>
      <c r="B123" s="77" t="str">
        <f t="shared" si="23"/>
        <v/>
      </c>
      <c r="C123" s="82"/>
      <c r="D123" s="77" t="str">
        <f t="shared" si="20"/>
        <v/>
      </c>
      <c r="E123" s="114"/>
      <c r="F123" s="77" t="str">
        <f t="shared" si="21"/>
        <v/>
      </c>
      <c r="G123" s="77" t="str">
        <f t="shared" si="22"/>
        <v/>
      </c>
      <c r="H123" s="113"/>
      <c r="I123" s="113"/>
      <c r="J123" s="113"/>
      <c r="K123" s="126"/>
      <c r="L123" s="125"/>
      <c r="M123" s="125"/>
      <c r="N123" s="126"/>
      <c r="O123" s="303"/>
      <c r="P123" s="81"/>
      <c r="R123" s="72" t="str">
        <f t="shared" si="24"/>
        <v/>
      </c>
      <c r="S123" s="72" t="str">
        <f t="shared" si="25"/>
        <v/>
      </c>
      <c r="T123" s="72" t="str">
        <f t="shared" si="26"/>
        <v/>
      </c>
      <c r="X123" s="72">
        <v>4411</v>
      </c>
      <c r="Y123" s="72" t="s">
        <v>166</v>
      </c>
      <c r="AA123" s="72" t="str">
        <f t="shared" si="27"/>
        <v>44</v>
      </c>
      <c r="AB123" s="72" t="str">
        <f t="shared" si="28"/>
        <v>441</v>
      </c>
      <c r="AD123" s="72" t="s">
        <v>1275</v>
      </c>
      <c r="AE123" s="72" t="s">
        <v>1276</v>
      </c>
      <c r="AF123" s="72" t="str">
        <f t="shared" si="29"/>
        <v>A679072</v>
      </c>
      <c r="AG123" s="72" t="str">
        <f>VLOOKUP(AF123,AKT!$C$4:$E$324,3,FALSE)</f>
        <v>0942</v>
      </c>
    </row>
    <row r="124" spans="1:33">
      <c r="A124" s="302"/>
      <c r="B124" s="77" t="str">
        <f t="shared" si="23"/>
        <v/>
      </c>
      <c r="C124" s="82"/>
      <c r="D124" s="77" t="str">
        <f t="shared" si="20"/>
        <v/>
      </c>
      <c r="E124" s="114"/>
      <c r="F124" s="77" t="str">
        <f t="shared" si="21"/>
        <v/>
      </c>
      <c r="G124" s="77" t="str">
        <f t="shared" si="22"/>
        <v/>
      </c>
      <c r="H124" s="113"/>
      <c r="I124" s="113"/>
      <c r="J124" s="113"/>
      <c r="K124" s="126"/>
      <c r="L124" s="125"/>
      <c r="M124" s="125"/>
      <c r="N124" s="126"/>
      <c r="O124" s="303"/>
      <c r="P124" s="81"/>
      <c r="R124" s="72" t="str">
        <f t="shared" si="24"/>
        <v/>
      </c>
      <c r="S124" s="72" t="str">
        <f t="shared" si="25"/>
        <v/>
      </c>
      <c r="T124" s="72" t="str">
        <f t="shared" si="26"/>
        <v/>
      </c>
      <c r="X124" s="72">
        <v>4511</v>
      </c>
      <c r="Y124" s="72" t="s">
        <v>121</v>
      </c>
      <c r="AA124" s="72" t="str">
        <f t="shared" si="27"/>
        <v>45</v>
      </c>
      <c r="AB124" s="72" t="str">
        <f t="shared" si="28"/>
        <v>451</v>
      </c>
      <c r="AD124" s="72" t="s">
        <v>1277</v>
      </c>
      <c r="AE124" s="72" t="s">
        <v>1278</v>
      </c>
      <c r="AF124" s="72" t="str">
        <f t="shared" si="29"/>
        <v>A679072</v>
      </c>
      <c r="AG124" s="72" t="str">
        <f>VLOOKUP(AF124,AKT!$C$4:$E$324,3,FALSE)</f>
        <v>0942</v>
      </c>
    </row>
    <row r="125" spans="1:33">
      <c r="A125" s="302"/>
      <c r="B125" s="77" t="str">
        <f t="shared" si="23"/>
        <v/>
      </c>
      <c r="C125" s="82"/>
      <c r="D125" s="77" t="str">
        <f t="shared" si="20"/>
        <v/>
      </c>
      <c r="E125" s="114"/>
      <c r="F125" s="77" t="str">
        <f t="shared" si="21"/>
        <v/>
      </c>
      <c r="G125" s="77" t="str">
        <f t="shared" si="22"/>
        <v/>
      </c>
      <c r="H125" s="113"/>
      <c r="I125" s="113"/>
      <c r="J125" s="113"/>
      <c r="K125" s="126"/>
      <c r="L125" s="125"/>
      <c r="M125" s="125"/>
      <c r="N125" s="126"/>
      <c r="O125" s="303"/>
      <c r="P125" s="81"/>
      <c r="R125" s="72" t="str">
        <f t="shared" si="24"/>
        <v/>
      </c>
      <c r="S125" s="72" t="str">
        <f t="shared" si="25"/>
        <v/>
      </c>
      <c r="T125" s="72" t="str">
        <f t="shared" si="26"/>
        <v/>
      </c>
      <c r="X125" s="72">
        <v>4521</v>
      </c>
      <c r="Y125" s="72" t="s">
        <v>140</v>
      </c>
      <c r="AA125" s="72" t="str">
        <f t="shared" si="27"/>
        <v>45</v>
      </c>
      <c r="AB125" s="72" t="str">
        <f t="shared" si="28"/>
        <v>452</v>
      </c>
      <c r="AD125" s="72" t="s">
        <v>1279</v>
      </c>
      <c r="AE125" s="72" t="s">
        <v>1280</v>
      </c>
      <c r="AF125" s="72" t="str">
        <f t="shared" si="29"/>
        <v>A679072</v>
      </c>
      <c r="AG125" s="72" t="str">
        <f>VLOOKUP(AF125,AKT!$C$4:$E$324,3,FALSE)</f>
        <v>0942</v>
      </c>
    </row>
    <row r="126" spans="1:33">
      <c r="A126" s="82"/>
      <c r="B126" s="77" t="str">
        <f t="shared" si="23"/>
        <v/>
      </c>
      <c r="C126" s="82"/>
      <c r="D126" s="77" t="str">
        <f t="shared" si="20"/>
        <v/>
      </c>
      <c r="E126" s="114"/>
      <c r="F126" s="77" t="str">
        <f t="shared" si="21"/>
        <v/>
      </c>
      <c r="G126" s="77" t="str">
        <f t="shared" si="22"/>
        <v/>
      </c>
      <c r="H126" s="113"/>
      <c r="I126" s="113"/>
      <c r="J126" s="113"/>
      <c r="K126" s="126"/>
      <c r="L126" s="125"/>
      <c r="M126" s="125"/>
      <c r="N126" s="126"/>
      <c r="O126" s="303"/>
      <c r="P126" s="81"/>
      <c r="R126" s="72" t="str">
        <f t="shared" si="24"/>
        <v/>
      </c>
      <c r="S126" s="72" t="str">
        <f t="shared" si="25"/>
        <v/>
      </c>
      <c r="T126" s="72" t="str">
        <f t="shared" si="26"/>
        <v/>
      </c>
      <c r="X126" s="72">
        <v>4531</v>
      </c>
      <c r="Y126" s="72" t="s">
        <v>183</v>
      </c>
      <c r="AA126" s="72" t="str">
        <f t="shared" si="27"/>
        <v>45</v>
      </c>
      <c r="AB126" s="72" t="str">
        <f t="shared" si="28"/>
        <v>453</v>
      </c>
      <c r="AD126" s="72" t="s">
        <v>1281</v>
      </c>
      <c r="AE126" s="72" t="s">
        <v>1282</v>
      </c>
      <c r="AF126" s="72" t="str">
        <f t="shared" si="29"/>
        <v>A679072</v>
      </c>
      <c r="AG126" s="72" t="str">
        <f>VLOOKUP(AF126,AKT!$C$4:$E$324,3,FALSE)</f>
        <v>0942</v>
      </c>
    </row>
    <row r="127" spans="1:33">
      <c r="A127" s="82"/>
      <c r="B127" s="77" t="str">
        <f t="shared" si="23"/>
        <v/>
      </c>
      <c r="C127" s="82"/>
      <c r="D127" s="77" t="str">
        <f t="shared" si="20"/>
        <v/>
      </c>
      <c r="E127" s="114"/>
      <c r="F127" s="77" t="str">
        <f t="shared" si="21"/>
        <v/>
      </c>
      <c r="G127" s="77" t="str">
        <f t="shared" si="22"/>
        <v/>
      </c>
      <c r="H127" s="113"/>
      <c r="I127" s="113"/>
      <c r="J127" s="113"/>
      <c r="K127" s="126"/>
      <c r="L127" s="125"/>
      <c r="M127" s="125"/>
      <c r="N127" s="126"/>
      <c r="O127" s="303"/>
      <c r="P127" s="81"/>
      <c r="R127" s="72" t="str">
        <f t="shared" si="24"/>
        <v/>
      </c>
      <c r="S127" s="72" t="str">
        <f t="shared" si="25"/>
        <v/>
      </c>
      <c r="T127" s="72" t="str">
        <f t="shared" si="26"/>
        <v/>
      </c>
      <c r="X127" s="72">
        <v>4541</v>
      </c>
      <c r="Y127" s="72" t="s">
        <v>135</v>
      </c>
      <c r="AA127" s="72" t="str">
        <f t="shared" si="27"/>
        <v>45</v>
      </c>
      <c r="AB127" s="72" t="str">
        <f t="shared" si="28"/>
        <v>454</v>
      </c>
      <c r="AD127" s="72" t="s">
        <v>1283</v>
      </c>
      <c r="AE127" s="72" t="s">
        <v>1284</v>
      </c>
      <c r="AF127" s="72" t="str">
        <f t="shared" si="29"/>
        <v>A679072</v>
      </c>
      <c r="AG127" s="72" t="str">
        <f>VLOOKUP(AF127,AKT!$C$4:$E$324,3,FALSE)</f>
        <v>0942</v>
      </c>
    </row>
    <row r="128" spans="1:33">
      <c r="A128" s="82"/>
      <c r="B128" s="77" t="str">
        <f t="shared" si="23"/>
        <v/>
      </c>
      <c r="C128" s="82"/>
      <c r="D128" s="77" t="str">
        <f t="shared" si="20"/>
        <v/>
      </c>
      <c r="E128" s="114"/>
      <c r="F128" s="77" t="str">
        <f t="shared" si="21"/>
        <v/>
      </c>
      <c r="G128" s="77" t="str">
        <f t="shared" si="22"/>
        <v/>
      </c>
      <c r="H128" s="113"/>
      <c r="I128" s="113"/>
      <c r="J128" s="113"/>
      <c r="K128" s="126"/>
      <c r="L128" s="125"/>
      <c r="M128" s="125"/>
      <c r="N128" s="126"/>
      <c r="O128" s="303"/>
      <c r="P128" s="81"/>
      <c r="R128" s="72" t="str">
        <f t="shared" si="24"/>
        <v/>
      </c>
      <c r="S128" s="72" t="str">
        <f t="shared" si="25"/>
        <v/>
      </c>
      <c r="T128" s="72" t="str">
        <f t="shared" si="26"/>
        <v/>
      </c>
      <c r="X128" s="72">
        <v>5121</v>
      </c>
      <c r="Y128" s="72" t="s">
        <v>191</v>
      </c>
      <c r="AA128" s="72" t="str">
        <f t="shared" si="27"/>
        <v>51</v>
      </c>
      <c r="AB128" s="72" t="str">
        <f t="shared" si="28"/>
        <v>512</v>
      </c>
      <c r="AD128" s="72" t="s">
        <v>1285</v>
      </c>
      <c r="AE128" s="72" t="s">
        <v>1286</v>
      </c>
      <c r="AF128" s="72" t="str">
        <f t="shared" si="29"/>
        <v>A679072</v>
      </c>
      <c r="AG128" s="72" t="str">
        <f>VLOOKUP(AF128,AKT!$C$4:$E$324,3,FALSE)</f>
        <v>0942</v>
      </c>
    </row>
    <row r="129" spans="1:33">
      <c r="A129" s="82"/>
      <c r="B129" s="77" t="str">
        <f t="shared" si="23"/>
        <v/>
      </c>
      <c r="C129" s="82"/>
      <c r="D129" s="77" t="str">
        <f t="shared" si="20"/>
        <v/>
      </c>
      <c r="E129" s="114"/>
      <c r="F129" s="77" t="str">
        <f t="shared" si="21"/>
        <v/>
      </c>
      <c r="G129" s="77" t="str">
        <f t="shared" si="22"/>
        <v/>
      </c>
      <c r="H129" s="113"/>
      <c r="I129" s="113"/>
      <c r="J129" s="113"/>
      <c r="K129" s="126"/>
      <c r="L129" s="125"/>
      <c r="M129" s="125"/>
      <c r="N129" s="126"/>
      <c r="O129" s="303"/>
      <c r="P129" s="81"/>
      <c r="R129" s="72" t="str">
        <f t="shared" si="24"/>
        <v/>
      </c>
      <c r="S129" s="72" t="str">
        <f t="shared" si="25"/>
        <v/>
      </c>
      <c r="T129" s="72" t="str">
        <f t="shared" si="26"/>
        <v/>
      </c>
      <c r="X129" s="72">
        <v>5443</v>
      </c>
      <c r="Y129" s="72" t="s">
        <v>167</v>
      </c>
      <c r="AA129" s="72" t="str">
        <f t="shared" si="27"/>
        <v>54</v>
      </c>
      <c r="AB129" s="72" t="str">
        <f t="shared" si="28"/>
        <v>544</v>
      </c>
      <c r="AD129" s="72" t="s">
        <v>1287</v>
      </c>
      <c r="AE129" s="72" t="s">
        <v>1288</v>
      </c>
      <c r="AF129" s="72" t="str">
        <f t="shared" si="29"/>
        <v>A679072</v>
      </c>
      <c r="AG129" s="72" t="str">
        <f>VLOOKUP(AF129,AKT!$C$4:$E$324,3,FALSE)</f>
        <v>0942</v>
      </c>
    </row>
    <row r="130" spans="1:33">
      <c r="A130" s="82"/>
      <c r="B130" s="77" t="str">
        <f t="shared" si="23"/>
        <v/>
      </c>
      <c r="C130" s="82"/>
      <c r="D130" s="77" t="str">
        <f t="shared" si="20"/>
        <v/>
      </c>
      <c r="E130" s="114"/>
      <c r="F130" s="77" t="str">
        <f t="shared" si="21"/>
        <v/>
      </c>
      <c r="G130" s="77" t="str">
        <f t="shared" si="22"/>
        <v/>
      </c>
      <c r="H130" s="113"/>
      <c r="I130" s="113"/>
      <c r="J130" s="113"/>
      <c r="K130" s="126"/>
      <c r="L130" s="125"/>
      <c r="M130" s="125"/>
      <c r="N130" s="126"/>
      <c r="O130" s="303"/>
      <c r="P130" s="81"/>
      <c r="R130" s="72" t="str">
        <f t="shared" si="24"/>
        <v/>
      </c>
      <c r="S130" s="72" t="str">
        <f t="shared" si="25"/>
        <v/>
      </c>
      <c r="T130" s="72" t="str">
        <f t="shared" si="26"/>
        <v/>
      </c>
      <c r="X130" s="72">
        <v>5121</v>
      </c>
      <c r="Y130" s="72" t="s">
        <v>639</v>
      </c>
      <c r="AA130" s="72" t="str">
        <f t="shared" si="27"/>
        <v>51</v>
      </c>
      <c r="AB130" s="72" t="str">
        <f t="shared" si="28"/>
        <v>512</v>
      </c>
      <c r="AD130" s="72" t="s">
        <v>1289</v>
      </c>
      <c r="AE130" s="72" t="s">
        <v>1290</v>
      </c>
      <c r="AF130" s="72" t="str">
        <f t="shared" si="29"/>
        <v>A679072</v>
      </c>
      <c r="AG130" s="72" t="str">
        <f>VLOOKUP(AF130,AKT!$C$4:$E$324,3,FALSE)</f>
        <v>0942</v>
      </c>
    </row>
    <row r="131" spans="1:33">
      <c r="A131" s="82"/>
      <c r="B131" s="77" t="str">
        <f t="shared" si="23"/>
        <v/>
      </c>
      <c r="C131" s="82"/>
      <c r="D131" s="77" t="str">
        <f t="shared" ref="D131:D194" si="30">IFERROR(VLOOKUP(C131,$X$5:$Z$140,2,FALSE),"")</f>
        <v/>
      </c>
      <c r="E131" s="114"/>
      <c r="F131" s="77" t="str">
        <f t="shared" ref="F131:F194" si="31">IFERROR(VLOOKUP(E131,$AD$6:$AE$1101,2,FALSE),"")</f>
        <v/>
      </c>
      <c r="G131" s="77" t="str">
        <f t="shared" si="22"/>
        <v/>
      </c>
      <c r="H131" s="113"/>
      <c r="I131" s="113"/>
      <c r="J131" s="113"/>
      <c r="K131" s="126"/>
      <c r="L131" s="125"/>
      <c r="M131" s="125"/>
      <c r="N131" s="126"/>
      <c r="O131" s="303"/>
      <c r="P131" s="81"/>
      <c r="R131" s="72" t="str">
        <f t="shared" si="24"/>
        <v/>
      </c>
      <c r="S131" s="72" t="str">
        <f t="shared" si="25"/>
        <v/>
      </c>
      <c r="T131" s="72" t="str">
        <f t="shared" si="26"/>
        <v/>
      </c>
      <c r="X131" s="72">
        <v>5122</v>
      </c>
      <c r="Y131" s="72" t="s">
        <v>640</v>
      </c>
      <c r="AA131" s="72" t="str">
        <f t="shared" si="27"/>
        <v>51</v>
      </c>
      <c r="AB131" s="72" t="str">
        <f t="shared" si="28"/>
        <v>512</v>
      </c>
      <c r="AD131" s="72" t="s">
        <v>1291</v>
      </c>
      <c r="AE131" s="72" t="s">
        <v>1292</v>
      </c>
      <c r="AF131" s="72" t="str">
        <f t="shared" si="29"/>
        <v>A679072</v>
      </c>
      <c r="AG131" s="72" t="str">
        <f>VLOOKUP(AF131,AKT!$C$4:$E$324,3,FALSE)</f>
        <v>0942</v>
      </c>
    </row>
    <row r="132" spans="1:33">
      <c r="A132" s="82"/>
      <c r="B132" s="77" t="str">
        <f t="shared" si="23"/>
        <v/>
      </c>
      <c r="C132" s="82"/>
      <c r="D132" s="77" t="str">
        <f t="shared" si="30"/>
        <v/>
      </c>
      <c r="E132" s="114"/>
      <c r="F132" s="77" t="str">
        <f t="shared" si="31"/>
        <v/>
      </c>
      <c r="G132" s="77" t="str">
        <f t="shared" ref="G132:G195" si="32">IFERROR(VLOOKUP(E132,$AD$6:$AG$1101,4,FALSE),"")</f>
        <v/>
      </c>
      <c r="H132" s="113"/>
      <c r="I132" s="113"/>
      <c r="J132" s="113"/>
      <c r="K132" s="126"/>
      <c r="L132" s="125"/>
      <c r="M132" s="125"/>
      <c r="N132" s="126"/>
      <c r="O132" s="303"/>
      <c r="P132" s="81"/>
      <c r="R132" s="72" t="str">
        <f t="shared" si="24"/>
        <v/>
      </c>
      <c r="S132" s="72" t="str">
        <f t="shared" si="25"/>
        <v/>
      </c>
      <c r="T132" s="72" t="str">
        <f t="shared" si="26"/>
        <v/>
      </c>
      <c r="X132" s="72">
        <v>5141</v>
      </c>
      <c r="Y132" s="72" t="s">
        <v>641</v>
      </c>
      <c r="AA132" s="72" t="str">
        <f t="shared" si="27"/>
        <v>51</v>
      </c>
      <c r="AB132" s="72" t="str">
        <f t="shared" si="28"/>
        <v>514</v>
      </c>
      <c r="AD132" s="72" t="s">
        <v>1293</v>
      </c>
      <c r="AE132" s="72" t="s">
        <v>1294</v>
      </c>
      <c r="AF132" s="72" t="str">
        <f t="shared" si="29"/>
        <v>A679072</v>
      </c>
      <c r="AG132" s="72" t="str">
        <f>VLOOKUP(AF132,AKT!$C$4:$E$324,3,FALSE)</f>
        <v>0942</v>
      </c>
    </row>
    <row r="133" spans="1:33">
      <c r="A133" s="82"/>
      <c r="B133" s="77" t="str">
        <f t="shared" si="23"/>
        <v/>
      </c>
      <c r="C133" s="82"/>
      <c r="D133" s="77" t="str">
        <f t="shared" si="30"/>
        <v/>
      </c>
      <c r="E133" s="114"/>
      <c r="F133" s="77" t="str">
        <f t="shared" si="31"/>
        <v/>
      </c>
      <c r="G133" s="77" t="str">
        <f t="shared" si="32"/>
        <v/>
      </c>
      <c r="H133" s="113"/>
      <c r="I133" s="113"/>
      <c r="J133" s="113"/>
      <c r="K133" s="126"/>
      <c r="L133" s="125"/>
      <c r="M133" s="125"/>
      <c r="N133" s="126"/>
      <c r="O133" s="303"/>
      <c r="P133" s="81"/>
      <c r="R133" s="72" t="str">
        <f t="shared" si="24"/>
        <v/>
      </c>
      <c r="S133" s="72" t="str">
        <f t="shared" si="25"/>
        <v/>
      </c>
      <c r="T133" s="72" t="str">
        <f t="shared" si="26"/>
        <v/>
      </c>
      <c r="X133" s="72">
        <v>5181</v>
      </c>
      <c r="Y133" s="72" t="s">
        <v>642</v>
      </c>
      <c r="AA133" s="72" t="str">
        <f t="shared" si="27"/>
        <v>51</v>
      </c>
      <c r="AB133" s="72" t="str">
        <f t="shared" si="28"/>
        <v>518</v>
      </c>
      <c r="AD133" s="72" t="s">
        <v>1295</v>
      </c>
      <c r="AE133" s="72" t="s">
        <v>1296</v>
      </c>
      <c r="AF133" s="72" t="str">
        <f t="shared" si="29"/>
        <v>A679072</v>
      </c>
      <c r="AG133" s="72" t="str">
        <f>VLOOKUP(AF133,AKT!$C$4:$E$324,3,FALSE)</f>
        <v>0942</v>
      </c>
    </row>
    <row r="134" spans="1:33">
      <c r="A134" s="82"/>
      <c r="B134" s="77" t="str">
        <f t="shared" si="23"/>
        <v/>
      </c>
      <c r="C134" s="82"/>
      <c r="D134" s="77" t="str">
        <f t="shared" si="30"/>
        <v/>
      </c>
      <c r="E134" s="114"/>
      <c r="F134" s="77" t="str">
        <f t="shared" si="31"/>
        <v/>
      </c>
      <c r="G134" s="77" t="str">
        <f t="shared" si="32"/>
        <v/>
      </c>
      <c r="H134" s="113"/>
      <c r="I134" s="113"/>
      <c r="J134" s="113"/>
      <c r="K134" s="126"/>
      <c r="L134" s="125"/>
      <c r="M134" s="125"/>
      <c r="N134" s="126"/>
      <c r="O134" s="303"/>
      <c r="P134" s="81"/>
      <c r="R134" s="72" t="str">
        <f t="shared" si="24"/>
        <v/>
      </c>
      <c r="S134" s="72" t="str">
        <f t="shared" si="25"/>
        <v/>
      </c>
      <c r="T134" s="72" t="str">
        <f t="shared" si="26"/>
        <v/>
      </c>
      <c r="X134" s="72">
        <v>5183</v>
      </c>
      <c r="Y134" s="72" t="s">
        <v>643</v>
      </c>
      <c r="AA134" s="72" t="str">
        <f t="shared" si="27"/>
        <v>51</v>
      </c>
      <c r="AB134" s="72" t="str">
        <f t="shared" si="28"/>
        <v>518</v>
      </c>
      <c r="AD134" s="72" t="s">
        <v>1297</v>
      </c>
      <c r="AE134" s="72" t="s">
        <v>1298</v>
      </c>
      <c r="AF134" s="72" t="str">
        <f t="shared" si="29"/>
        <v>A679072</v>
      </c>
      <c r="AG134" s="72" t="str">
        <f>VLOOKUP(AF134,AKT!$C$4:$E$324,3,FALSE)</f>
        <v>0942</v>
      </c>
    </row>
    <row r="135" spans="1:33">
      <c r="A135" s="82"/>
      <c r="B135" s="77" t="str">
        <f t="shared" si="23"/>
        <v/>
      </c>
      <c r="C135" s="82"/>
      <c r="D135" s="77" t="str">
        <f t="shared" si="30"/>
        <v/>
      </c>
      <c r="E135" s="114"/>
      <c r="F135" s="77" t="str">
        <f t="shared" si="31"/>
        <v/>
      </c>
      <c r="G135" s="77" t="str">
        <f t="shared" si="32"/>
        <v/>
      </c>
      <c r="H135" s="113"/>
      <c r="I135" s="113"/>
      <c r="J135" s="113"/>
      <c r="K135" s="126"/>
      <c r="L135" s="125"/>
      <c r="M135" s="125"/>
      <c r="N135" s="126"/>
      <c r="O135" s="303"/>
      <c r="P135" s="81"/>
      <c r="R135" s="72" t="str">
        <f t="shared" si="24"/>
        <v/>
      </c>
      <c r="S135" s="72" t="str">
        <f t="shared" si="25"/>
        <v/>
      </c>
      <c r="T135" s="72" t="str">
        <f t="shared" si="26"/>
        <v/>
      </c>
      <c r="X135" s="72">
        <v>5422</v>
      </c>
      <c r="Y135" s="72" t="s">
        <v>644</v>
      </c>
      <c r="AA135" s="72" t="str">
        <f t="shared" si="27"/>
        <v>54</v>
      </c>
      <c r="AB135" s="72" t="str">
        <f t="shared" si="28"/>
        <v>542</v>
      </c>
      <c r="AD135" s="72" t="s">
        <v>1299</v>
      </c>
      <c r="AE135" s="72" t="s">
        <v>1300</v>
      </c>
      <c r="AF135" s="72" t="str">
        <f t="shared" si="29"/>
        <v>A679072</v>
      </c>
      <c r="AG135" s="72" t="str">
        <f>VLOOKUP(AF135,AKT!$C$4:$E$324,3,FALSE)</f>
        <v>0942</v>
      </c>
    </row>
    <row r="136" spans="1:33">
      <c r="A136" s="82"/>
      <c r="B136" s="77" t="str">
        <f t="shared" si="23"/>
        <v/>
      </c>
      <c r="C136" s="82"/>
      <c r="D136" s="77" t="str">
        <f t="shared" si="30"/>
        <v/>
      </c>
      <c r="E136" s="114"/>
      <c r="F136" s="77" t="str">
        <f t="shared" si="31"/>
        <v/>
      </c>
      <c r="G136" s="77" t="str">
        <f t="shared" si="32"/>
        <v/>
      </c>
      <c r="H136" s="113"/>
      <c r="I136" s="113"/>
      <c r="J136" s="113"/>
      <c r="K136" s="126"/>
      <c r="L136" s="125"/>
      <c r="M136" s="125"/>
      <c r="N136" s="126"/>
      <c r="O136" s="303"/>
      <c r="P136" s="81"/>
      <c r="R136" s="72" t="str">
        <f t="shared" si="24"/>
        <v/>
      </c>
      <c r="S136" s="72" t="str">
        <f t="shared" si="25"/>
        <v/>
      </c>
      <c r="T136" s="72" t="str">
        <f t="shared" si="26"/>
        <v/>
      </c>
      <c r="X136" s="72">
        <v>5431</v>
      </c>
      <c r="Y136" s="72" t="s">
        <v>264</v>
      </c>
      <c r="AA136" s="72" t="str">
        <f t="shared" si="27"/>
        <v>54</v>
      </c>
      <c r="AB136" s="72" t="str">
        <f t="shared" si="28"/>
        <v>543</v>
      </c>
      <c r="AD136" s="72" t="s">
        <v>1301</v>
      </c>
      <c r="AE136" s="72" t="s">
        <v>1302</v>
      </c>
      <c r="AF136" s="72" t="str">
        <f t="shared" si="29"/>
        <v>A679072</v>
      </c>
      <c r="AG136" s="72" t="str">
        <f>VLOOKUP(AF136,AKT!$C$4:$E$324,3,FALSE)</f>
        <v>0942</v>
      </c>
    </row>
    <row r="137" spans="1:33">
      <c r="A137" s="82"/>
      <c r="B137" s="77" t="str">
        <f t="shared" si="23"/>
        <v/>
      </c>
      <c r="C137" s="82"/>
      <c r="D137" s="77" t="str">
        <f t="shared" si="30"/>
        <v/>
      </c>
      <c r="E137" s="114"/>
      <c r="F137" s="77" t="str">
        <f t="shared" si="31"/>
        <v/>
      </c>
      <c r="G137" s="77" t="str">
        <f t="shared" si="32"/>
        <v/>
      </c>
      <c r="H137" s="113"/>
      <c r="I137" s="113"/>
      <c r="J137" s="113"/>
      <c r="K137" s="126"/>
      <c r="L137" s="125"/>
      <c r="M137" s="125"/>
      <c r="N137" s="126"/>
      <c r="O137" s="303"/>
      <c r="P137" s="81"/>
      <c r="R137" s="72" t="str">
        <f t="shared" si="24"/>
        <v/>
      </c>
      <c r="S137" s="72" t="str">
        <f t="shared" si="25"/>
        <v/>
      </c>
      <c r="T137" s="72" t="str">
        <f t="shared" si="26"/>
        <v/>
      </c>
      <c r="X137" s="72">
        <v>5443</v>
      </c>
      <c r="Y137" s="72" t="s">
        <v>645</v>
      </c>
      <c r="AA137" s="72" t="str">
        <f t="shared" si="27"/>
        <v>54</v>
      </c>
      <c r="AB137" s="72" t="str">
        <f t="shared" si="28"/>
        <v>544</v>
      </c>
      <c r="AD137" s="72" t="s">
        <v>1303</v>
      </c>
      <c r="AE137" s="72" t="s">
        <v>1304</v>
      </c>
      <c r="AF137" s="72" t="str">
        <f t="shared" si="29"/>
        <v>A679072</v>
      </c>
      <c r="AG137" s="72" t="str">
        <f>VLOOKUP(AF137,AKT!$C$4:$E$324,3,FALSE)</f>
        <v>0942</v>
      </c>
    </row>
    <row r="138" spans="1:33">
      <c r="A138" s="82"/>
      <c r="B138" s="77" t="str">
        <f t="shared" si="23"/>
        <v/>
      </c>
      <c r="C138" s="82"/>
      <c r="D138" s="77" t="str">
        <f t="shared" si="30"/>
        <v/>
      </c>
      <c r="E138" s="114"/>
      <c r="F138" s="77" t="str">
        <f t="shared" si="31"/>
        <v/>
      </c>
      <c r="G138" s="77" t="str">
        <f t="shared" si="32"/>
        <v/>
      </c>
      <c r="H138" s="113"/>
      <c r="I138" s="113"/>
      <c r="J138" s="113"/>
      <c r="K138" s="126"/>
      <c r="L138" s="125"/>
      <c r="M138" s="125"/>
      <c r="N138" s="126"/>
      <c r="O138" s="303"/>
      <c r="P138" s="81"/>
      <c r="R138" s="72" t="str">
        <f t="shared" si="24"/>
        <v/>
      </c>
      <c r="S138" s="72" t="str">
        <f t="shared" si="25"/>
        <v/>
      </c>
      <c r="T138" s="72" t="str">
        <f t="shared" si="26"/>
        <v/>
      </c>
      <c r="X138" s="72">
        <v>5445</v>
      </c>
      <c r="Y138" s="72" t="s">
        <v>646</v>
      </c>
      <c r="AA138" s="72" t="str">
        <f t="shared" si="27"/>
        <v>54</v>
      </c>
      <c r="AB138" s="72" t="str">
        <f t="shared" si="28"/>
        <v>544</v>
      </c>
      <c r="AD138" s="72" t="s">
        <v>1305</v>
      </c>
      <c r="AE138" s="72" t="s">
        <v>1306</v>
      </c>
      <c r="AF138" s="72" t="str">
        <f t="shared" si="29"/>
        <v>A679072</v>
      </c>
      <c r="AG138" s="72" t="str">
        <f>VLOOKUP(AF138,AKT!$C$4:$E$324,3,FALSE)</f>
        <v>0942</v>
      </c>
    </row>
    <row r="139" spans="1:33">
      <c r="A139" s="82"/>
      <c r="B139" s="77" t="str">
        <f t="shared" si="23"/>
        <v/>
      </c>
      <c r="C139" s="82"/>
      <c r="D139" s="77" t="str">
        <f t="shared" si="30"/>
        <v/>
      </c>
      <c r="E139" s="114"/>
      <c r="F139" s="77" t="str">
        <f t="shared" si="31"/>
        <v/>
      </c>
      <c r="G139" s="77" t="str">
        <f t="shared" si="32"/>
        <v/>
      </c>
      <c r="H139" s="113"/>
      <c r="I139" s="113"/>
      <c r="J139" s="113"/>
      <c r="K139" s="126"/>
      <c r="L139" s="125"/>
      <c r="M139" s="125"/>
      <c r="N139" s="126"/>
      <c r="O139" s="303"/>
      <c r="P139" s="81"/>
      <c r="R139" s="72" t="str">
        <f t="shared" si="24"/>
        <v/>
      </c>
      <c r="S139" s="72" t="str">
        <f t="shared" si="25"/>
        <v/>
      </c>
      <c r="T139" s="72" t="str">
        <f t="shared" si="26"/>
        <v/>
      </c>
      <c r="X139" s="72">
        <v>5453</v>
      </c>
      <c r="Y139" s="72" t="s">
        <v>647</v>
      </c>
      <c r="AA139" s="72" t="str">
        <f t="shared" si="27"/>
        <v>54</v>
      </c>
      <c r="AB139" s="72" t="str">
        <f t="shared" si="28"/>
        <v>545</v>
      </c>
      <c r="AD139" s="72" t="s">
        <v>1307</v>
      </c>
      <c r="AE139" s="72" t="s">
        <v>1308</v>
      </c>
      <c r="AF139" s="72" t="str">
        <f t="shared" si="29"/>
        <v>A679072</v>
      </c>
      <c r="AG139" s="72" t="str">
        <f>VLOOKUP(AF139,AKT!$C$4:$E$324,3,FALSE)</f>
        <v>0942</v>
      </c>
    </row>
    <row r="140" spans="1:33">
      <c r="A140" s="82"/>
      <c r="B140" s="77" t="str">
        <f t="shared" ref="B140:B203" si="33">IFERROR(VLOOKUP(A140,$U$6:$V$34,2,FALSE),"")</f>
        <v/>
      </c>
      <c r="C140" s="82"/>
      <c r="D140" s="77" t="str">
        <f t="shared" si="30"/>
        <v/>
      </c>
      <c r="E140" s="114"/>
      <c r="F140" s="77" t="str">
        <f t="shared" si="31"/>
        <v/>
      </c>
      <c r="G140" s="77" t="str">
        <f t="shared" si="32"/>
        <v/>
      </c>
      <c r="H140" s="113"/>
      <c r="I140" s="113"/>
      <c r="J140" s="113"/>
      <c r="K140" s="126"/>
      <c r="L140" s="125"/>
      <c r="M140" s="125"/>
      <c r="N140" s="126"/>
      <c r="O140" s="303"/>
      <c r="P140" s="81"/>
      <c r="R140" s="72" t="str">
        <f t="shared" si="24"/>
        <v/>
      </c>
      <c r="S140" s="72" t="str">
        <f t="shared" si="25"/>
        <v/>
      </c>
      <c r="T140" s="72" t="str">
        <f t="shared" si="26"/>
        <v/>
      </c>
      <c r="X140" s="72">
        <v>5472</v>
      </c>
      <c r="Y140" s="72" t="s">
        <v>648</v>
      </c>
      <c r="AA140" s="72" t="str">
        <f t="shared" si="27"/>
        <v>54</v>
      </c>
      <c r="AB140" s="72" t="str">
        <f t="shared" si="28"/>
        <v>547</v>
      </c>
      <c r="AD140" s="72" t="s">
        <v>1309</v>
      </c>
      <c r="AE140" s="72" t="s">
        <v>1310</v>
      </c>
      <c r="AF140" s="72" t="str">
        <f t="shared" si="29"/>
        <v>A679072</v>
      </c>
      <c r="AG140" s="72" t="str">
        <f>VLOOKUP(AF140,AKT!$C$4:$E$324,3,FALSE)</f>
        <v>0942</v>
      </c>
    </row>
    <row r="141" spans="1:33">
      <c r="A141" s="82"/>
      <c r="B141" s="77" t="str">
        <f t="shared" si="33"/>
        <v/>
      </c>
      <c r="C141" s="82"/>
      <c r="D141" s="77" t="str">
        <f t="shared" si="30"/>
        <v/>
      </c>
      <c r="E141" s="114"/>
      <c r="F141" s="77" t="str">
        <f t="shared" si="31"/>
        <v/>
      </c>
      <c r="G141" s="77" t="str">
        <f t="shared" si="32"/>
        <v/>
      </c>
      <c r="H141" s="113"/>
      <c r="I141" s="113"/>
      <c r="J141" s="113"/>
      <c r="K141" s="126"/>
      <c r="L141" s="125"/>
      <c r="M141" s="125"/>
      <c r="N141" s="126"/>
      <c r="O141" s="303"/>
      <c r="P141" s="81"/>
      <c r="R141" s="72" t="str">
        <f t="shared" si="24"/>
        <v/>
      </c>
      <c r="S141" s="72" t="str">
        <f t="shared" si="25"/>
        <v/>
      </c>
      <c r="T141" s="72" t="str">
        <f t="shared" si="26"/>
        <v/>
      </c>
      <c r="AD141" s="72" t="s">
        <v>1311</v>
      </c>
      <c r="AE141" s="72" t="s">
        <v>1312</v>
      </c>
      <c r="AF141" s="72" t="str">
        <f t="shared" si="29"/>
        <v>A679072</v>
      </c>
      <c r="AG141" s="72" t="str">
        <f>VLOOKUP(AF141,AKT!$C$4:$E$324,3,FALSE)</f>
        <v>0942</v>
      </c>
    </row>
    <row r="142" spans="1:33">
      <c r="A142" s="82"/>
      <c r="B142" s="77" t="str">
        <f t="shared" si="33"/>
        <v/>
      </c>
      <c r="C142" s="82"/>
      <c r="D142" s="77" t="str">
        <f t="shared" si="30"/>
        <v/>
      </c>
      <c r="E142" s="114"/>
      <c r="F142" s="77" t="str">
        <f t="shared" si="31"/>
        <v/>
      </c>
      <c r="G142" s="77" t="str">
        <f t="shared" si="32"/>
        <v/>
      </c>
      <c r="H142" s="113"/>
      <c r="I142" s="113"/>
      <c r="J142" s="113"/>
      <c r="K142" s="126"/>
      <c r="L142" s="125"/>
      <c r="M142" s="125"/>
      <c r="N142" s="126"/>
      <c r="O142" s="303"/>
      <c r="P142" s="81"/>
      <c r="R142" s="72" t="str">
        <f t="shared" si="24"/>
        <v/>
      </c>
      <c r="S142" s="72" t="str">
        <f t="shared" si="25"/>
        <v/>
      </c>
      <c r="T142" s="72" t="str">
        <f t="shared" si="26"/>
        <v/>
      </c>
      <c r="AD142" s="72" t="s">
        <v>1313</v>
      </c>
      <c r="AE142" s="72" t="s">
        <v>1314</v>
      </c>
      <c r="AF142" s="72" t="str">
        <f t="shared" si="29"/>
        <v>A679072</v>
      </c>
      <c r="AG142" s="72" t="str">
        <f>VLOOKUP(AF142,AKT!$C$4:$E$324,3,FALSE)</f>
        <v>0942</v>
      </c>
    </row>
    <row r="143" spans="1:33">
      <c r="A143" s="82"/>
      <c r="B143" s="77" t="str">
        <f t="shared" si="33"/>
        <v/>
      </c>
      <c r="C143" s="82"/>
      <c r="D143" s="77" t="str">
        <f t="shared" si="30"/>
        <v/>
      </c>
      <c r="E143" s="114"/>
      <c r="F143" s="77" t="str">
        <f t="shared" si="31"/>
        <v/>
      </c>
      <c r="G143" s="77" t="str">
        <f t="shared" si="32"/>
        <v/>
      </c>
      <c r="H143" s="113"/>
      <c r="I143" s="113"/>
      <c r="J143" s="113"/>
      <c r="K143" s="126"/>
      <c r="L143" s="125"/>
      <c r="M143" s="125"/>
      <c r="N143" s="126"/>
      <c r="O143" s="303"/>
      <c r="P143" s="81"/>
      <c r="R143" s="72" t="str">
        <f t="shared" ref="R143:R206" si="34">LEFT(C143,3)</f>
        <v/>
      </c>
      <c r="S143" s="72" t="str">
        <f t="shared" ref="S143:S206" si="35">LEFT(C143,2)</f>
        <v/>
      </c>
      <c r="T143" s="72" t="str">
        <f t="shared" ref="T143:T206" si="36">MID(G143,2,2)</f>
        <v/>
      </c>
      <c r="AD143" s="72" t="s">
        <v>1315</v>
      </c>
      <c r="AE143" s="72" t="s">
        <v>1316</v>
      </c>
      <c r="AF143" s="72" t="str">
        <f t="shared" si="29"/>
        <v>A679072</v>
      </c>
      <c r="AG143" s="72" t="str">
        <f>VLOOKUP(AF143,AKT!$C$4:$E$324,3,FALSE)</f>
        <v>0942</v>
      </c>
    </row>
    <row r="144" spans="1:33">
      <c r="A144" s="82"/>
      <c r="B144" s="77" t="str">
        <f t="shared" si="33"/>
        <v/>
      </c>
      <c r="C144" s="82"/>
      <c r="D144" s="77" t="str">
        <f t="shared" si="30"/>
        <v/>
      </c>
      <c r="E144" s="114"/>
      <c r="F144" s="77" t="str">
        <f t="shared" si="31"/>
        <v/>
      </c>
      <c r="G144" s="77" t="str">
        <f t="shared" si="32"/>
        <v/>
      </c>
      <c r="H144" s="113"/>
      <c r="I144" s="113"/>
      <c r="J144" s="113"/>
      <c r="K144" s="126"/>
      <c r="L144" s="125"/>
      <c r="M144" s="125"/>
      <c r="N144" s="126"/>
      <c r="O144" s="303"/>
      <c r="P144" s="81"/>
      <c r="R144" s="72" t="str">
        <f t="shared" si="34"/>
        <v/>
      </c>
      <c r="S144" s="72" t="str">
        <f t="shared" si="35"/>
        <v/>
      </c>
      <c r="T144" s="72" t="str">
        <f t="shared" si="36"/>
        <v/>
      </c>
      <c r="AD144" s="72" t="s">
        <v>1317</v>
      </c>
      <c r="AE144" s="72" t="s">
        <v>1318</v>
      </c>
      <c r="AF144" s="72" t="str">
        <f t="shared" si="29"/>
        <v>A679072</v>
      </c>
      <c r="AG144" s="72" t="str">
        <f>VLOOKUP(AF144,AKT!$C$4:$E$324,3,FALSE)</f>
        <v>0942</v>
      </c>
    </row>
    <row r="145" spans="1:33">
      <c r="A145" s="82"/>
      <c r="B145" s="77" t="str">
        <f t="shared" si="33"/>
        <v/>
      </c>
      <c r="C145" s="82"/>
      <c r="D145" s="77" t="str">
        <f t="shared" si="30"/>
        <v/>
      </c>
      <c r="E145" s="114"/>
      <c r="F145" s="77" t="str">
        <f t="shared" si="31"/>
        <v/>
      </c>
      <c r="G145" s="77" t="str">
        <f t="shared" si="32"/>
        <v/>
      </c>
      <c r="H145" s="113"/>
      <c r="I145" s="113"/>
      <c r="J145" s="113"/>
      <c r="K145" s="126"/>
      <c r="L145" s="125"/>
      <c r="M145" s="125"/>
      <c r="N145" s="126"/>
      <c r="O145" s="303"/>
      <c r="P145" s="81"/>
      <c r="R145" s="72" t="str">
        <f t="shared" si="34"/>
        <v/>
      </c>
      <c r="S145" s="72" t="str">
        <f t="shared" si="35"/>
        <v/>
      </c>
      <c r="T145" s="72" t="str">
        <f t="shared" si="36"/>
        <v/>
      </c>
      <c r="AD145" s="72" t="s">
        <v>1319</v>
      </c>
      <c r="AE145" s="72" t="s">
        <v>1320</v>
      </c>
      <c r="AF145" s="72" t="str">
        <f t="shared" si="29"/>
        <v>A679072</v>
      </c>
      <c r="AG145" s="72" t="str">
        <f>VLOOKUP(AF145,AKT!$C$4:$E$324,3,FALSE)</f>
        <v>0942</v>
      </c>
    </row>
    <row r="146" spans="1:33">
      <c r="A146" s="82"/>
      <c r="B146" s="77" t="str">
        <f t="shared" si="33"/>
        <v/>
      </c>
      <c r="C146" s="82"/>
      <c r="D146" s="77" t="str">
        <f t="shared" si="30"/>
        <v/>
      </c>
      <c r="E146" s="114"/>
      <c r="F146" s="77" t="str">
        <f t="shared" si="31"/>
        <v/>
      </c>
      <c r="G146" s="77" t="str">
        <f t="shared" si="32"/>
        <v/>
      </c>
      <c r="H146" s="113"/>
      <c r="I146" s="113"/>
      <c r="J146" s="113"/>
      <c r="K146" s="126"/>
      <c r="L146" s="125"/>
      <c r="M146" s="125"/>
      <c r="N146" s="126"/>
      <c r="O146" s="303"/>
      <c r="P146" s="81"/>
      <c r="R146" s="72" t="str">
        <f t="shared" si="34"/>
        <v/>
      </c>
      <c r="S146" s="72" t="str">
        <f t="shared" si="35"/>
        <v/>
      </c>
      <c r="T146" s="72" t="str">
        <f t="shared" si="36"/>
        <v/>
      </c>
      <c r="AD146" s="72" t="s">
        <v>1321</v>
      </c>
      <c r="AE146" s="72" t="s">
        <v>1322</v>
      </c>
      <c r="AF146" s="72" t="str">
        <f t="shared" si="29"/>
        <v>A679072</v>
      </c>
      <c r="AG146" s="72" t="str">
        <f>VLOOKUP(AF146,AKT!$C$4:$E$324,3,FALSE)</f>
        <v>0942</v>
      </c>
    </row>
    <row r="147" spans="1:33">
      <c r="A147" s="82"/>
      <c r="B147" s="77" t="str">
        <f t="shared" si="33"/>
        <v/>
      </c>
      <c r="C147" s="82"/>
      <c r="D147" s="77" t="str">
        <f t="shared" si="30"/>
        <v/>
      </c>
      <c r="E147" s="114"/>
      <c r="F147" s="77" t="str">
        <f t="shared" si="31"/>
        <v/>
      </c>
      <c r="G147" s="77" t="str">
        <f t="shared" si="32"/>
        <v/>
      </c>
      <c r="H147" s="113"/>
      <c r="I147" s="113"/>
      <c r="J147" s="113"/>
      <c r="K147" s="126"/>
      <c r="L147" s="125"/>
      <c r="M147" s="125"/>
      <c r="N147" s="126"/>
      <c r="O147" s="303"/>
      <c r="P147" s="81"/>
      <c r="R147" s="72" t="str">
        <f t="shared" si="34"/>
        <v/>
      </c>
      <c r="S147" s="72" t="str">
        <f t="shared" si="35"/>
        <v/>
      </c>
      <c r="T147" s="72" t="str">
        <f t="shared" si="36"/>
        <v/>
      </c>
      <c r="AD147" s="72" t="s">
        <v>1323</v>
      </c>
      <c r="AE147" s="72" t="s">
        <v>1324</v>
      </c>
      <c r="AF147" s="72" t="str">
        <f t="shared" ref="AF147:AF210" si="37">LEFT(AD147,7)</f>
        <v>A679072</v>
      </c>
      <c r="AG147" s="72" t="str">
        <f>VLOOKUP(AF147,AKT!$C$4:$E$324,3,FALSE)</f>
        <v>0942</v>
      </c>
    </row>
    <row r="148" spans="1:33">
      <c r="A148" s="82"/>
      <c r="B148" s="77" t="str">
        <f t="shared" si="33"/>
        <v/>
      </c>
      <c r="C148" s="82"/>
      <c r="D148" s="77" t="str">
        <f t="shared" si="30"/>
        <v/>
      </c>
      <c r="E148" s="114"/>
      <c r="F148" s="77" t="str">
        <f t="shared" si="31"/>
        <v/>
      </c>
      <c r="G148" s="77" t="str">
        <f t="shared" si="32"/>
        <v/>
      </c>
      <c r="H148" s="113"/>
      <c r="I148" s="113"/>
      <c r="J148" s="113"/>
      <c r="K148" s="126"/>
      <c r="L148" s="125"/>
      <c r="M148" s="125"/>
      <c r="N148" s="126"/>
      <c r="O148" s="303"/>
      <c r="P148" s="81"/>
      <c r="R148" s="72" t="str">
        <f t="shared" si="34"/>
        <v/>
      </c>
      <c r="S148" s="72" t="str">
        <f t="shared" si="35"/>
        <v/>
      </c>
      <c r="T148" s="72" t="str">
        <f t="shared" si="36"/>
        <v/>
      </c>
      <c r="AD148" s="72" t="s">
        <v>1325</v>
      </c>
      <c r="AE148" s="72" t="s">
        <v>1326</v>
      </c>
      <c r="AF148" s="72" t="str">
        <f t="shared" si="37"/>
        <v>A679072</v>
      </c>
      <c r="AG148" s="72" t="str">
        <f>VLOOKUP(AF148,AKT!$C$4:$E$324,3,FALSE)</f>
        <v>0942</v>
      </c>
    </row>
    <row r="149" spans="1:33">
      <c r="A149" s="82"/>
      <c r="B149" s="77" t="str">
        <f t="shared" si="33"/>
        <v/>
      </c>
      <c r="C149" s="82"/>
      <c r="D149" s="77" t="str">
        <f t="shared" si="30"/>
        <v/>
      </c>
      <c r="E149" s="114"/>
      <c r="F149" s="77" t="str">
        <f t="shared" si="31"/>
        <v/>
      </c>
      <c r="G149" s="77" t="str">
        <f t="shared" si="32"/>
        <v/>
      </c>
      <c r="H149" s="113"/>
      <c r="I149" s="113"/>
      <c r="J149" s="113"/>
      <c r="K149" s="126"/>
      <c r="L149" s="125"/>
      <c r="M149" s="125"/>
      <c r="N149" s="126"/>
      <c r="O149" s="303"/>
      <c r="P149" s="81"/>
      <c r="R149" s="72" t="str">
        <f t="shared" si="34"/>
        <v/>
      </c>
      <c r="S149" s="72" t="str">
        <f t="shared" si="35"/>
        <v/>
      </c>
      <c r="T149" s="72" t="str">
        <f t="shared" si="36"/>
        <v/>
      </c>
      <c r="AD149" s="72" t="s">
        <v>1327</v>
      </c>
      <c r="AE149" s="72" t="s">
        <v>1328</v>
      </c>
      <c r="AF149" s="72" t="str">
        <f t="shared" si="37"/>
        <v>A679072</v>
      </c>
      <c r="AG149" s="72" t="str">
        <f>VLOOKUP(AF149,AKT!$C$4:$E$324,3,FALSE)</f>
        <v>0942</v>
      </c>
    </row>
    <row r="150" spans="1:33">
      <c r="A150" s="82"/>
      <c r="B150" s="77" t="str">
        <f t="shared" si="33"/>
        <v/>
      </c>
      <c r="C150" s="82"/>
      <c r="D150" s="77" t="str">
        <f t="shared" si="30"/>
        <v/>
      </c>
      <c r="E150" s="114"/>
      <c r="F150" s="77" t="str">
        <f t="shared" si="31"/>
        <v/>
      </c>
      <c r="G150" s="77" t="str">
        <f t="shared" si="32"/>
        <v/>
      </c>
      <c r="H150" s="113"/>
      <c r="I150" s="113"/>
      <c r="J150" s="113"/>
      <c r="K150" s="126"/>
      <c r="L150" s="125"/>
      <c r="M150" s="125"/>
      <c r="N150" s="126"/>
      <c r="O150" s="303"/>
      <c r="P150" s="81"/>
      <c r="R150" s="72" t="str">
        <f t="shared" si="34"/>
        <v/>
      </c>
      <c r="S150" s="72" t="str">
        <f t="shared" si="35"/>
        <v/>
      </c>
      <c r="T150" s="72" t="str">
        <f t="shared" si="36"/>
        <v/>
      </c>
      <c r="AD150" s="72" t="s">
        <v>1329</v>
      </c>
      <c r="AE150" s="72" t="s">
        <v>1330</v>
      </c>
      <c r="AF150" s="72" t="str">
        <f t="shared" si="37"/>
        <v>A679072</v>
      </c>
      <c r="AG150" s="72" t="str">
        <f>VLOOKUP(AF150,AKT!$C$4:$E$324,3,FALSE)</f>
        <v>0942</v>
      </c>
    </row>
    <row r="151" spans="1:33">
      <c r="A151" s="82"/>
      <c r="B151" s="77" t="str">
        <f t="shared" si="33"/>
        <v/>
      </c>
      <c r="C151" s="82"/>
      <c r="D151" s="77" t="str">
        <f t="shared" si="30"/>
        <v/>
      </c>
      <c r="E151" s="114"/>
      <c r="F151" s="77" t="str">
        <f t="shared" si="31"/>
        <v/>
      </c>
      <c r="G151" s="77" t="str">
        <f t="shared" si="32"/>
        <v/>
      </c>
      <c r="H151" s="113"/>
      <c r="I151" s="113"/>
      <c r="J151" s="113"/>
      <c r="K151" s="126"/>
      <c r="L151" s="125"/>
      <c r="M151" s="125"/>
      <c r="N151" s="126"/>
      <c r="O151" s="303"/>
      <c r="P151" s="81"/>
      <c r="R151" s="72" t="str">
        <f t="shared" si="34"/>
        <v/>
      </c>
      <c r="S151" s="72" t="str">
        <f t="shared" si="35"/>
        <v/>
      </c>
      <c r="T151" s="72" t="str">
        <f t="shared" si="36"/>
        <v/>
      </c>
      <c r="AD151" s="72" t="s">
        <v>1331</v>
      </c>
      <c r="AE151" s="72" t="s">
        <v>1332</v>
      </c>
      <c r="AF151" s="72" t="str">
        <f t="shared" si="37"/>
        <v>A679072</v>
      </c>
      <c r="AG151" s="72" t="str">
        <f>VLOOKUP(AF151,AKT!$C$4:$E$324,3,FALSE)</f>
        <v>0942</v>
      </c>
    </row>
    <row r="152" spans="1:33">
      <c r="A152" s="82"/>
      <c r="B152" s="77" t="str">
        <f t="shared" si="33"/>
        <v/>
      </c>
      <c r="C152" s="82"/>
      <c r="D152" s="77" t="str">
        <f t="shared" si="30"/>
        <v/>
      </c>
      <c r="E152" s="114"/>
      <c r="F152" s="77" t="str">
        <f t="shared" si="31"/>
        <v/>
      </c>
      <c r="G152" s="77" t="str">
        <f t="shared" si="32"/>
        <v/>
      </c>
      <c r="H152" s="113"/>
      <c r="I152" s="113"/>
      <c r="J152" s="113"/>
      <c r="K152" s="126"/>
      <c r="L152" s="125"/>
      <c r="M152" s="125"/>
      <c r="N152" s="126"/>
      <c r="O152" s="303"/>
      <c r="P152" s="81"/>
      <c r="R152" s="72" t="str">
        <f t="shared" si="34"/>
        <v/>
      </c>
      <c r="S152" s="72" t="str">
        <f t="shared" si="35"/>
        <v/>
      </c>
      <c r="T152" s="72" t="str">
        <f t="shared" si="36"/>
        <v/>
      </c>
      <c r="AD152" s="72" t="s">
        <v>1333</v>
      </c>
      <c r="AE152" s="72" t="s">
        <v>1334</v>
      </c>
      <c r="AF152" s="72" t="str">
        <f t="shared" si="37"/>
        <v>A679072</v>
      </c>
      <c r="AG152" s="72" t="str">
        <f>VLOOKUP(AF152,AKT!$C$4:$E$324,3,FALSE)</f>
        <v>0942</v>
      </c>
    </row>
    <row r="153" spans="1:33">
      <c r="A153" s="82"/>
      <c r="B153" s="77" t="str">
        <f t="shared" si="33"/>
        <v/>
      </c>
      <c r="C153" s="82"/>
      <c r="D153" s="77" t="str">
        <f t="shared" si="30"/>
        <v/>
      </c>
      <c r="E153" s="114"/>
      <c r="F153" s="77" t="str">
        <f t="shared" si="31"/>
        <v/>
      </c>
      <c r="G153" s="77" t="str">
        <f t="shared" si="32"/>
        <v/>
      </c>
      <c r="H153" s="113"/>
      <c r="I153" s="113"/>
      <c r="J153" s="113"/>
      <c r="K153" s="126"/>
      <c r="L153" s="125"/>
      <c r="M153" s="125"/>
      <c r="N153" s="126"/>
      <c r="O153" s="303"/>
      <c r="P153" s="81"/>
      <c r="R153" s="72" t="str">
        <f t="shared" si="34"/>
        <v/>
      </c>
      <c r="S153" s="72" t="str">
        <f t="shared" si="35"/>
        <v/>
      </c>
      <c r="T153" s="72" t="str">
        <f t="shared" si="36"/>
        <v/>
      </c>
      <c r="AD153" s="72" t="s">
        <v>1335</v>
      </c>
      <c r="AE153" s="72" t="s">
        <v>1336</v>
      </c>
      <c r="AF153" s="72" t="str">
        <f t="shared" si="37"/>
        <v>A679072</v>
      </c>
      <c r="AG153" s="72" t="str">
        <f>VLOOKUP(AF153,AKT!$C$4:$E$324,3,FALSE)</f>
        <v>0942</v>
      </c>
    </row>
    <row r="154" spans="1:33">
      <c r="A154" s="82"/>
      <c r="B154" s="77" t="str">
        <f t="shared" si="33"/>
        <v/>
      </c>
      <c r="C154" s="82"/>
      <c r="D154" s="77" t="str">
        <f t="shared" si="30"/>
        <v/>
      </c>
      <c r="E154" s="114"/>
      <c r="F154" s="77" t="str">
        <f t="shared" si="31"/>
        <v/>
      </c>
      <c r="G154" s="77" t="str">
        <f t="shared" si="32"/>
        <v/>
      </c>
      <c r="H154" s="113"/>
      <c r="I154" s="113"/>
      <c r="J154" s="113"/>
      <c r="K154" s="126"/>
      <c r="L154" s="125"/>
      <c r="M154" s="125"/>
      <c r="N154" s="126"/>
      <c r="O154" s="303"/>
      <c r="P154" s="81"/>
      <c r="R154" s="72" t="str">
        <f t="shared" si="34"/>
        <v/>
      </c>
      <c r="S154" s="72" t="str">
        <f t="shared" si="35"/>
        <v/>
      </c>
      <c r="T154" s="72" t="str">
        <f t="shared" si="36"/>
        <v/>
      </c>
      <c r="AD154" s="72" t="s">
        <v>1337</v>
      </c>
      <c r="AE154" s="72" t="s">
        <v>1338</v>
      </c>
      <c r="AF154" s="72" t="str">
        <f t="shared" si="37"/>
        <v>A679072</v>
      </c>
      <c r="AG154" s="72" t="str">
        <f>VLOOKUP(AF154,AKT!$C$4:$E$324,3,FALSE)</f>
        <v>0942</v>
      </c>
    </row>
    <row r="155" spans="1:33">
      <c r="A155" s="82"/>
      <c r="B155" s="77" t="str">
        <f t="shared" si="33"/>
        <v/>
      </c>
      <c r="C155" s="82"/>
      <c r="D155" s="77" t="str">
        <f t="shared" si="30"/>
        <v/>
      </c>
      <c r="E155" s="114"/>
      <c r="F155" s="77" t="str">
        <f t="shared" si="31"/>
        <v/>
      </c>
      <c r="G155" s="77" t="str">
        <f t="shared" si="32"/>
        <v/>
      </c>
      <c r="H155" s="113"/>
      <c r="I155" s="113"/>
      <c r="J155" s="113"/>
      <c r="K155" s="126"/>
      <c r="L155" s="125"/>
      <c r="M155" s="125"/>
      <c r="N155" s="126"/>
      <c r="O155" s="303"/>
      <c r="P155" s="81"/>
      <c r="R155" s="72" t="str">
        <f t="shared" si="34"/>
        <v/>
      </c>
      <c r="S155" s="72" t="str">
        <f t="shared" si="35"/>
        <v/>
      </c>
      <c r="T155" s="72" t="str">
        <f t="shared" si="36"/>
        <v/>
      </c>
      <c r="AD155" s="72" t="s">
        <v>2066</v>
      </c>
      <c r="AE155" s="72" t="s">
        <v>2067</v>
      </c>
      <c r="AF155" s="72" t="str">
        <f t="shared" si="37"/>
        <v>A679072</v>
      </c>
      <c r="AG155" s="72" t="str">
        <f>VLOOKUP(AF155,AKT!$C$4:$E$324,3,FALSE)</f>
        <v>0942</v>
      </c>
    </row>
    <row r="156" spans="1:33">
      <c r="A156" s="82"/>
      <c r="B156" s="77" t="str">
        <f t="shared" si="33"/>
        <v/>
      </c>
      <c r="C156" s="82"/>
      <c r="D156" s="77" t="str">
        <f t="shared" si="30"/>
        <v/>
      </c>
      <c r="E156" s="114"/>
      <c r="F156" s="77" t="str">
        <f t="shared" si="31"/>
        <v/>
      </c>
      <c r="G156" s="77" t="str">
        <f t="shared" si="32"/>
        <v/>
      </c>
      <c r="H156" s="113"/>
      <c r="I156" s="113"/>
      <c r="J156" s="113"/>
      <c r="K156" s="126"/>
      <c r="L156" s="125"/>
      <c r="M156" s="125"/>
      <c r="N156" s="126"/>
      <c r="O156" s="303"/>
      <c r="P156" s="81"/>
      <c r="R156" s="72" t="str">
        <f t="shared" si="34"/>
        <v/>
      </c>
      <c r="S156" s="72" t="str">
        <f t="shared" si="35"/>
        <v/>
      </c>
      <c r="T156" s="72" t="str">
        <f t="shared" si="36"/>
        <v/>
      </c>
      <c r="AD156" s="72" t="s">
        <v>2068</v>
      </c>
      <c r="AE156" s="72" t="s">
        <v>2069</v>
      </c>
      <c r="AF156" s="72" t="str">
        <f t="shared" si="37"/>
        <v>A679072</v>
      </c>
      <c r="AG156" s="72" t="str">
        <f>VLOOKUP(AF156,AKT!$C$4:$E$324,3,FALSE)</f>
        <v>0942</v>
      </c>
    </row>
    <row r="157" spans="1:33">
      <c r="A157" s="82"/>
      <c r="B157" s="77" t="str">
        <f t="shared" si="33"/>
        <v/>
      </c>
      <c r="C157" s="82"/>
      <c r="D157" s="77" t="str">
        <f t="shared" si="30"/>
        <v/>
      </c>
      <c r="E157" s="114"/>
      <c r="F157" s="77" t="str">
        <f t="shared" si="31"/>
        <v/>
      </c>
      <c r="G157" s="77" t="str">
        <f t="shared" si="32"/>
        <v/>
      </c>
      <c r="H157" s="113"/>
      <c r="I157" s="113"/>
      <c r="J157" s="113"/>
      <c r="K157" s="126"/>
      <c r="L157" s="125"/>
      <c r="M157" s="125"/>
      <c r="N157" s="126"/>
      <c r="O157" s="303"/>
      <c r="P157" s="81"/>
      <c r="R157" s="72" t="str">
        <f t="shared" si="34"/>
        <v/>
      </c>
      <c r="S157" s="72" t="str">
        <f t="shared" si="35"/>
        <v/>
      </c>
      <c r="T157" s="72" t="str">
        <f t="shared" si="36"/>
        <v/>
      </c>
      <c r="AD157" s="72" t="s">
        <v>2070</v>
      </c>
      <c r="AE157" s="72" t="s">
        <v>2071</v>
      </c>
      <c r="AF157" s="72" t="str">
        <f t="shared" si="37"/>
        <v>A679072</v>
      </c>
      <c r="AG157" s="72" t="str">
        <f>VLOOKUP(AF157,AKT!$C$4:$E$324,3,FALSE)</f>
        <v>0942</v>
      </c>
    </row>
    <row r="158" spans="1:33">
      <c r="A158" s="82"/>
      <c r="B158" s="77" t="str">
        <f t="shared" si="33"/>
        <v/>
      </c>
      <c r="C158" s="82"/>
      <c r="D158" s="77" t="str">
        <f t="shared" si="30"/>
        <v/>
      </c>
      <c r="E158" s="114"/>
      <c r="F158" s="77" t="str">
        <f t="shared" si="31"/>
        <v/>
      </c>
      <c r="G158" s="77" t="str">
        <f t="shared" si="32"/>
        <v/>
      </c>
      <c r="H158" s="113"/>
      <c r="I158" s="113"/>
      <c r="J158" s="113"/>
      <c r="K158" s="126"/>
      <c r="L158" s="125"/>
      <c r="M158" s="125"/>
      <c r="N158" s="126"/>
      <c r="O158" s="303"/>
      <c r="P158" s="81"/>
      <c r="R158" s="72" t="str">
        <f t="shared" si="34"/>
        <v/>
      </c>
      <c r="S158" s="72" t="str">
        <f t="shared" si="35"/>
        <v/>
      </c>
      <c r="T158" s="72" t="str">
        <f t="shared" si="36"/>
        <v/>
      </c>
      <c r="AD158" s="72" t="s">
        <v>2072</v>
      </c>
      <c r="AE158" s="72" t="s">
        <v>2073</v>
      </c>
      <c r="AF158" s="72" t="str">
        <f t="shared" si="37"/>
        <v>A679072</v>
      </c>
      <c r="AG158" s="72" t="str">
        <f>VLOOKUP(AF158,AKT!$C$4:$E$324,3,FALSE)</f>
        <v>0942</v>
      </c>
    </row>
    <row r="159" spans="1:33">
      <c r="A159" s="82"/>
      <c r="B159" s="77" t="str">
        <f t="shared" si="33"/>
        <v/>
      </c>
      <c r="C159" s="82"/>
      <c r="D159" s="77" t="str">
        <f t="shared" si="30"/>
        <v/>
      </c>
      <c r="E159" s="114"/>
      <c r="F159" s="77" t="str">
        <f t="shared" si="31"/>
        <v/>
      </c>
      <c r="G159" s="77" t="str">
        <f t="shared" si="32"/>
        <v/>
      </c>
      <c r="H159" s="113"/>
      <c r="I159" s="113"/>
      <c r="J159" s="113"/>
      <c r="K159" s="126"/>
      <c r="L159" s="125"/>
      <c r="M159" s="125"/>
      <c r="N159" s="126"/>
      <c r="O159" s="303"/>
      <c r="P159" s="81"/>
      <c r="R159" s="72" t="str">
        <f t="shared" si="34"/>
        <v/>
      </c>
      <c r="S159" s="72" t="str">
        <f t="shared" si="35"/>
        <v/>
      </c>
      <c r="T159" s="72" t="str">
        <f t="shared" si="36"/>
        <v/>
      </c>
      <c r="AD159" s="72" t="s">
        <v>2074</v>
      </c>
      <c r="AE159" s="72" t="s">
        <v>2075</v>
      </c>
      <c r="AF159" s="72" t="str">
        <f t="shared" si="37"/>
        <v>A679072</v>
      </c>
      <c r="AG159" s="72" t="str">
        <f>VLOOKUP(AF159,AKT!$C$4:$E$324,3,FALSE)</f>
        <v>0942</v>
      </c>
    </row>
    <row r="160" spans="1:33">
      <c r="A160" s="82"/>
      <c r="B160" s="77" t="str">
        <f t="shared" si="33"/>
        <v/>
      </c>
      <c r="C160" s="82"/>
      <c r="D160" s="77" t="str">
        <f t="shared" si="30"/>
        <v/>
      </c>
      <c r="E160" s="114"/>
      <c r="F160" s="77" t="str">
        <f t="shared" si="31"/>
        <v/>
      </c>
      <c r="G160" s="77" t="str">
        <f t="shared" si="32"/>
        <v/>
      </c>
      <c r="H160" s="113"/>
      <c r="I160" s="113"/>
      <c r="J160" s="113"/>
      <c r="K160" s="126"/>
      <c r="L160" s="125"/>
      <c r="M160" s="125"/>
      <c r="N160" s="126"/>
      <c r="O160" s="303"/>
      <c r="P160" s="81"/>
      <c r="R160" s="72" t="str">
        <f t="shared" si="34"/>
        <v/>
      </c>
      <c r="S160" s="72" t="str">
        <f t="shared" si="35"/>
        <v/>
      </c>
      <c r="T160" s="72" t="str">
        <f t="shared" si="36"/>
        <v/>
      </c>
      <c r="AD160" s="72" t="s">
        <v>2076</v>
      </c>
      <c r="AE160" s="72" t="s">
        <v>2077</v>
      </c>
      <c r="AF160" s="72" t="str">
        <f t="shared" si="37"/>
        <v>A679072</v>
      </c>
      <c r="AG160" s="72" t="str">
        <f>VLOOKUP(AF160,AKT!$C$4:$E$324,3,FALSE)</f>
        <v>0942</v>
      </c>
    </row>
    <row r="161" spans="1:33">
      <c r="A161" s="82"/>
      <c r="B161" s="77" t="str">
        <f t="shared" si="33"/>
        <v/>
      </c>
      <c r="C161" s="82"/>
      <c r="D161" s="77" t="str">
        <f t="shared" si="30"/>
        <v/>
      </c>
      <c r="E161" s="114"/>
      <c r="F161" s="77" t="str">
        <f t="shared" si="31"/>
        <v/>
      </c>
      <c r="G161" s="77" t="str">
        <f t="shared" si="32"/>
        <v/>
      </c>
      <c r="H161" s="113"/>
      <c r="I161" s="113"/>
      <c r="J161" s="113"/>
      <c r="K161" s="126"/>
      <c r="L161" s="125"/>
      <c r="M161" s="125"/>
      <c r="N161" s="126"/>
      <c r="O161" s="303"/>
      <c r="P161" s="81"/>
      <c r="R161" s="72" t="str">
        <f t="shared" si="34"/>
        <v/>
      </c>
      <c r="S161" s="72" t="str">
        <f t="shared" si="35"/>
        <v/>
      </c>
      <c r="T161" s="72" t="str">
        <f t="shared" si="36"/>
        <v/>
      </c>
      <c r="AD161" s="72" t="s">
        <v>2078</v>
      </c>
      <c r="AE161" s="72" t="s">
        <v>2079</v>
      </c>
      <c r="AF161" s="72" t="str">
        <f t="shared" si="37"/>
        <v>A679072</v>
      </c>
      <c r="AG161" s="72" t="str">
        <f>VLOOKUP(AF161,AKT!$C$4:$E$324,3,FALSE)</f>
        <v>0942</v>
      </c>
    </row>
    <row r="162" spans="1:33">
      <c r="A162" s="82"/>
      <c r="B162" s="77" t="str">
        <f t="shared" si="33"/>
        <v/>
      </c>
      <c r="C162" s="82"/>
      <c r="D162" s="77" t="str">
        <f t="shared" si="30"/>
        <v/>
      </c>
      <c r="E162" s="114"/>
      <c r="F162" s="77" t="str">
        <f t="shared" si="31"/>
        <v/>
      </c>
      <c r="G162" s="77" t="str">
        <f t="shared" si="32"/>
        <v/>
      </c>
      <c r="H162" s="113"/>
      <c r="I162" s="113"/>
      <c r="J162" s="113"/>
      <c r="K162" s="126"/>
      <c r="L162" s="125"/>
      <c r="M162" s="125"/>
      <c r="N162" s="126"/>
      <c r="O162" s="303"/>
      <c r="P162" s="81"/>
      <c r="R162" s="72" t="str">
        <f t="shared" si="34"/>
        <v/>
      </c>
      <c r="S162" s="72" t="str">
        <f t="shared" si="35"/>
        <v/>
      </c>
      <c r="T162" s="72" t="str">
        <f t="shared" si="36"/>
        <v/>
      </c>
      <c r="AD162" s="72" t="s">
        <v>2080</v>
      </c>
      <c r="AE162" s="72" t="s">
        <v>2081</v>
      </c>
      <c r="AF162" s="72" t="str">
        <f t="shared" si="37"/>
        <v>A679072</v>
      </c>
      <c r="AG162" s="72" t="str">
        <f>VLOOKUP(AF162,AKT!$C$4:$E$324,3,FALSE)</f>
        <v>0942</v>
      </c>
    </row>
    <row r="163" spans="1:33">
      <c r="A163" s="82"/>
      <c r="B163" s="77" t="str">
        <f t="shared" si="33"/>
        <v/>
      </c>
      <c r="C163" s="82"/>
      <c r="D163" s="77" t="str">
        <f t="shared" si="30"/>
        <v/>
      </c>
      <c r="E163" s="114"/>
      <c r="F163" s="77" t="str">
        <f t="shared" si="31"/>
        <v/>
      </c>
      <c r="G163" s="77" t="str">
        <f t="shared" si="32"/>
        <v/>
      </c>
      <c r="H163" s="113"/>
      <c r="I163" s="113"/>
      <c r="J163" s="113"/>
      <c r="K163" s="126"/>
      <c r="L163" s="125"/>
      <c r="M163" s="125"/>
      <c r="N163" s="126"/>
      <c r="O163" s="303"/>
      <c r="P163" s="81"/>
      <c r="R163" s="72" t="str">
        <f t="shared" si="34"/>
        <v/>
      </c>
      <c r="S163" s="72" t="str">
        <f t="shared" si="35"/>
        <v/>
      </c>
      <c r="T163" s="72" t="str">
        <f t="shared" si="36"/>
        <v/>
      </c>
      <c r="AD163" s="72" t="s">
        <v>2082</v>
      </c>
      <c r="AE163" s="72" t="s">
        <v>2083</v>
      </c>
      <c r="AF163" s="72" t="str">
        <f t="shared" si="37"/>
        <v>A679072</v>
      </c>
      <c r="AG163" s="72" t="str">
        <f>VLOOKUP(AF163,AKT!$C$4:$E$324,3,FALSE)</f>
        <v>0942</v>
      </c>
    </row>
    <row r="164" spans="1:33">
      <c r="A164" s="82"/>
      <c r="B164" s="77" t="str">
        <f t="shared" si="33"/>
        <v/>
      </c>
      <c r="C164" s="82"/>
      <c r="D164" s="77" t="str">
        <f t="shared" si="30"/>
        <v/>
      </c>
      <c r="E164" s="114"/>
      <c r="F164" s="77" t="str">
        <f t="shared" si="31"/>
        <v/>
      </c>
      <c r="G164" s="77" t="str">
        <f t="shared" si="32"/>
        <v/>
      </c>
      <c r="H164" s="113"/>
      <c r="I164" s="113"/>
      <c r="J164" s="113"/>
      <c r="K164" s="126"/>
      <c r="L164" s="125"/>
      <c r="M164" s="125"/>
      <c r="N164" s="126"/>
      <c r="O164" s="303"/>
      <c r="P164" s="81"/>
      <c r="R164" s="72" t="str">
        <f t="shared" si="34"/>
        <v/>
      </c>
      <c r="S164" s="72" t="str">
        <f t="shared" si="35"/>
        <v/>
      </c>
      <c r="T164" s="72" t="str">
        <f t="shared" si="36"/>
        <v/>
      </c>
      <c r="AD164" s="72" t="s">
        <v>2084</v>
      </c>
      <c r="AE164" s="72" t="s">
        <v>2085</v>
      </c>
      <c r="AF164" s="72" t="str">
        <f t="shared" si="37"/>
        <v>A679072</v>
      </c>
      <c r="AG164" s="72" t="str">
        <f>VLOOKUP(AF164,AKT!$C$4:$E$324,3,FALSE)</f>
        <v>0942</v>
      </c>
    </row>
    <row r="165" spans="1:33">
      <c r="A165" s="82"/>
      <c r="B165" s="77" t="str">
        <f t="shared" si="33"/>
        <v/>
      </c>
      <c r="C165" s="82"/>
      <c r="D165" s="77" t="str">
        <f t="shared" si="30"/>
        <v/>
      </c>
      <c r="E165" s="114"/>
      <c r="F165" s="77" t="str">
        <f t="shared" si="31"/>
        <v/>
      </c>
      <c r="G165" s="77" t="str">
        <f t="shared" si="32"/>
        <v/>
      </c>
      <c r="H165" s="113"/>
      <c r="I165" s="113"/>
      <c r="J165" s="113"/>
      <c r="K165" s="126"/>
      <c r="L165" s="125"/>
      <c r="M165" s="125"/>
      <c r="N165" s="126"/>
      <c r="O165" s="303"/>
      <c r="P165" s="81"/>
      <c r="R165" s="72" t="str">
        <f t="shared" si="34"/>
        <v/>
      </c>
      <c r="S165" s="72" t="str">
        <f t="shared" si="35"/>
        <v/>
      </c>
      <c r="T165" s="72" t="str">
        <f t="shared" si="36"/>
        <v/>
      </c>
      <c r="AD165" s="72" t="s">
        <v>2086</v>
      </c>
      <c r="AE165" s="72" t="s">
        <v>2029</v>
      </c>
      <c r="AF165" s="72" t="str">
        <f t="shared" si="37"/>
        <v>A679072</v>
      </c>
      <c r="AG165" s="72" t="str">
        <f>VLOOKUP(AF165,AKT!$C$4:$E$324,3,FALSE)</f>
        <v>0942</v>
      </c>
    </row>
    <row r="166" spans="1:33">
      <c r="A166" s="82"/>
      <c r="B166" s="77" t="str">
        <f t="shared" si="33"/>
        <v/>
      </c>
      <c r="C166" s="82"/>
      <c r="D166" s="77" t="str">
        <f t="shared" si="30"/>
        <v/>
      </c>
      <c r="E166" s="114"/>
      <c r="F166" s="77" t="str">
        <f t="shared" si="31"/>
        <v/>
      </c>
      <c r="G166" s="77" t="str">
        <f t="shared" si="32"/>
        <v/>
      </c>
      <c r="H166" s="113"/>
      <c r="I166" s="113"/>
      <c r="J166" s="113"/>
      <c r="K166" s="126"/>
      <c r="L166" s="125"/>
      <c r="M166" s="125"/>
      <c r="N166" s="126"/>
      <c r="O166" s="303"/>
      <c r="P166" s="81"/>
      <c r="R166" s="72" t="str">
        <f t="shared" si="34"/>
        <v/>
      </c>
      <c r="S166" s="72" t="str">
        <f t="shared" si="35"/>
        <v/>
      </c>
      <c r="T166" s="72" t="str">
        <f t="shared" si="36"/>
        <v/>
      </c>
      <c r="AD166" s="72" t="s">
        <v>2087</v>
      </c>
      <c r="AE166" s="72" t="s">
        <v>2088</v>
      </c>
      <c r="AF166" s="72" t="str">
        <f t="shared" si="37"/>
        <v>A679072</v>
      </c>
      <c r="AG166" s="72" t="str">
        <f>VLOOKUP(AF166,AKT!$C$4:$E$324,3,FALSE)</f>
        <v>0942</v>
      </c>
    </row>
    <row r="167" spans="1:33">
      <c r="A167" s="82"/>
      <c r="B167" s="77" t="str">
        <f t="shared" si="33"/>
        <v/>
      </c>
      <c r="C167" s="82"/>
      <c r="D167" s="77" t="str">
        <f t="shared" si="30"/>
        <v/>
      </c>
      <c r="E167" s="114"/>
      <c r="F167" s="77" t="str">
        <f t="shared" si="31"/>
        <v/>
      </c>
      <c r="G167" s="77" t="str">
        <f t="shared" si="32"/>
        <v/>
      </c>
      <c r="H167" s="113"/>
      <c r="I167" s="113"/>
      <c r="J167" s="113"/>
      <c r="K167" s="126"/>
      <c r="L167" s="125"/>
      <c r="M167" s="125"/>
      <c r="N167" s="126"/>
      <c r="O167" s="303"/>
      <c r="P167" s="81"/>
      <c r="R167" s="72" t="str">
        <f t="shared" si="34"/>
        <v/>
      </c>
      <c r="S167" s="72" t="str">
        <f t="shared" si="35"/>
        <v/>
      </c>
      <c r="T167" s="72" t="str">
        <f t="shared" si="36"/>
        <v/>
      </c>
      <c r="AD167" s="72" t="s">
        <v>2089</v>
      </c>
      <c r="AE167" s="72" t="s">
        <v>2090</v>
      </c>
      <c r="AF167" s="72" t="str">
        <f t="shared" si="37"/>
        <v>A679072</v>
      </c>
      <c r="AG167" s="72" t="str">
        <f>VLOOKUP(AF167,AKT!$C$4:$E$324,3,FALSE)</f>
        <v>0942</v>
      </c>
    </row>
    <row r="168" spans="1:33">
      <c r="A168" s="82"/>
      <c r="B168" s="77" t="str">
        <f t="shared" si="33"/>
        <v/>
      </c>
      <c r="C168" s="82"/>
      <c r="D168" s="77" t="str">
        <f t="shared" si="30"/>
        <v/>
      </c>
      <c r="E168" s="114"/>
      <c r="F168" s="77" t="str">
        <f t="shared" si="31"/>
        <v/>
      </c>
      <c r="G168" s="77" t="str">
        <f t="shared" si="32"/>
        <v/>
      </c>
      <c r="H168" s="113"/>
      <c r="I168" s="113"/>
      <c r="J168" s="113"/>
      <c r="K168" s="126"/>
      <c r="L168" s="125"/>
      <c r="M168" s="125"/>
      <c r="N168" s="126"/>
      <c r="O168" s="303"/>
      <c r="P168" s="81"/>
      <c r="R168" s="72" t="str">
        <f t="shared" si="34"/>
        <v/>
      </c>
      <c r="S168" s="72" t="str">
        <f t="shared" si="35"/>
        <v/>
      </c>
      <c r="T168" s="72" t="str">
        <f t="shared" si="36"/>
        <v/>
      </c>
      <c r="AD168" s="72" t="s">
        <v>2091</v>
      </c>
      <c r="AE168" s="72" t="s">
        <v>2092</v>
      </c>
      <c r="AF168" s="72" t="str">
        <f t="shared" si="37"/>
        <v>A679072</v>
      </c>
      <c r="AG168" s="72" t="str">
        <f>VLOOKUP(AF168,AKT!$C$4:$E$324,3,FALSE)</f>
        <v>0942</v>
      </c>
    </row>
    <row r="169" spans="1:33">
      <c r="A169" s="82"/>
      <c r="B169" s="77" t="str">
        <f t="shared" si="33"/>
        <v/>
      </c>
      <c r="C169" s="82"/>
      <c r="D169" s="77" t="str">
        <f t="shared" si="30"/>
        <v/>
      </c>
      <c r="E169" s="114"/>
      <c r="F169" s="77" t="str">
        <f t="shared" si="31"/>
        <v/>
      </c>
      <c r="G169" s="77" t="str">
        <f t="shared" si="32"/>
        <v/>
      </c>
      <c r="H169" s="113"/>
      <c r="I169" s="113"/>
      <c r="J169" s="113"/>
      <c r="K169" s="126"/>
      <c r="L169" s="125"/>
      <c r="M169" s="125"/>
      <c r="N169" s="126"/>
      <c r="O169" s="303"/>
      <c r="P169" s="81"/>
      <c r="R169" s="72" t="str">
        <f t="shared" si="34"/>
        <v/>
      </c>
      <c r="S169" s="72" t="str">
        <f t="shared" si="35"/>
        <v/>
      </c>
      <c r="T169" s="72" t="str">
        <f t="shared" si="36"/>
        <v/>
      </c>
      <c r="AD169" s="72" t="s">
        <v>2093</v>
      </c>
      <c r="AE169" s="72" t="s">
        <v>2094</v>
      </c>
      <c r="AF169" s="72" t="str">
        <f t="shared" si="37"/>
        <v>A679072</v>
      </c>
      <c r="AG169" s="72" t="str">
        <f>VLOOKUP(AF169,AKT!$C$4:$E$324,3,FALSE)</f>
        <v>0942</v>
      </c>
    </row>
    <row r="170" spans="1:33">
      <c r="A170" s="82"/>
      <c r="B170" s="77" t="str">
        <f t="shared" si="33"/>
        <v/>
      </c>
      <c r="C170" s="82"/>
      <c r="D170" s="77" t="str">
        <f t="shared" si="30"/>
        <v/>
      </c>
      <c r="E170" s="114"/>
      <c r="F170" s="77" t="str">
        <f t="shared" si="31"/>
        <v/>
      </c>
      <c r="G170" s="77" t="str">
        <f t="shared" si="32"/>
        <v/>
      </c>
      <c r="H170" s="113"/>
      <c r="I170" s="113"/>
      <c r="J170" s="113"/>
      <c r="K170" s="126"/>
      <c r="L170" s="125"/>
      <c r="M170" s="125"/>
      <c r="N170" s="126"/>
      <c r="O170" s="303"/>
      <c r="P170" s="81"/>
      <c r="R170" s="72" t="str">
        <f t="shared" si="34"/>
        <v/>
      </c>
      <c r="S170" s="72" t="str">
        <f t="shared" si="35"/>
        <v/>
      </c>
      <c r="T170" s="72" t="str">
        <f t="shared" si="36"/>
        <v/>
      </c>
      <c r="AD170" s="72" t="s">
        <v>2095</v>
      </c>
      <c r="AE170" s="72" t="s">
        <v>2096</v>
      </c>
      <c r="AF170" s="72" t="str">
        <f t="shared" si="37"/>
        <v>A679072</v>
      </c>
      <c r="AG170" s="72" t="str">
        <f>VLOOKUP(AF170,AKT!$C$4:$E$324,3,FALSE)</f>
        <v>0942</v>
      </c>
    </row>
    <row r="171" spans="1:33">
      <c r="A171" s="82"/>
      <c r="B171" s="77" t="str">
        <f t="shared" si="33"/>
        <v/>
      </c>
      <c r="C171" s="82"/>
      <c r="D171" s="77" t="str">
        <f t="shared" si="30"/>
        <v/>
      </c>
      <c r="E171" s="114"/>
      <c r="F171" s="77" t="str">
        <f t="shared" si="31"/>
        <v/>
      </c>
      <c r="G171" s="77" t="str">
        <f t="shared" si="32"/>
        <v/>
      </c>
      <c r="H171" s="113"/>
      <c r="I171" s="113"/>
      <c r="J171" s="113"/>
      <c r="K171" s="126"/>
      <c r="L171" s="125"/>
      <c r="M171" s="125"/>
      <c r="N171" s="126"/>
      <c r="O171" s="303"/>
      <c r="P171" s="81"/>
      <c r="R171" s="72" t="str">
        <f t="shared" si="34"/>
        <v/>
      </c>
      <c r="S171" s="72" t="str">
        <f t="shared" si="35"/>
        <v/>
      </c>
      <c r="T171" s="72" t="str">
        <f t="shared" si="36"/>
        <v/>
      </c>
      <c r="AD171" s="72" t="s">
        <v>2097</v>
      </c>
      <c r="AE171" s="72" t="s">
        <v>2098</v>
      </c>
      <c r="AF171" s="72" t="str">
        <f t="shared" si="37"/>
        <v>A679072</v>
      </c>
      <c r="AG171" s="72" t="str">
        <f>VLOOKUP(AF171,AKT!$C$4:$E$324,3,FALSE)</f>
        <v>0942</v>
      </c>
    </row>
    <row r="172" spans="1:33">
      <c r="A172" s="82"/>
      <c r="B172" s="77" t="str">
        <f t="shared" si="33"/>
        <v/>
      </c>
      <c r="C172" s="82"/>
      <c r="D172" s="77" t="str">
        <f t="shared" si="30"/>
        <v/>
      </c>
      <c r="E172" s="114"/>
      <c r="F172" s="77" t="str">
        <f t="shared" si="31"/>
        <v/>
      </c>
      <c r="G172" s="77" t="str">
        <f t="shared" si="32"/>
        <v/>
      </c>
      <c r="H172" s="113"/>
      <c r="I172" s="113"/>
      <c r="J172" s="113"/>
      <c r="K172" s="126"/>
      <c r="L172" s="125"/>
      <c r="M172" s="125"/>
      <c r="N172" s="126"/>
      <c r="O172" s="303"/>
      <c r="P172" s="81"/>
      <c r="R172" s="72" t="str">
        <f t="shared" si="34"/>
        <v/>
      </c>
      <c r="S172" s="72" t="str">
        <f t="shared" si="35"/>
        <v/>
      </c>
      <c r="T172" s="72" t="str">
        <f t="shared" si="36"/>
        <v/>
      </c>
      <c r="AD172" s="72" t="s">
        <v>2099</v>
      </c>
      <c r="AE172" s="72" t="s">
        <v>2100</v>
      </c>
      <c r="AF172" s="72" t="str">
        <f t="shared" si="37"/>
        <v>A679072</v>
      </c>
      <c r="AG172" s="72" t="str">
        <f>VLOOKUP(AF172,AKT!$C$4:$E$324,3,FALSE)</f>
        <v>0942</v>
      </c>
    </row>
    <row r="173" spans="1:33">
      <c r="A173" s="82"/>
      <c r="B173" s="77" t="str">
        <f t="shared" si="33"/>
        <v/>
      </c>
      <c r="C173" s="82"/>
      <c r="D173" s="77" t="str">
        <f t="shared" si="30"/>
        <v/>
      </c>
      <c r="E173" s="114"/>
      <c r="F173" s="77" t="str">
        <f t="shared" si="31"/>
        <v/>
      </c>
      <c r="G173" s="77" t="str">
        <f t="shared" si="32"/>
        <v/>
      </c>
      <c r="H173" s="113"/>
      <c r="I173" s="113"/>
      <c r="J173" s="113"/>
      <c r="K173" s="126"/>
      <c r="L173" s="125"/>
      <c r="M173" s="125"/>
      <c r="N173" s="126"/>
      <c r="O173" s="303"/>
      <c r="P173" s="81"/>
      <c r="R173" s="72" t="str">
        <f t="shared" si="34"/>
        <v/>
      </c>
      <c r="S173" s="72" t="str">
        <f t="shared" si="35"/>
        <v/>
      </c>
      <c r="T173" s="72" t="str">
        <f t="shared" si="36"/>
        <v/>
      </c>
      <c r="AD173" s="72" t="s">
        <v>2101</v>
      </c>
      <c r="AE173" s="72" t="s">
        <v>2102</v>
      </c>
      <c r="AF173" s="72" t="str">
        <f t="shared" si="37"/>
        <v>A679072</v>
      </c>
      <c r="AG173" s="72" t="str">
        <f>VLOOKUP(AF173,AKT!$C$4:$E$324,3,FALSE)</f>
        <v>0942</v>
      </c>
    </row>
    <row r="174" spans="1:33">
      <c r="A174" s="82"/>
      <c r="B174" s="77" t="str">
        <f t="shared" si="33"/>
        <v/>
      </c>
      <c r="C174" s="82"/>
      <c r="D174" s="77" t="str">
        <f t="shared" si="30"/>
        <v/>
      </c>
      <c r="E174" s="114"/>
      <c r="F174" s="77" t="str">
        <f t="shared" si="31"/>
        <v/>
      </c>
      <c r="G174" s="77" t="str">
        <f t="shared" si="32"/>
        <v/>
      </c>
      <c r="H174" s="113"/>
      <c r="I174" s="113"/>
      <c r="J174" s="113"/>
      <c r="K174" s="126"/>
      <c r="L174" s="125"/>
      <c r="M174" s="125"/>
      <c r="N174" s="126"/>
      <c r="O174" s="303"/>
      <c r="P174" s="81"/>
      <c r="R174" s="72" t="str">
        <f t="shared" si="34"/>
        <v/>
      </c>
      <c r="S174" s="72" t="str">
        <f t="shared" si="35"/>
        <v/>
      </c>
      <c r="T174" s="72" t="str">
        <f t="shared" si="36"/>
        <v/>
      </c>
      <c r="AD174" s="72" t="s">
        <v>2103</v>
      </c>
      <c r="AE174" s="72" t="s">
        <v>2104</v>
      </c>
      <c r="AF174" s="72" t="str">
        <f t="shared" si="37"/>
        <v>A679072</v>
      </c>
      <c r="AG174" s="72" t="str">
        <f>VLOOKUP(AF174,AKT!$C$4:$E$324,3,FALSE)</f>
        <v>0942</v>
      </c>
    </row>
    <row r="175" spans="1:33">
      <c r="A175" s="82"/>
      <c r="B175" s="77" t="str">
        <f t="shared" si="33"/>
        <v/>
      </c>
      <c r="C175" s="82"/>
      <c r="D175" s="77" t="str">
        <f t="shared" si="30"/>
        <v/>
      </c>
      <c r="E175" s="114"/>
      <c r="F175" s="77" t="str">
        <f t="shared" si="31"/>
        <v/>
      </c>
      <c r="G175" s="77" t="str">
        <f t="shared" si="32"/>
        <v/>
      </c>
      <c r="H175" s="113"/>
      <c r="I175" s="113"/>
      <c r="J175" s="113"/>
      <c r="K175" s="126"/>
      <c r="L175" s="125"/>
      <c r="M175" s="125"/>
      <c r="N175" s="126"/>
      <c r="O175" s="303"/>
      <c r="P175" s="81"/>
      <c r="R175" s="72" t="str">
        <f t="shared" si="34"/>
        <v/>
      </c>
      <c r="S175" s="72" t="str">
        <f t="shared" si="35"/>
        <v/>
      </c>
      <c r="T175" s="72" t="str">
        <f t="shared" si="36"/>
        <v/>
      </c>
      <c r="AD175" s="72" t="s">
        <v>2105</v>
      </c>
      <c r="AE175" s="72" t="s">
        <v>2106</v>
      </c>
      <c r="AF175" s="72" t="str">
        <f t="shared" si="37"/>
        <v>A679072</v>
      </c>
      <c r="AG175" s="72" t="str">
        <f>VLOOKUP(AF175,AKT!$C$4:$E$324,3,FALSE)</f>
        <v>0942</v>
      </c>
    </row>
    <row r="176" spans="1:33">
      <c r="A176" s="82"/>
      <c r="B176" s="77" t="str">
        <f t="shared" si="33"/>
        <v/>
      </c>
      <c r="C176" s="82"/>
      <c r="D176" s="77" t="str">
        <f t="shared" si="30"/>
        <v/>
      </c>
      <c r="E176" s="114"/>
      <c r="F176" s="77" t="str">
        <f t="shared" si="31"/>
        <v/>
      </c>
      <c r="G176" s="77" t="str">
        <f t="shared" si="32"/>
        <v/>
      </c>
      <c r="H176" s="113"/>
      <c r="I176" s="113"/>
      <c r="J176" s="113"/>
      <c r="K176" s="126"/>
      <c r="L176" s="125"/>
      <c r="M176" s="125"/>
      <c r="N176" s="126"/>
      <c r="O176" s="303"/>
      <c r="P176" s="81"/>
      <c r="R176" s="72" t="str">
        <f t="shared" si="34"/>
        <v/>
      </c>
      <c r="S176" s="72" t="str">
        <f t="shared" si="35"/>
        <v/>
      </c>
      <c r="T176" s="72" t="str">
        <f t="shared" si="36"/>
        <v/>
      </c>
      <c r="AD176" s="72" t="s">
        <v>2107</v>
      </c>
      <c r="AE176" s="72" t="s">
        <v>2108</v>
      </c>
      <c r="AF176" s="72" t="str">
        <f t="shared" si="37"/>
        <v>A679072</v>
      </c>
      <c r="AG176" s="72" t="str">
        <f>VLOOKUP(AF176,AKT!$C$4:$E$324,3,FALSE)</f>
        <v>0942</v>
      </c>
    </row>
    <row r="177" spans="1:33">
      <c r="A177" s="82"/>
      <c r="B177" s="77" t="str">
        <f t="shared" si="33"/>
        <v/>
      </c>
      <c r="C177" s="82"/>
      <c r="D177" s="77" t="str">
        <f t="shared" si="30"/>
        <v/>
      </c>
      <c r="E177" s="114"/>
      <c r="F177" s="77" t="str">
        <f t="shared" si="31"/>
        <v/>
      </c>
      <c r="G177" s="77" t="str">
        <f t="shared" si="32"/>
        <v/>
      </c>
      <c r="H177" s="113"/>
      <c r="I177" s="113"/>
      <c r="J177" s="113"/>
      <c r="K177" s="126"/>
      <c r="L177" s="125"/>
      <c r="M177" s="125"/>
      <c r="N177" s="126"/>
      <c r="O177" s="303"/>
      <c r="P177" s="81"/>
      <c r="R177" s="72" t="str">
        <f t="shared" si="34"/>
        <v/>
      </c>
      <c r="S177" s="72" t="str">
        <f t="shared" si="35"/>
        <v/>
      </c>
      <c r="T177" s="72" t="str">
        <f t="shared" si="36"/>
        <v/>
      </c>
      <c r="AD177" s="72" t="s">
        <v>2109</v>
      </c>
      <c r="AE177" s="72" t="s">
        <v>2110</v>
      </c>
      <c r="AF177" s="72" t="str">
        <f t="shared" si="37"/>
        <v>A679072</v>
      </c>
      <c r="AG177" s="72" t="str">
        <f>VLOOKUP(AF177,AKT!$C$4:$E$324,3,FALSE)</f>
        <v>0942</v>
      </c>
    </row>
    <row r="178" spans="1:33">
      <c r="A178" s="82"/>
      <c r="B178" s="77" t="str">
        <f t="shared" si="33"/>
        <v/>
      </c>
      <c r="C178" s="82"/>
      <c r="D178" s="77" t="str">
        <f t="shared" si="30"/>
        <v/>
      </c>
      <c r="E178" s="114"/>
      <c r="F178" s="77" t="str">
        <f t="shared" si="31"/>
        <v/>
      </c>
      <c r="G178" s="77" t="str">
        <f t="shared" si="32"/>
        <v/>
      </c>
      <c r="H178" s="113"/>
      <c r="I178" s="113"/>
      <c r="J178" s="113"/>
      <c r="K178" s="126"/>
      <c r="L178" s="125"/>
      <c r="M178" s="125"/>
      <c r="N178" s="126"/>
      <c r="O178" s="303"/>
      <c r="P178" s="81"/>
      <c r="R178" s="72" t="str">
        <f t="shared" si="34"/>
        <v/>
      </c>
      <c r="S178" s="72" t="str">
        <f t="shared" si="35"/>
        <v/>
      </c>
      <c r="T178" s="72" t="str">
        <f t="shared" si="36"/>
        <v/>
      </c>
      <c r="AD178" s="72" t="s">
        <v>2111</v>
      </c>
      <c r="AE178" s="72" t="s">
        <v>2112</v>
      </c>
      <c r="AF178" s="72" t="str">
        <f t="shared" si="37"/>
        <v>A679072</v>
      </c>
      <c r="AG178" s="72" t="str">
        <f>VLOOKUP(AF178,AKT!$C$4:$E$324,3,FALSE)</f>
        <v>0942</v>
      </c>
    </row>
    <row r="179" spans="1:33">
      <c r="A179" s="82"/>
      <c r="B179" s="77" t="str">
        <f t="shared" si="33"/>
        <v/>
      </c>
      <c r="C179" s="82"/>
      <c r="D179" s="77" t="str">
        <f t="shared" si="30"/>
        <v/>
      </c>
      <c r="E179" s="114"/>
      <c r="F179" s="77" t="str">
        <f t="shared" si="31"/>
        <v/>
      </c>
      <c r="G179" s="77" t="str">
        <f t="shared" si="32"/>
        <v/>
      </c>
      <c r="H179" s="113"/>
      <c r="I179" s="113"/>
      <c r="J179" s="113"/>
      <c r="K179" s="126"/>
      <c r="L179" s="125"/>
      <c r="M179" s="125"/>
      <c r="N179" s="126"/>
      <c r="O179" s="303"/>
      <c r="P179" s="81"/>
      <c r="R179" s="72" t="str">
        <f t="shared" si="34"/>
        <v/>
      </c>
      <c r="S179" s="72" t="str">
        <f t="shared" si="35"/>
        <v/>
      </c>
      <c r="T179" s="72" t="str">
        <f t="shared" si="36"/>
        <v/>
      </c>
      <c r="AD179" s="72" t="s">
        <v>2113</v>
      </c>
      <c r="AE179" s="72" t="s">
        <v>2114</v>
      </c>
      <c r="AF179" s="72" t="str">
        <f t="shared" si="37"/>
        <v>A679072</v>
      </c>
      <c r="AG179" s="72" t="str">
        <f>VLOOKUP(AF179,AKT!$C$4:$E$324,3,FALSE)</f>
        <v>0942</v>
      </c>
    </row>
    <row r="180" spans="1:33">
      <c r="A180" s="82"/>
      <c r="B180" s="77" t="str">
        <f t="shared" si="33"/>
        <v/>
      </c>
      <c r="C180" s="82"/>
      <c r="D180" s="77" t="str">
        <f t="shared" si="30"/>
        <v/>
      </c>
      <c r="E180" s="114"/>
      <c r="F180" s="77" t="str">
        <f t="shared" si="31"/>
        <v/>
      </c>
      <c r="G180" s="77" t="str">
        <f t="shared" si="32"/>
        <v/>
      </c>
      <c r="H180" s="113"/>
      <c r="I180" s="113"/>
      <c r="J180" s="113"/>
      <c r="K180" s="126"/>
      <c r="L180" s="125"/>
      <c r="M180" s="125"/>
      <c r="N180" s="126"/>
      <c r="O180" s="303"/>
      <c r="P180" s="81"/>
      <c r="R180" s="72" t="str">
        <f t="shared" si="34"/>
        <v/>
      </c>
      <c r="S180" s="72" t="str">
        <f t="shared" si="35"/>
        <v/>
      </c>
      <c r="T180" s="72" t="str">
        <f t="shared" si="36"/>
        <v/>
      </c>
      <c r="AD180" s="72" t="s">
        <v>2115</v>
      </c>
      <c r="AE180" s="72" t="s">
        <v>2116</v>
      </c>
      <c r="AF180" s="72" t="str">
        <f t="shared" si="37"/>
        <v>A679072</v>
      </c>
      <c r="AG180" s="72" t="str">
        <f>VLOOKUP(AF180,AKT!$C$4:$E$324,3,FALSE)</f>
        <v>0942</v>
      </c>
    </row>
    <row r="181" spans="1:33">
      <c r="A181" s="82"/>
      <c r="B181" s="77" t="str">
        <f t="shared" si="33"/>
        <v/>
      </c>
      <c r="C181" s="82"/>
      <c r="D181" s="77" t="str">
        <f t="shared" si="30"/>
        <v/>
      </c>
      <c r="E181" s="114"/>
      <c r="F181" s="77" t="str">
        <f t="shared" si="31"/>
        <v/>
      </c>
      <c r="G181" s="77" t="str">
        <f t="shared" si="32"/>
        <v/>
      </c>
      <c r="H181" s="113"/>
      <c r="I181" s="113"/>
      <c r="J181" s="113"/>
      <c r="K181" s="126"/>
      <c r="L181" s="125"/>
      <c r="M181" s="125"/>
      <c r="N181" s="126"/>
      <c r="O181" s="303"/>
      <c r="P181" s="81"/>
      <c r="R181" s="72" t="str">
        <f t="shared" si="34"/>
        <v/>
      </c>
      <c r="S181" s="72" t="str">
        <f t="shared" si="35"/>
        <v/>
      </c>
      <c r="T181" s="72" t="str">
        <f t="shared" si="36"/>
        <v/>
      </c>
      <c r="AD181" s="72" t="s">
        <v>2117</v>
      </c>
      <c r="AE181" s="72" t="s">
        <v>2118</v>
      </c>
      <c r="AF181" s="72" t="str">
        <f t="shared" si="37"/>
        <v>A679072</v>
      </c>
      <c r="AG181" s="72" t="str">
        <f>VLOOKUP(AF181,AKT!$C$4:$E$324,3,FALSE)</f>
        <v>0942</v>
      </c>
    </row>
    <row r="182" spans="1:33">
      <c r="A182" s="82"/>
      <c r="B182" s="77" t="str">
        <f t="shared" si="33"/>
        <v/>
      </c>
      <c r="C182" s="82"/>
      <c r="D182" s="77" t="str">
        <f t="shared" si="30"/>
        <v/>
      </c>
      <c r="E182" s="114"/>
      <c r="F182" s="77" t="str">
        <f t="shared" si="31"/>
        <v/>
      </c>
      <c r="G182" s="77" t="str">
        <f t="shared" si="32"/>
        <v/>
      </c>
      <c r="H182" s="113"/>
      <c r="I182" s="113"/>
      <c r="J182" s="113"/>
      <c r="K182" s="126"/>
      <c r="L182" s="125"/>
      <c r="M182" s="125"/>
      <c r="N182" s="126"/>
      <c r="O182" s="303"/>
      <c r="P182" s="81"/>
      <c r="R182" s="72" t="str">
        <f t="shared" si="34"/>
        <v/>
      </c>
      <c r="S182" s="72" t="str">
        <f t="shared" si="35"/>
        <v/>
      </c>
      <c r="T182" s="72" t="str">
        <f t="shared" si="36"/>
        <v/>
      </c>
      <c r="AD182" s="72" t="s">
        <v>2119</v>
      </c>
      <c r="AE182" s="72" t="s">
        <v>2120</v>
      </c>
      <c r="AF182" s="72" t="str">
        <f t="shared" si="37"/>
        <v>A679072</v>
      </c>
      <c r="AG182" s="72" t="str">
        <f>VLOOKUP(AF182,AKT!$C$4:$E$324,3,FALSE)</f>
        <v>0942</v>
      </c>
    </row>
    <row r="183" spans="1:33">
      <c r="A183" s="82"/>
      <c r="B183" s="77" t="str">
        <f t="shared" si="33"/>
        <v/>
      </c>
      <c r="C183" s="82"/>
      <c r="D183" s="77" t="str">
        <f t="shared" si="30"/>
        <v/>
      </c>
      <c r="E183" s="114"/>
      <c r="F183" s="77" t="str">
        <f t="shared" si="31"/>
        <v/>
      </c>
      <c r="G183" s="77" t="str">
        <f t="shared" si="32"/>
        <v/>
      </c>
      <c r="H183" s="113"/>
      <c r="I183" s="113"/>
      <c r="J183" s="113"/>
      <c r="K183" s="126"/>
      <c r="L183" s="125"/>
      <c r="M183" s="125"/>
      <c r="N183" s="126"/>
      <c r="O183" s="303"/>
      <c r="P183" s="81"/>
      <c r="R183" s="72" t="str">
        <f t="shared" si="34"/>
        <v/>
      </c>
      <c r="S183" s="72" t="str">
        <f t="shared" si="35"/>
        <v/>
      </c>
      <c r="T183" s="72" t="str">
        <f t="shared" si="36"/>
        <v/>
      </c>
      <c r="AD183" s="72" t="s">
        <v>2121</v>
      </c>
      <c r="AE183" s="72" t="s">
        <v>2122</v>
      </c>
      <c r="AF183" s="72" t="str">
        <f t="shared" si="37"/>
        <v>A679072</v>
      </c>
      <c r="AG183" s="72" t="str">
        <f>VLOOKUP(AF183,AKT!$C$4:$E$324,3,FALSE)</f>
        <v>0942</v>
      </c>
    </row>
    <row r="184" spans="1:33">
      <c r="A184" s="82"/>
      <c r="B184" s="77" t="str">
        <f t="shared" si="33"/>
        <v/>
      </c>
      <c r="C184" s="82"/>
      <c r="D184" s="77" t="str">
        <f t="shared" si="30"/>
        <v/>
      </c>
      <c r="E184" s="114"/>
      <c r="F184" s="77" t="str">
        <f t="shared" si="31"/>
        <v/>
      </c>
      <c r="G184" s="77" t="str">
        <f t="shared" si="32"/>
        <v/>
      </c>
      <c r="H184" s="113"/>
      <c r="I184" s="113"/>
      <c r="J184" s="113"/>
      <c r="K184" s="126"/>
      <c r="L184" s="125"/>
      <c r="M184" s="125"/>
      <c r="N184" s="126"/>
      <c r="O184" s="303"/>
      <c r="P184" s="81"/>
      <c r="R184" s="72" t="str">
        <f t="shared" si="34"/>
        <v/>
      </c>
      <c r="S184" s="72" t="str">
        <f t="shared" si="35"/>
        <v/>
      </c>
      <c r="T184" s="72" t="str">
        <f t="shared" si="36"/>
        <v/>
      </c>
      <c r="AD184" s="72" t="s">
        <v>2123</v>
      </c>
      <c r="AE184" s="72" t="s">
        <v>2124</v>
      </c>
      <c r="AF184" s="72" t="str">
        <f t="shared" si="37"/>
        <v>A679072</v>
      </c>
      <c r="AG184" s="72" t="str">
        <f>VLOOKUP(AF184,AKT!$C$4:$E$324,3,FALSE)</f>
        <v>0942</v>
      </c>
    </row>
    <row r="185" spans="1:33">
      <c r="A185" s="82"/>
      <c r="B185" s="77" t="str">
        <f t="shared" si="33"/>
        <v/>
      </c>
      <c r="C185" s="82"/>
      <c r="D185" s="77" t="str">
        <f t="shared" si="30"/>
        <v/>
      </c>
      <c r="E185" s="114"/>
      <c r="F185" s="77" t="str">
        <f t="shared" si="31"/>
        <v/>
      </c>
      <c r="G185" s="77" t="str">
        <f t="shared" si="32"/>
        <v/>
      </c>
      <c r="H185" s="113"/>
      <c r="I185" s="113"/>
      <c r="J185" s="113"/>
      <c r="K185" s="126"/>
      <c r="L185" s="125"/>
      <c r="M185" s="125"/>
      <c r="N185" s="126"/>
      <c r="O185" s="303"/>
      <c r="P185" s="81"/>
      <c r="R185" s="72" t="str">
        <f t="shared" si="34"/>
        <v/>
      </c>
      <c r="S185" s="72" t="str">
        <f t="shared" si="35"/>
        <v/>
      </c>
      <c r="T185" s="72" t="str">
        <f t="shared" si="36"/>
        <v/>
      </c>
      <c r="AD185" s="72" t="s">
        <v>2125</v>
      </c>
      <c r="AE185" s="72" t="s">
        <v>2126</v>
      </c>
      <c r="AF185" s="72" t="str">
        <f t="shared" si="37"/>
        <v>A679072</v>
      </c>
      <c r="AG185" s="72" t="str">
        <f>VLOOKUP(AF185,AKT!$C$4:$E$324,3,FALSE)</f>
        <v>0942</v>
      </c>
    </row>
    <row r="186" spans="1:33">
      <c r="A186" s="82"/>
      <c r="B186" s="77" t="str">
        <f t="shared" si="33"/>
        <v/>
      </c>
      <c r="C186" s="82"/>
      <c r="D186" s="77" t="str">
        <f t="shared" si="30"/>
        <v/>
      </c>
      <c r="E186" s="114"/>
      <c r="F186" s="77" t="str">
        <f t="shared" si="31"/>
        <v/>
      </c>
      <c r="G186" s="77" t="str">
        <f t="shared" si="32"/>
        <v/>
      </c>
      <c r="H186" s="113"/>
      <c r="I186" s="113"/>
      <c r="J186" s="113"/>
      <c r="K186" s="126"/>
      <c r="L186" s="125"/>
      <c r="M186" s="125"/>
      <c r="N186" s="126"/>
      <c r="O186" s="303"/>
      <c r="P186" s="81"/>
      <c r="R186" s="72" t="str">
        <f t="shared" si="34"/>
        <v/>
      </c>
      <c r="S186" s="72" t="str">
        <f t="shared" si="35"/>
        <v/>
      </c>
      <c r="T186" s="72" t="str">
        <f t="shared" si="36"/>
        <v/>
      </c>
      <c r="AD186" s="72" t="s">
        <v>2127</v>
      </c>
      <c r="AE186" s="72" t="s">
        <v>2128</v>
      </c>
      <c r="AF186" s="72" t="str">
        <f t="shared" si="37"/>
        <v>A679072</v>
      </c>
      <c r="AG186" s="72" t="str">
        <f>VLOOKUP(AF186,AKT!$C$4:$E$324,3,FALSE)</f>
        <v>0942</v>
      </c>
    </row>
    <row r="187" spans="1:33">
      <c r="A187" s="82"/>
      <c r="B187" s="77" t="str">
        <f t="shared" si="33"/>
        <v/>
      </c>
      <c r="C187" s="82"/>
      <c r="D187" s="77" t="str">
        <f t="shared" si="30"/>
        <v/>
      </c>
      <c r="E187" s="114"/>
      <c r="F187" s="77" t="str">
        <f t="shared" si="31"/>
        <v/>
      </c>
      <c r="G187" s="77" t="str">
        <f t="shared" si="32"/>
        <v/>
      </c>
      <c r="H187" s="113"/>
      <c r="I187" s="113"/>
      <c r="J187" s="113"/>
      <c r="K187" s="126"/>
      <c r="L187" s="125"/>
      <c r="M187" s="125"/>
      <c r="N187" s="126"/>
      <c r="O187" s="303"/>
      <c r="P187" s="81"/>
      <c r="R187" s="72" t="str">
        <f t="shared" si="34"/>
        <v/>
      </c>
      <c r="S187" s="72" t="str">
        <f t="shared" si="35"/>
        <v/>
      </c>
      <c r="T187" s="72" t="str">
        <f t="shared" si="36"/>
        <v/>
      </c>
      <c r="AD187" s="72" t="s">
        <v>2129</v>
      </c>
      <c r="AE187" s="72" t="s">
        <v>2130</v>
      </c>
      <c r="AF187" s="72" t="str">
        <f t="shared" si="37"/>
        <v>A679072</v>
      </c>
      <c r="AG187" s="72" t="str">
        <f>VLOOKUP(AF187,AKT!$C$4:$E$324,3,FALSE)</f>
        <v>0942</v>
      </c>
    </row>
    <row r="188" spans="1:33">
      <c r="A188" s="82"/>
      <c r="B188" s="77" t="str">
        <f t="shared" si="33"/>
        <v/>
      </c>
      <c r="C188" s="82"/>
      <c r="D188" s="77" t="str">
        <f t="shared" si="30"/>
        <v/>
      </c>
      <c r="E188" s="114"/>
      <c r="F188" s="77" t="str">
        <f t="shared" si="31"/>
        <v/>
      </c>
      <c r="G188" s="77" t="str">
        <f t="shared" si="32"/>
        <v/>
      </c>
      <c r="H188" s="113"/>
      <c r="I188" s="113"/>
      <c r="J188" s="113"/>
      <c r="K188" s="126"/>
      <c r="L188" s="125"/>
      <c r="M188" s="125"/>
      <c r="N188" s="126"/>
      <c r="O188" s="303"/>
      <c r="P188" s="81"/>
      <c r="R188" s="72" t="str">
        <f t="shared" si="34"/>
        <v/>
      </c>
      <c r="S188" s="72" t="str">
        <f t="shared" si="35"/>
        <v/>
      </c>
      <c r="T188" s="72" t="str">
        <f t="shared" si="36"/>
        <v/>
      </c>
      <c r="AD188" s="72" t="s">
        <v>2131</v>
      </c>
      <c r="AE188" s="72" t="s">
        <v>2132</v>
      </c>
      <c r="AF188" s="72" t="str">
        <f t="shared" si="37"/>
        <v>A679072</v>
      </c>
      <c r="AG188" s="72" t="str">
        <f>VLOOKUP(AF188,AKT!$C$4:$E$324,3,FALSE)</f>
        <v>0942</v>
      </c>
    </row>
    <row r="189" spans="1:33">
      <c r="A189" s="82"/>
      <c r="B189" s="77" t="str">
        <f t="shared" si="33"/>
        <v/>
      </c>
      <c r="C189" s="82"/>
      <c r="D189" s="77" t="str">
        <f t="shared" si="30"/>
        <v/>
      </c>
      <c r="E189" s="114"/>
      <c r="F189" s="77" t="str">
        <f t="shared" si="31"/>
        <v/>
      </c>
      <c r="G189" s="77" t="str">
        <f t="shared" si="32"/>
        <v/>
      </c>
      <c r="H189" s="113"/>
      <c r="I189" s="113"/>
      <c r="J189" s="113"/>
      <c r="K189" s="126"/>
      <c r="L189" s="125"/>
      <c r="M189" s="125"/>
      <c r="N189" s="126"/>
      <c r="O189" s="303"/>
      <c r="P189" s="81"/>
      <c r="R189" s="72" t="str">
        <f t="shared" si="34"/>
        <v/>
      </c>
      <c r="S189" s="72" t="str">
        <f t="shared" si="35"/>
        <v/>
      </c>
      <c r="T189" s="72" t="str">
        <f t="shared" si="36"/>
        <v/>
      </c>
      <c r="AD189" s="72" t="s">
        <v>2133</v>
      </c>
      <c r="AE189" s="72" t="s">
        <v>2134</v>
      </c>
      <c r="AF189" s="72" t="str">
        <f t="shared" si="37"/>
        <v>A679072</v>
      </c>
      <c r="AG189" s="72" t="str">
        <f>VLOOKUP(AF189,AKT!$C$4:$E$324,3,FALSE)</f>
        <v>0942</v>
      </c>
    </row>
    <row r="190" spans="1:33">
      <c r="A190" s="82"/>
      <c r="B190" s="77" t="str">
        <f t="shared" si="33"/>
        <v/>
      </c>
      <c r="C190" s="82"/>
      <c r="D190" s="77" t="str">
        <f t="shared" si="30"/>
        <v/>
      </c>
      <c r="E190" s="114"/>
      <c r="F190" s="77" t="str">
        <f t="shared" si="31"/>
        <v/>
      </c>
      <c r="G190" s="77" t="str">
        <f t="shared" si="32"/>
        <v/>
      </c>
      <c r="H190" s="113"/>
      <c r="I190" s="113"/>
      <c r="J190" s="113"/>
      <c r="K190" s="126"/>
      <c r="L190" s="125"/>
      <c r="M190" s="125"/>
      <c r="N190" s="126"/>
      <c r="O190" s="303"/>
      <c r="P190" s="81"/>
      <c r="R190" s="72" t="str">
        <f t="shared" si="34"/>
        <v/>
      </c>
      <c r="S190" s="72" t="str">
        <f t="shared" si="35"/>
        <v/>
      </c>
      <c r="T190" s="72" t="str">
        <f t="shared" si="36"/>
        <v/>
      </c>
      <c r="AD190" s="72" t="s">
        <v>2135</v>
      </c>
      <c r="AE190" s="72" t="s">
        <v>2136</v>
      </c>
      <c r="AF190" s="72" t="str">
        <f t="shared" si="37"/>
        <v>A679072</v>
      </c>
      <c r="AG190" s="72" t="str">
        <f>VLOOKUP(AF190,AKT!$C$4:$E$324,3,FALSE)</f>
        <v>0942</v>
      </c>
    </row>
    <row r="191" spans="1:33">
      <c r="A191" s="82"/>
      <c r="B191" s="77" t="str">
        <f t="shared" si="33"/>
        <v/>
      </c>
      <c r="C191" s="82"/>
      <c r="D191" s="77" t="str">
        <f t="shared" si="30"/>
        <v/>
      </c>
      <c r="E191" s="114"/>
      <c r="F191" s="77" t="str">
        <f t="shared" si="31"/>
        <v/>
      </c>
      <c r="G191" s="77" t="str">
        <f t="shared" si="32"/>
        <v/>
      </c>
      <c r="H191" s="113"/>
      <c r="I191" s="113"/>
      <c r="J191" s="113"/>
      <c r="K191" s="126"/>
      <c r="L191" s="125"/>
      <c r="M191" s="125"/>
      <c r="N191" s="126"/>
      <c r="O191" s="303"/>
      <c r="P191" s="81"/>
      <c r="R191" s="72" t="str">
        <f t="shared" si="34"/>
        <v/>
      </c>
      <c r="S191" s="72" t="str">
        <f t="shared" si="35"/>
        <v/>
      </c>
      <c r="T191" s="72" t="str">
        <f t="shared" si="36"/>
        <v/>
      </c>
      <c r="AD191" s="72" t="s">
        <v>2137</v>
      </c>
      <c r="AE191" s="72" t="s">
        <v>2138</v>
      </c>
      <c r="AF191" s="72" t="str">
        <f t="shared" si="37"/>
        <v>A679072</v>
      </c>
      <c r="AG191" s="72" t="str">
        <f>VLOOKUP(AF191,AKT!$C$4:$E$324,3,FALSE)</f>
        <v>0942</v>
      </c>
    </row>
    <row r="192" spans="1:33">
      <c r="A192" s="82"/>
      <c r="B192" s="77" t="str">
        <f t="shared" si="33"/>
        <v/>
      </c>
      <c r="C192" s="82"/>
      <c r="D192" s="77" t="str">
        <f t="shared" si="30"/>
        <v/>
      </c>
      <c r="E192" s="114"/>
      <c r="F192" s="77" t="str">
        <f t="shared" si="31"/>
        <v/>
      </c>
      <c r="G192" s="77" t="str">
        <f t="shared" si="32"/>
        <v/>
      </c>
      <c r="H192" s="113"/>
      <c r="I192" s="113"/>
      <c r="J192" s="113"/>
      <c r="K192" s="126"/>
      <c r="L192" s="125"/>
      <c r="M192" s="125"/>
      <c r="N192" s="126"/>
      <c r="O192" s="303"/>
      <c r="P192" s="81"/>
      <c r="R192" s="72" t="str">
        <f t="shared" si="34"/>
        <v/>
      </c>
      <c r="S192" s="72" t="str">
        <f t="shared" si="35"/>
        <v/>
      </c>
      <c r="T192" s="72" t="str">
        <f t="shared" si="36"/>
        <v/>
      </c>
      <c r="AD192" s="72" t="s">
        <v>2139</v>
      </c>
      <c r="AE192" s="72" t="s">
        <v>2140</v>
      </c>
      <c r="AF192" s="72" t="str">
        <f t="shared" si="37"/>
        <v>A679072</v>
      </c>
      <c r="AG192" s="72" t="str">
        <f>VLOOKUP(AF192,AKT!$C$4:$E$324,3,FALSE)</f>
        <v>0942</v>
      </c>
    </row>
    <row r="193" spans="1:33">
      <c r="A193" s="82"/>
      <c r="B193" s="77" t="str">
        <f t="shared" si="33"/>
        <v/>
      </c>
      <c r="C193" s="82"/>
      <c r="D193" s="77" t="str">
        <f t="shared" si="30"/>
        <v/>
      </c>
      <c r="E193" s="114"/>
      <c r="F193" s="77" t="str">
        <f t="shared" si="31"/>
        <v/>
      </c>
      <c r="G193" s="77" t="str">
        <f t="shared" si="32"/>
        <v/>
      </c>
      <c r="H193" s="113"/>
      <c r="I193" s="113"/>
      <c r="J193" s="113"/>
      <c r="K193" s="126"/>
      <c r="L193" s="125"/>
      <c r="M193" s="125"/>
      <c r="N193" s="126"/>
      <c r="O193" s="303"/>
      <c r="P193" s="81"/>
      <c r="R193" s="72" t="str">
        <f t="shared" si="34"/>
        <v/>
      </c>
      <c r="S193" s="72" t="str">
        <f t="shared" si="35"/>
        <v/>
      </c>
      <c r="T193" s="72" t="str">
        <f t="shared" si="36"/>
        <v/>
      </c>
      <c r="AD193" s="72" t="s">
        <v>2141</v>
      </c>
      <c r="AE193" s="72" t="s">
        <v>2142</v>
      </c>
      <c r="AF193" s="72" t="str">
        <f t="shared" si="37"/>
        <v>A679072</v>
      </c>
      <c r="AG193" s="72" t="str">
        <f>VLOOKUP(AF193,AKT!$C$4:$E$324,3,FALSE)</f>
        <v>0942</v>
      </c>
    </row>
    <row r="194" spans="1:33">
      <c r="A194" s="82"/>
      <c r="B194" s="77" t="str">
        <f t="shared" si="33"/>
        <v/>
      </c>
      <c r="C194" s="82"/>
      <c r="D194" s="77" t="str">
        <f t="shared" si="30"/>
        <v/>
      </c>
      <c r="E194" s="114"/>
      <c r="F194" s="77" t="str">
        <f t="shared" si="31"/>
        <v/>
      </c>
      <c r="G194" s="77" t="str">
        <f t="shared" si="32"/>
        <v/>
      </c>
      <c r="H194" s="113"/>
      <c r="I194" s="113"/>
      <c r="J194" s="113"/>
      <c r="K194" s="126"/>
      <c r="L194" s="125"/>
      <c r="M194" s="125"/>
      <c r="N194" s="126"/>
      <c r="O194" s="303"/>
      <c r="P194" s="81"/>
      <c r="R194" s="72" t="str">
        <f t="shared" si="34"/>
        <v/>
      </c>
      <c r="S194" s="72" t="str">
        <f t="shared" si="35"/>
        <v/>
      </c>
      <c r="T194" s="72" t="str">
        <f t="shared" si="36"/>
        <v/>
      </c>
      <c r="AD194" s="72" t="s">
        <v>2143</v>
      </c>
      <c r="AE194" s="72" t="s">
        <v>2144</v>
      </c>
      <c r="AF194" s="72" t="str">
        <f t="shared" si="37"/>
        <v>A679072</v>
      </c>
      <c r="AG194" s="72" t="str">
        <f>VLOOKUP(AF194,AKT!$C$4:$E$324,3,FALSE)</f>
        <v>0942</v>
      </c>
    </row>
    <row r="195" spans="1:33">
      <c r="A195" s="82"/>
      <c r="B195" s="77" t="str">
        <f t="shared" si="33"/>
        <v/>
      </c>
      <c r="C195" s="82"/>
      <c r="D195" s="77" t="str">
        <f t="shared" ref="D195:D258" si="38">IFERROR(VLOOKUP(C195,$X$5:$Z$140,2,FALSE),"")</f>
        <v/>
      </c>
      <c r="E195" s="114"/>
      <c r="F195" s="77" t="str">
        <f t="shared" ref="F195:F258" si="39">IFERROR(VLOOKUP(E195,$AD$6:$AE$1101,2,FALSE),"")</f>
        <v/>
      </c>
      <c r="G195" s="77" t="str">
        <f t="shared" si="32"/>
        <v/>
      </c>
      <c r="H195" s="113"/>
      <c r="I195" s="113"/>
      <c r="J195" s="113"/>
      <c r="K195" s="126"/>
      <c r="L195" s="125"/>
      <c r="M195" s="125"/>
      <c r="N195" s="126"/>
      <c r="O195" s="303"/>
      <c r="P195" s="81"/>
      <c r="R195" s="72" t="str">
        <f t="shared" si="34"/>
        <v/>
      </c>
      <c r="S195" s="72" t="str">
        <f t="shared" si="35"/>
        <v/>
      </c>
      <c r="T195" s="72" t="str">
        <f t="shared" si="36"/>
        <v/>
      </c>
      <c r="AD195" s="72" t="s">
        <v>2145</v>
      </c>
      <c r="AE195" s="72" t="s">
        <v>2146</v>
      </c>
      <c r="AF195" s="72" t="str">
        <f t="shared" si="37"/>
        <v>A679072</v>
      </c>
      <c r="AG195" s="72" t="str">
        <f>VLOOKUP(AF195,AKT!$C$4:$E$324,3,FALSE)</f>
        <v>0942</v>
      </c>
    </row>
    <row r="196" spans="1:33">
      <c r="A196" s="82"/>
      <c r="B196" s="77" t="str">
        <f t="shared" si="33"/>
        <v/>
      </c>
      <c r="C196" s="82"/>
      <c r="D196" s="77" t="str">
        <f t="shared" si="38"/>
        <v/>
      </c>
      <c r="E196" s="114"/>
      <c r="F196" s="77" t="str">
        <f t="shared" si="39"/>
        <v/>
      </c>
      <c r="G196" s="77" t="str">
        <f t="shared" ref="G196:G259" si="40">IFERROR(VLOOKUP(E196,$AD$6:$AG$1101,4,FALSE),"")</f>
        <v/>
      </c>
      <c r="H196" s="113"/>
      <c r="I196" s="113"/>
      <c r="J196" s="113"/>
      <c r="K196" s="126"/>
      <c r="L196" s="125"/>
      <c r="M196" s="125"/>
      <c r="N196" s="126"/>
      <c r="O196" s="303"/>
      <c r="P196" s="81"/>
      <c r="R196" s="72" t="str">
        <f t="shared" si="34"/>
        <v/>
      </c>
      <c r="S196" s="72" t="str">
        <f t="shared" si="35"/>
        <v/>
      </c>
      <c r="T196" s="72" t="str">
        <f t="shared" si="36"/>
        <v/>
      </c>
      <c r="AD196" s="72" t="s">
        <v>2147</v>
      </c>
      <c r="AE196" s="72" t="s">
        <v>2148</v>
      </c>
      <c r="AF196" s="72" t="str">
        <f t="shared" si="37"/>
        <v>A679072</v>
      </c>
      <c r="AG196" s="72" t="str">
        <f>VLOOKUP(AF196,AKT!$C$4:$E$324,3,FALSE)</f>
        <v>0942</v>
      </c>
    </row>
    <row r="197" spans="1:33">
      <c r="A197" s="82"/>
      <c r="B197" s="77" t="str">
        <f t="shared" si="33"/>
        <v/>
      </c>
      <c r="C197" s="82"/>
      <c r="D197" s="77" t="str">
        <f t="shared" si="38"/>
        <v/>
      </c>
      <c r="E197" s="114"/>
      <c r="F197" s="77" t="str">
        <f t="shared" si="39"/>
        <v/>
      </c>
      <c r="G197" s="77" t="str">
        <f t="shared" si="40"/>
        <v/>
      </c>
      <c r="H197" s="113"/>
      <c r="I197" s="113"/>
      <c r="J197" s="113"/>
      <c r="K197" s="126"/>
      <c r="L197" s="125"/>
      <c r="M197" s="125"/>
      <c r="N197" s="126"/>
      <c r="O197" s="303"/>
      <c r="P197" s="81"/>
      <c r="R197" s="72" t="str">
        <f t="shared" si="34"/>
        <v/>
      </c>
      <c r="S197" s="72" t="str">
        <f t="shared" si="35"/>
        <v/>
      </c>
      <c r="T197" s="72" t="str">
        <f t="shared" si="36"/>
        <v/>
      </c>
      <c r="AD197" s="72" t="s">
        <v>2149</v>
      </c>
      <c r="AE197" s="72" t="s">
        <v>2150</v>
      </c>
      <c r="AF197" s="72" t="str">
        <f t="shared" si="37"/>
        <v>A679072</v>
      </c>
      <c r="AG197" s="72" t="str">
        <f>VLOOKUP(AF197,AKT!$C$4:$E$324,3,FALSE)</f>
        <v>0942</v>
      </c>
    </row>
    <row r="198" spans="1:33">
      <c r="A198" s="82"/>
      <c r="B198" s="77" t="str">
        <f t="shared" si="33"/>
        <v/>
      </c>
      <c r="C198" s="82"/>
      <c r="D198" s="77" t="str">
        <f t="shared" si="38"/>
        <v/>
      </c>
      <c r="E198" s="114"/>
      <c r="F198" s="77" t="str">
        <f t="shared" si="39"/>
        <v/>
      </c>
      <c r="G198" s="77" t="str">
        <f t="shared" si="40"/>
        <v/>
      </c>
      <c r="H198" s="113"/>
      <c r="I198" s="113"/>
      <c r="J198" s="113"/>
      <c r="K198" s="126"/>
      <c r="L198" s="125"/>
      <c r="M198" s="125"/>
      <c r="N198" s="126"/>
      <c r="O198" s="303"/>
      <c r="P198" s="81"/>
      <c r="R198" s="72" t="str">
        <f t="shared" si="34"/>
        <v/>
      </c>
      <c r="S198" s="72" t="str">
        <f t="shared" si="35"/>
        <v/>
      </c>
      <c r="T198" s="72" t="str">
        <f t="shared" si="36"/>
        <v/>
      </c>
      <c r="AD198" s="72" t="s">
        <v>2151</v>
      </c>
      <c r="AE198" s="72" t="s">
        <v>2152</v>
      </c>
      <c r="AF198" s="72" t="str">
        <f t="shared" si="37"/>
        <v>A679072</v>
      </c>
      <c r="AG198" s="72" t="str">
        <f>VLOOKUP(AF198,AKT!$C$4:$E$324,3,FALSE)</f>
        <v>0942</v>
      </c>
    </row>
    <row r="199" spans="1:33">
      <c r="A199" s="82"/>
      <c r="B199" s="77" t="str">
        <f t="shared" si="33"/>
        <v/>
      </c>
      <c r="C199" s="82"/>
      <c r="D199" s="77" t="str">
        <f t="shared" si="38"/>
        <v/>
      </c>
      <c r="E199" s="114"/>
      <c r="F199" s="77" t="str">
        <f t="shared" si="39"/>
        <v/>
      </c>
      <c r="G199" s="77" t="str">
        <f t="shared" si="40"/>
        <v/>
      </c>
      <c r="H199" s="113"/>
      <c r="I199" s="113"/>
      <c r="J199" s="113"/>
      <c r="K199" s="126"/>
      <c r="L199" s="125"/>
      <c r="M199" s="125"/>
      <c r="N199" s="126"/>
      <c r="O199" s="303"/>
      <c r="P199" s="81"/>
      <c r="R199" s="72" t="str">
        <f t="shared" si="34"/>
        <v/>
      </c>
      <c r="S199" s="72" t="str">
        <f t="shared" si="35"/>
        <v/>
      </c>
      <c r="T199" s="72" t="str">
        <f t="shared" si="36"/>
        <v/>
      </c>
      <c r="AD199" s="72" t="s">
        <v>2153</v>
      </c>
      <c r="AE199" s="72" t="s">
        <v>2154</v>
      </c>
      <c r="AF199" s="72" t="str">
        <f t="shared" si="37"/>
        <v>A679072</v>
      </c>
      <c r="AG199" s="72" t="str">
        <f>VLOOKUP(AF199,AKT!$C$4:$E$324,3,FALSE)</f>
        <v>0942</v>
      </c>
    </row>
    <row r="200" spans="1:33">
      <c r="A200" s="82"/>
      <c r="B200" s="77" t="str">
        <f t="shared" si="33"/>
        <v/>
      </c>
      <c r="C200" s="82"/>
      <c r="D200" s="77" t="str">
        <f t="shared" si="38"/>
        <v/>
      </c>
      <c r="E200" s="114"/>
      <c r="F200" s="77" t="str">
        <f t="shared" si="39"/>
        <v/>
      </c>
      <c r="G200" s="77" t="str">
        <f t="shared" si="40"/>
        <v/>
      </c>
      <c r="H200" s="113"/>
      <c r="I200" s="113"/>
      <c r="J200" s="113"/>
      <c r="K200" s="126"/>
      <c r="L200" s="125"/>
      <c r="M200" s="125"/>
      <c r="N200" s="126"/>
      <c r="O200" s="303"/>
      <c r="P200" s="81"/>
      <c r="R200" s="72" t="str">
        <f t="shared" si="34"/>
        <v/>
      </c>
      <c r="S200" s="72" t="str">
        <f t="shared" si="35"/>
        <v/>
      </c>
      <c r="T200" s="72" t="str">
        <f t="shared" si="36"/>
        <v/>
      </c>
      <c r="AD200" s="72" t="s">
        <v>2155</v>
      </c>
      <c r="AE200" s="72" t="s">
        <v>2156</v>
      </c>
      <c r="AF200" s="72" t="str">
        <f t="shared" si="37"/>
        <v>A679072</v>
      </c>
      <c r="AG200" s="72" t="str">
        <f>VLOOKUP(AF200,AKT!$C$4:$E$324,3,FALSE)</f>
        <v>0942</v>
      </c>
    </row>
    <row r="201" spans="1:33">
      <c r="A201" s="82"/>
      <c r="B201" s="77" t="str">
        <f t="shared" si="33"/>
        <v/>
      </c>
      <c r="C201" s="82"/>
      <c r="D201" s="77" t="str">
        <f t="shared" si="38"/>
        <v/>
      </c>
      <c r="E201" s="114"/>
      <c r="F201" s="77" t="str">
        <f t="shared" si="39"/>
        <v/>
      </c>
      <c r="G201" s="77" t="str">
        <f t="shared" si="40"/>
        <v/>
      </c>
      <c r="H201" s="113"/>
      <c r="I201" s="113"/>
      <c r="J201" s="113"/>
      <c r="K201" s="126"/>
      <c r="L201" s="125"/>
      <c r="M201" s="125"/>
      <c r="N201" s="126"/>
      <c r="O201" s="303"/>
      <c r="P201" s="81"/>
      <c r="R201" s="72" t="str">
        <f t="shared" si="34"/>
        <v/>
      </c>
      <c r="S201" s="72" t="str">
        <f t="shared" si="35"/>
        <v/>
      </c>
      <c r="T201" s="72" t="str">
        <f t="shared" si="36"/>
        <v/>
      </c>
      <c r="AD201" s="72" t="s">
        <v>2157</v>
      </c>
      <c r="AE201" s="72" t="s">
        <v>2158</v>
      </c>
      <c r="AF201" s="72" t="str">
        <f t="shared" si="37"/>
        <v>A679072</v>
      </c>
      <c r="AG201" s="72" t="str">
        <f>VLOOKUP(AF201,AKT!$C$4:$E$324,3,FALSE)</f>
        <v>0942</v>
      </c>
    </row>
    <row r="202" spans="1:33">
      <c r="A202" s="82"/>
      <c r="B202" s="77" t="str">
        <f t="shared" si="33"/>
        <v/>
      </c>
      <c r="C202" s="82"/>
      <c r="D202" s="77" t="str">
        <f t="shared" si="38"/>
        <v/>
      </c>
      <c r="E202" s="114"/>
      <c r="F202" s="77" t="str">
        <f t="shared" si="39"/>
        <v/>
      </c>
      <c r="G202" s="77" t="str">
        <f t="shared" si="40"/>
        <v/>
      </c>
      <c r="H202" s="113"/>
      <c r="I202" s="113"/>
      <c r="J202" s="113"/>
      <c r="K202" s="126"/>
      <c r="L202" s="125"/>
      <c r="M202" s="125"/>
      <c r="N202" s="126"/>
      <c r="O202" s="303"/>
      <c r="P202" s="81"/>
      <c r="R202" s="72" t="str">
        <f t="shared" si="34"/>
        <v/>
      </c>
      <c r="S202" s="72" t="str">
        <f t="shared" si="35"/>
        <v/>
      </c>
      <c r="T202" s="72" t="str">
        <f t="shared" si="36"/>
        <v/>
      </c>
      <c r="AD202" s="72" t="s">
        <v>2159</v>
      </c>
      <c r="AE202" s="72" t="s">
        <v>2160</v>
      </c>
      <c r="AF202" s="72" t="str">
        <f t="shared" si="37"/>
        <v>A679072</v>
      </c>
      <c r="AG202" s="72" t="str">
        <f>VLOOKUP(AF202,AKT!$C$4:$E$324,3,FALSE)</f>
        <v>0942</v>
      </c>
    </row>
    <row r="203" spans="1:33">
      <c r="A203" s="82"/>
      <c r="B203" s="77" t="str">
        <f t="shared" si="33"/>
        <v/>
      </c>
      <c r="C203" s="82"/>
      <c r="D203" s="77" t="str">
        <f t="shared" si="38"/>
        <v/>
      </c>
      <c r="E203" s="114"/>
      <c r="F203" s="77" t="str">
        <f t="shared" si="39"/>
        <v/>
      </c>
      <c r="G203" s="77" t="str">
        <f t="shared" si="40"/>
        <v/>
      </c>
      <c r="H203" s="113"/>
      <c r="I203" s="113"/>
      <c r="J203" s="113"/>
      <c r="K203" s="126"/>
      <c r="L203" s="125"/>
      <c r="M203" s="125"/>
      <c r="N203" s="126"/>
      <c r="O203" s="303"/>
      <c r="P203" s="81"/>
      <c r="R203" s="72" t="str">
        <f t="shared" si="34"/>
        <v/>
      </c>
      <c r="S203" s="72" t="str">
        <f t="shared" si="35"/>
        <v/>
      </c>
      <c r="T203" s="72" t="str">
        <f t="shared" si="36"/>
        <v/>
      </c>
      <c r="AD203" s="72" t="s">
        <v>2161</v>
      </c>
      <c r="AE203" s="72" t="s">
        <v>2162</v>
      </c>
      <c r="AF203" s="72" t="str">
        <f t="shared" si="37"/>
        <v>A679072</v>
      </c>
      <c r="AG203" s="72" t="str">
        <f>VLOOKUP(AF203,AKT!$C$4:$E$324,3,FALSE)</f>
        <v>0942</v>
      </c>
    </row>
    <row r="204" spans="1:33">
      <c r="A204" s="82"/>
      <c r="B204" s="77" t="str">
        <f t="shared" ref="B204:B267" si="41">IFERROR(VLOOKUP(A204,$U$6:$V$34,2,FALSE),"")</f>
        <v/>
      </c>
      <c r="C204" s="82"/>
      <c r="D204" s="77" t="str">
        <f t="shared" si="38"/>
        <v/>
      </c>
      <c r="E204" s="114"/>
      <c r="F204" s="77" t="str">
        <f t="shared" si="39"/>
        <v/>
      </c>
      <c r="G204" s="77" t="str">
        <f t="shared" si="40"/>
        <v/>
      </c>
      <c r="H204" s="113"/>
      <c r="I204" s="113"/>
      <c r="J204" s="113"/>
      <c r="K204" s="126"/>
      <c r="L204" s="125"/>
      <c r="M204" s="125"/>
      <c r="N204" s="126"/>
      <c r="O204" s="303"/>
      <c r="P204" s="81"/>
      <c r="R204" s="72" t="str">
        <f t="shared" si="34"/>
        <v/>
      </c>
      <c r="S204" s="72" t="str">
        <f t="shared" si="35"/>
        <v/>
      </c>
      <c r="T204" s="72" t="str">
        <f t="shared" si="36"/>
        <v/>
      </c>
      <c r="AD204" s="72" t="s">
        <v>2163</v>
      </c>
      <c r="AE204" s="72" t="s">
        <v>2164</v>
      </c>
      <c r="AF204" s="72" t="str">
        <f t="shared" si="37"/>
        <v>A679072</v>
      </c>
      <c r="AG204" s="72" t="str">
        <f>VLOOKUP(AF204,AKT!$C$4:$E$324,3,FALSE)</f>
        <v>0942</v>
      </c>
    </row>
    <row r="205" spans="1:33">
      <c r="A205" s="82"/>
      <c r="B205" s="77" t="str">
        <f t="shared" si="41"/>
        <v/>
      </c>
      <c r="C205" s="82"/>
      <c r="D205" s="77" t="str">
        <f t="shared" si="38"/>
        <v/>
      </c>
      <c r="E205" s="114"/>
      <c r="F205" s="77" t="str">
        <f t="shared" si="39"/>
        <v/>
      </c>
      <c r="G205" s="77" t="str">
        <f t="shared" si="40"/>
        <v/>
      </c>
      <c r="H205" s="113"/>
      <c r="I205" s="113"/>
      <c r="J205" s="113"/>
      <c r="K205" s="126"/>
      <c r="L205" s="125"/>
      <c r="M205" s="125"/>
      <c r="N205" s="126"/>
      <c r="O205" s="303"/>
      <c r="P205" s="81"/>
      <c r="R205" s="72" t="str">
        <f t="shared" si="34"/>
        <v/>
      </c>
      <c r="S205" s="72" t="str">
        <f t="shared" si="35"/>
        <v/>
      </c>
      <c r="T205" s="72" t="str">
        <f t="shared" si="36"/>
        <v/>
      </c>
      <c r="AD205" s="72" t="s">
        <v>2165</v>
      </c>
      <c r="AE205" s="72" t="s">
        <v>2166</v>
      </c>
      <c r="AF205" s="72" t="str">
        <f t="shared" si="37"/>
        <v>A679072</v>
      </c>
      <c r="AG205" s="72" t="str">
        <f>VLOOKUP(AF205,AKT!$C$4:$E$324,3,FALSE)</f>
        <v>0942</v>
      </c>
    </row>
    <row r="206" spans="1:33">
      <c r="A206" s="82"/>
      <c r="B206" s="77" t="str">
        <f t="shared" si="41"/>
        <v/>
      </c>
      <c r="C206" s="82"/>
      <c r="D206" s="77" t="str">
        <f t="shared" si="38"/>
        <v/>
      </c>
      <c r="E206" s="114"/>
      <c r="F206" s="77" t="str">
        <f t="shared" si="39"/>
        <v/>
      </c>
      <c r="G206" s="77" t="str">
        <f t="shared" si="40"/>
        <v/>
      </c>
      <c r="H206" s="113"/>
      <c r="I206" s="113"/>
      <c r="J206" s="113"/>
      <c r="K206" s="126"/>
      <c r="L206" s="125"/>
      <c r="M206" s="125"/>
      <c r="N206" s="126"/>
      <c r="O206" s="303"/>
      <c r="P206" s="81"/>
      <c r="R206" s="72" t="str">
        <f t="shared" si="34"/>
        <v/>
      </c>
      <c r="S206" s="72" t="str">
        <f t="shared" si="35"/>
        <v/>
      </c>
      <c r="T206" s="72" t="str">
        <f t="shared" si="36"/>
        <v/>
      </c>
      <c r="AD206" s="72" t="s">
        <v>2167</v>
      </c>
      <c r="AE206" s="72" t="s">
        <v>2168</v>
      </c>
      <c r="AF206" s="72" t="str">
        <f t="shared" si="37"/>
        <v>A679072</v>
      </c>
      <c r="AG206" s="72" t="str">
        <f>VLOOKUP(AF206,AKT!$C$4:$E$324,3,FALSE)</f>
        <v>0942</v>
      </c>
    </row>
    <row r="207" spans="1:33">
      <c r="A207" s="82"/>
      <c r="B207" s="77" t="str">
        <f t="shared" si="41"/>
        <v/>
      </c>
      <c r="C207" s="82"/>
      <c r="D207" s="77" t="str">
        <f t="shared" si="38"/>
        <v/>
      </c>
      <c r="E207" s="114"/>
      <c r="F207" s="77" t="str">
        <f t="shared" si="39"/>
        <v/>
      </c>
      <c r="G207" s="77" t="str">
        <f t="shared" si="40"/>
        <v/>
      </c>
      <c r="H207" s="113"/>
      <c r="I207" s="113"/>
      <c r="J207" s="113"/>
      <c r="K207" s="126"/>
      <c r="L207" s="125"/>
      <c r="M207" s="125"/>
      <c r="N207" s="126"/>
      <c r="O207" s="303"/>
      <c r="P207" s="81"/>
      <c r="R207" s="72" t="str">
        <f t="shared" ref="R207:R270" si="42">LEFT(C207,3)</f>
        <v/>
      </c>
      <c r="S207" s="72" t="str">
        <f t="shared" ref="S207:S270" si="43">LEFT(C207,2)</f>
        <v/>
      </c>
      <c r="T207" s="72" t="str">
        <f t="shared" ref="T207:T270" si="44">MID(G207,2,2)</f>
        <v/>
      </c>
      <c r="AD207" s="72" t="s">
        <v>2169</v>
      </c>
      <c r="AE207" s="72" t="s">
        <v>2170</v>
      </c>
      <c r="AF207" s="72" t="str">
        <f t="shared" si="37"/>
        <v>A679072</v>
      </c>
      <c r="AG207" s="72" t="str">
        <f>VLOOKUP(AF207,AKT!$C$4:$E$324,3,FALSE)</f>
        <v>0942</v>
      </c>
    </row>
    <row r="208" spans="1:33">
      <c r="A208" s="82"/>
      <c r="B208" s="77" t="str">
        <f t="shared" si="41"/>
        <v/>
      </c>
      <c r="C208" s="82"/>
      <c r="D208" s="77" t="str">
        <f t="shared" si="38"/>
        <v/>
      </c>
      <c r="E208" s="114"/>
      <c r="F208" s="77" t="str">
        <f t="shared" si="39"/>
        <v/>
      </c>
      <c r="G208" s="77" t="str">
        <f t="shared" si="40"/>
        <v/>
      </c>
      <c r="H208" s="113"/>
      <c r="I208" s="113"/>
      <c r="J208" s="113"/>
      <c r="K208" s="126"/>
      <c r="L208" s="125"/>
      <c r="M208" s="125"/>
      <c r="N208" s="126"/>
      <c r="O208" s="303"/>
      <c r="P208" s="81"/>
      <c r="R208" s="72" t="str">
        <f t="shared" si="42"/>
        <v/>
      </c>
      <c r="S208" s="72" t="str">
        <f t="shared" si="43"/>
        <v/>
      </c>
      <c r="T208" s="72" t="str">
        <f t="shared" si="44"/>
        <v/>
      </c>
      <c r="AD208" s="72" t="s">
        <v>2171</v>
      </c>
      <c r="AE208" s="72" t="s">
        <v>2172</v>
      </c>
      <c r="AF208" s="72" t="str">
        <f t="shared" si="37"/>
        <v>A679072</v>
      </c>
      <c r="AG208" s="72" t="str">
        <f>VLOOKUP(AF208,AKT!$C$4:$E$324,3,FALSE)</f>
        <v>0942</v>
      </c>
    </row>
    <row r="209" spans="1:33">
      <c r="A209" s="82"/>
      <c r="B209" s="77" t="str">
        <f t="shared" si="41"/>
        <v/>
      </c>
      <c r="C209" s="82"/>
      <c r="D209" s="77" t="str">
        <f t="shared" si="38"/>
        <v/>
      </c>
      <c r="E209" s="114"/>
      <c r="F209" s="77" t="str">
        <f t="shared" si="39"/>
        <v/>
      </c>
      <c r="G209" s="77" t="str">
        <f t="shared" si="40"/>
        <v/>
      </c>
      <c r="H209" s="113"/>
      <c r="I209" s="113"/>
      <c r="J209" s="113"/>
      <c r="K209" s="126"/>
      <c r="L209" s="125"/>
      <c r="M209" s="125"/>
      <c r="N209" s="126"/>
      <c r="O209" s="303"/>
      <c r="P209" s="81"/>
      <c r="R209" s="72" t="str">
        <f t="shared" si="42"/>
        <v/>
      </c>
      <c r="S209" s="72" t="str">
        <f t="shared" si="43"/>
        <v/>
      </c>
      <c r="T209" s="72" t="str">
        <f t="shared" si="44"/>
        <v/>
      </c>
      <c r="AD209" s="72" t="s">
        <v>3053</v>
      </c>
      <c r="AE209" s="72" t="s">
        <v>3054</v>
      </c>
      <c r="AF209" s="72" t="str">
        <f t="shared" si="37"/>
        <v>A679072</v>
      </c>
      <c r="AG209" s="72" t="str">
        <f>VLOOKUP(AF209,AKT!$C$4:$E$324,3,FALSE)</f>
        <v>0942</v>
      </c>
    </row>
    <row r="210" spans="1:33">
      <c r="A210" s="82"/>
      <c r="B210" s="77" t="str">
        <f t="shared" si="41"/>
        <v/>
      </c>
      <c r="C210" s="82"/>
      <c r="D210" s="77" t="str">
        <f t="shared" si="38"/>
        <v/>
      </c>
      <c r="E210" s="114"/>
      <c r="F210" s="77" t="str">
        <f t="shared" si="39"/>
        <v/>
      </c>
      <c r="G210" s="77" t="str">
        <f t="shared" si="40"/>
        <v/>
      </c>
      <c r="H210" s="113"/>
      <c r="I210" s="113"/>
      <c r="J210" s="113"/>
      <c r="K210" s="126"/>
      <c r="L210" s="125"/>
      <c r="M210" s="125"/>
      <c r="N210" s="126"/>
      <c r="O210" s="303"/>
      <c r="P210" s="81"/>
      <c r="R210" s="72" t="str">
        <f t="shared" si="42"/>
        <v/>
      </c>
      <c r="S210" s="72" t="str">
        <f t="shared" si="43"/>
        <v/>
      </c>
      <c r="T210" s="72" t="str">
        <f t="shared" si="44"/>
        <v/>
      </c>
      <c r="AD210" s="72" t="s">
        <v>3055</v>
      </c>
      <c r="AE210" s="72" t="s">
        <v>3056</v>
      </c>
      <c r="AF210" s="72" t="str">
        <f t="shared" si="37"/>
        <v>A679072</v>
      </c>
      <c r="AG210" s="72" t="str">
        <f>VLOOKUP(AF210,AKT!$C$4:$E$324,3,FALSE)</f>
        <v>0942</v>
      </c>
    </row>
    <row r="211" spans="1:33">
      <c r="A211" s="82"/>
      <c r="B211" s="77" t="str">
        <f t="shared" si="41"/>
        <v/>
      </c>
      <c r="C211" s="82"/>
      <c r="D211" s="77" t="str">
        <f t="shared" si="38"/>
        <v/>
      </c>
      <c r="E211" s="114"/>
      <c r="F211" s="77" t="str">
        <f t="shared" si="39"/>
        <v/>
      </c>
      <c r="G211" s="77" t="str">
        <f t="shared" si="40"/>
        <v/>
      </c>
      <c r="H211" s="113"/>
      <c r="I211" s="113"/>
      <c r="J211" s="113"/>
      <c r="K211" s="126"/>
      <c r="L211" s="125"/>
      <c r="M211" s="125"/>
      <c r="N211" s="126"/>
      <c r="O211" s="303"/>
      <c r="P211" s="81"/>
      <c r="R211" s="72" t="str">
        <f t="shared" si="42"/>
        <v/>
      </c>
      <c r="S211" s="72" t="str">
        <f t="shared" si="43"/>
        <v/>
      </c>
      <c r="T211" s="72" t="str">
        <f t="shared" si="44"/>
        <v/>
      </c>
      <c r="AD211" s="72" t="s">
        <v>3057</v>
      </c>
      <c r="AE211" s="72" t="s">
        <v>3058</v>
      </c>
      <c r="AF211" s="72" t="str">
        <f t="shared" ref="AF211:AF274" si="45">LEFT(AD211,7)</f>
        <v>A679072</v>
      </c>
      <c r="AG211" s="72" t="str">
        <f>VLOOKUP(AF211,AKT!$C$4:$E$324,3,FALSE)</f>
        <v>0942</v>
      </c>
    </row>
    <row r="212" spans="1:33">
      <c r="A212" s="82"/>
      <c r="B212" s="77" t="str">
        <f t="shared" si="41"/>
        <v/>
      </c>
      <c r="C212" s="82"/>
      <c r="D212" s="77" t="str">
        <f t="shared" si="38"/>
        <v/>
      </c>
      <c r="E212" s="114"/>
      <c r="F212" s="77" t="str">
        <f t="shared" si="39"/>
        <v/>
      </c>
      <c r="G212" s="77" t="str">
        <f t="shared" si="40"/>
        <v/>
      </c>
      <c r="H212" s="113"/>
      <c r="I212" s="113"/>
      <c r="J212" s="113"/>
      <c r="K212" s="126"/>
      <c r="L212" s="125"/>
      <c r="M212" s="125"/>
      <c r="N212" s="126"/>
      <c r="O212" s="303"/>
      <c r="P212" s="81"/>
      <c r="R212" s="72" t="str">
        <f t="shared" si="42"/>
        <v/>
      </c>
      <c r="S212" s="72" t="str">
        <f t="shared" si="43"/>
        <v/>
      </c>
      <c r="T212" s="72" t="str">
        <f t="shared" si="44"/>
        <v/>
      </c>
      <c r="AD212" s="72" t="s">
        <v>3059</v>
      </c>
      <c r="AE212" s="72" t="s">
        <v>3060</v>
      </c>
      <c r="AF212" s="72" t="str">
        <f t="shared" si="45"/>
        <v>A679072</v>
      </c>
      <c r="AG212" s="72" t="str">
        <f>VLOOKUP(AF212,AKT!$C$4:$E$324,3,FALSE)</f>
        <v>0942</v>
      </c>
    </row>
    <row r="213" spans="1:33">
      <c r="A213" s="82"/>
      <c r="B213" s="77" t="str">
        <f t="shared" si="41"/>
        <v/>
      </c>
      <c r="C213" s="82"/>
      <c r="D213" s="77" t="str">
        <f t="shared" si="38"/>
        <v/>
      </c>
      <c r="E213" s="114"/>
      <c r="F213" s="77" t="str">
        <f t="shared" si="39"/>
        <v/>
      </c>
      <c r="G213" s="77" t="str">
        <f t="shared" si="40"/>
        <v/>
      </c>
      <c r="H213" s="113"/>
      <c r="I213" s="113"/>
      <c r="J213" s="113"/>
      <c r="K213" s="126"/>
      <c r="L213" s="125"/>
      <c r="M213" s="125"/>
      <c r="N213" s="126"/>
      <c r="O213" s="303"/>
      <c r="P213" s="81"/>
      <c r="R213" s="72" t="str">
        <f t="shared" si="42"/>
        <v/>
      </c>
      <c r="S213" s="72" t="str">
        <f t="shared" si="43"/>
        <v/>
      </c>
      <c r="T213" s="72" t="str">
        <f t="shared" si="44"/>
        <v/>
      </c>
      <c r="AD213" s="72" t="s">
        <v>3061</v>
      </c>
      <c r="AE213" s="72" t="s">
        <v>3062</v>
      </c>
      <c r="AF213" s="72" t="str">
        <f t="shared" si="45"/>
        <v>A679072</v>
      </c>
      <c r="AG213" s="72" t="str">
        <f>VLOOKUP(AF213,AKT!$C$4:$E$324,3,FALSE)</f>
        <v>0942</v>
      </c>
    </row>
    <row r="214" spans="1:33">
      <c r="A214" s="82"/>
      <c r="B214" s="77" t="str">
        <f t="shared" si="41"/>
        <v/>
      </c>
      <c r="C214" s="82"/>
      <c r="D214" s="77" t="str">
        <f t="shared" si="38"/>
        <v/>
      </c>
      <c r="E214" s="114"/>
      <c r="F214" s="77" t="str">
        <f t="shared" si="39"/>
        <v/>
      </c>
      <c r="G214" s="77" t="str">
        <f t="shared" si="40"/>
        <v/>
      </c>
      <c r="H214" s="113"/>
      <c r="I214" s="113"/>
      <c r="J214" s="113"/>
      <c r="K214" s="126"/>
      <c r="L214" s="125"/>
      <c r="M214" s="125"/>
      <c r="N214" s="126"/>
      <c r="O214" s="303"/>
      <c r="P214" s="81"/>
      <c r="R214" s="72" t="str">
        <f t="shared" si="42"/>
        <v/>
      </c>
      <c r="S214" s="72" t="str">
        <f t="shared" si="43"/>
        <v/>
      </c>
      <c r="T214" s="72" t="str">
        <f t="shared" si="44"/>
        <v/>
      </c>
      <c r="AD214" s="72" t="s">
        <v>3063</v>
      </c>
      <c r="AE214" s="72" t="s">
        <v>3064</v>
      </c>
      <c r="AF214" s="72" t="str">
        <f t="shared" si="45"/>
        <v>A679072</v>
      </c>
      <c r="AG214" s="72" t="str">
        <f>VLOOKUP(AF214,AKT!$C$4:$E$324,3,FALSE)</f>
        <v>0942</v>
      </c>
    </row>
    <row r="215" spans="1:33">
      <c r="A215" s="82"/>
      <c r="B215" s="77" t="str">
        <f t="shared" si="41"/>
        <v/>
      </c>
      <c r="C215" s="82"/>
      <c r="D215" s="77" t="str">
        <f t="shared" si="38"/>
        <v/>
      </c>
      <c r="E215" s="114"/>
      <c r="F215" s="77" t="str">
        <f t="shared" si="39"/>
        <v/>
      </c>
      <c r="G215" s="77" t="str">
        <f t="shared" si="40"/>
        <v/>
      </c>
      <c r="H215" s="113"/>
      <c r="I215" s="113"/>
      <c r="J215" s="113"/>
      <c r="K215" s="126"/>
      <c r="L215" s="125"/>
      <c r="M215" s="125"/>
      <c r="N215" s="126"/>
      <c r="O215" s="303"/>
      <c r="P215" s="81"/>
      <c r="R215" s="72" t="str">
        <f t="shared" si="42"/>
        <v/>
      </c>
      <c r="S215" s="72" t="str">
        <f t="shared" si="43"/>
        <v/>
      </c>
      <c r="T215" s="72" t="str">
        <f t="shared" si="44"/>
        <v/>
      </c>
      <c r="AD215" s="72" t="s">
        <v>3065</v>
      </c>
      <c r="AE215" s="72" t="s">
        <v>2513</v>
      </c>
      <c r="AF215" s="72" t="str">
        <f t="shared" si="45"/>
        <v>A679072</v>
      </c>
      <c r="AG215" s="72" t="str">
        <f>VLOOKUP(AF215,AKT!$C$4:$E$324,3,FALSE)</f>
        <v>0942</v>
      </c>
    </row>
    <row r="216" spans="1:33">
      <c r="A216" s="82"/>
      <c r="B216" s="77" t="str">
        <f t="shared" si="41"/>
        <v/>
      </c>
      <c r="C216" s="82"/>
      <c r="D216" s="77" t="str">
        <f t="shared" si="38"/>
        <v/>
      </c>
      <c r="E216" s="114"/>
      <c r="F216" s="77" t="str">
        <f t="shared" si="39"/>
        <v/>
      </c>
      <c r="G216" s="77" t="str">
        <f t="shared" si="40"/>
        <v/>
      </c>
      <c r="H216" s="113"/>
      <c r="I216" s="113"/>
      <c r="J216" s="113"/>
      <c r="K216" s="126"/>
      <c r="L216" s="125"/>
      <c r="M216" s="125"/>
      <c r="N216" s="126"/>
      <c r="O216" s="303"/>
      <c r="P216" s="81"/>
      <c r="R216" s="72" t="str">
        <f t="shared" si="42"/>
        <v/>
      </c>
      <c r="S216" s="72" t="str">
        <f t="shared" si="43"/>
        <v/>
      </c>
      <c r="T216" s="72" t="str">
        <f t="shared" si="44"/>
        <v/>
      </c>
      <c r="AD216" s="72" t="s">
        <v>3066</v>
      </c>
      <c r="AE216" s="72" t="s">
        <v>3067</v>
      </c>
      <c r="AF216" s="72" t="str">
        <f t="shared" si="45"/>
        <v>A679072</v>
      </c>
      <c r="AG216" s="72" t="str">
        <f>VLOOKUP(AF216,AKT!$C$4:$E$324,3,FALSE)</f>
        <v>0942</v>
      </c>
    </row>
    <row r="217" spans="1:33">
      <c r="A217" s="82"/>
      <c r="B217" s="77" t="str">
        <f t="shared" si="41"/>
        <v/>
      </c>
      <c r="C217" s="82"/>
      <c r="D217" s="77" t="str">
        <f t="shared" si="38"/>
        <v/>
      </c>
      <c r="E217" s="114"/>
      <c r="F217" s="77" t="str">
        <f t="shared" si="39"/>
        <v/>
      </c>
      <c r="G217" s="77" t="str">
        <f t="shared" si="40"/>
        <v/>
      </c>
      <c r="H217" s="113"/>
      <c r="I217" s="113"/>
      <c r="J217" s="113"/>
      <c r="K217" s="126"/>
      <c r="L217" s="125"/>
      <c r="M217" s="125"/>
      <c r="N217" s="126"/>
      <c r="O217" s="303"/>
      <c r="P217" s="81"/>
      <c r="R217" s="72" t="str">
        <f t="shared" si="42"/>
        <v/>
      </c>
      <c r="S217" s="72" t="str">
        <f t="shared" si="43"/>
        <v/>
      </c>
      <c r="T217" s="72" t="str">
        <f t="shared" si="44"/>
        <v/>
      </c>
      <c r="AD217" s="72" t="s">
        <v>3068</v>
      </c>
      <c r="AE217" s="72" t="s">
        <v>3069</v>
      </c>
      <c r="AF217" s="72" t="str">
        <f t="shared" si="45"/>
        <v>A679072</v>
      </c>
      <c r="AG217" s="72" t="str">
        <f>VLOOKUP(AF217,AKT!$C$4:$E$324,3,FALSE)</f>
        <v>0942</v>
      </c>
    </row>
    <row r="218" spans="1:33">
      <c r="A218" s="82"/>
      <c r="B218" s="77" t="str">
        <f t="shared" si="41"/>
        <v/>
      </c>
      <c r="C218" s="82"/>
      <c r="D218" s="77" t="str">
        <f t="shared" si="38"/>
        <v/>
      </c>
      <c r="E218" s="114"/>
      <c r="F218" s="77" t="str">
        <f t="shared" si="39"/>
        <v/>
      </c>
      <c r="G218" s="77" t="str">
        <f t="shared" si="40"/>
        <v/>
      </c>
      <c r="H218" s="113"/>
      <c r="I218" s="113"/>
      <c r="J218" s="113"/>
      <c r="K218" s="126"/>
      <c r="L218" s="125"/>
      <c r="M218" s="125"/>
      <c r="N218" s="126"/>
      <c r="O218" s="303"/>
      <c r="P218" s="81"/>
      <c r="R218" s="72" t="str">
        <f t="shared" si="42"/>
        <v/>
      </c>
      <c r="S218" s="72" t="str">
        <f t="shared" si="43"/>
        <v/>
      </c>
      <c r="T218" s="72" t="str">
        <f t="shared" si="44"/>
        <v/>
      </c>
      <c r="AD218" s="72" t="s">
        <v>3070</v>
      </c>
      <c r="AE218" s="72" t="s">
        <v>3071</v>
      </c>
      <c r="AF218" s="72" t="str">
        <f t="shared" si="45"/>
        <v>A679072</v>
      </c>
      <c r="AG218" s="72" t="str">
        <f>VLOOKUP(AF218,AKT!$C$4:$E$324,3,FALSE)</f>
        <v>0942</v>
      </c>
    </row>
    <row r="219" spans="1:33">
      <c r="A219" s="82"/>
      <c r="B219" s="77" t="str">
        <f t="shared" si="41"/>
        <v/>
      </c>
      <c r="C219" s="82"/>
      <c r="D219" s="77" t="str">
        <f t="shared" si="38"/>
        <v/>
      </c>
      <c r="E219" s="114"/>
      <c r="F219" s="77" t="str">
        <f t="shared" si="39"/>
        <v/>
      </c>
      <c r="G219" s="77" t="str">
        <f t="shared" si="40"/>
        <v/>
      </c>
      <c r="H219" s="113"/>
      <c r="I219" s="113"/>
      <c r="J219" s="113"/>
      <c r="K219" s="126"/>
      <c r="L219" s="125"/>
      <c r="M219" s="125"/>
      <c r="N219" s="126"/>
      <c r="O219" s="303"/>
      <c r="P219" s="81"/>
      <c r="R219" s="72" t="str">
        <f t="shared" si="42"/>
        <v/>
      </c>
      <c r="S219" s="72" t="str">
        <f t="shared" si="43"/>
        <v/>
      </c>
      <c r="T219" s="72" t="str">
        <f t="shared" si="44"/>
        <v/>
      </c>
      <c r="AD219" s="72" t="s">
        <v>3072</v>
      </c>
      <c r="AE219" s="72" t="s">
        <v>3073</v>
      </c>
      <c r="AF219" s="72" t="str">
        <f t="shared" si="45"/>
        <v>A679072</v>
      </c>
      <c r="AG219" s="72" t="str">
        <f>VLOOKUP(AF219,AKT!$C$4:$E$324,3,FALSE)</f>
        <v>0942</v>
      </c>
    </row>
    <row r="220" spans="1:33">
      <c r="A220" s="82"/>
      <c r="B220" s="77" t="str">
        <f t="shared" si="41"/>
        <v/>
      </c>
      <c r="C220" s="82"/>
      <c r="D220" s="77" t="str">
        <f t="shared" si="38"/>
        <v/>
      </c>
      <c r="E220" s="114"/>
      <c r="F220" s="77" t="str">
        <f t="shared" si="39"/>
        <v/>
      </c>
      <c r="G220" s="77" t="str">
        <f t="shared" si="40"/>
        <v/>
      </c>
      <c r="H220" s="113"/>
      <c r="I220" s="113"/>
      <c r="J220" s="113"/>
      <c r="K220" s="126"/>
      <c r="L220" s="125"/>
      <c r="M220" s="125"/>
      <c r="N220" s="126"/>
      <c r="O220" s="303"/>
      <c r="P220" s="81"/>
      <c r="R220" s="72" t="str">
        <f t="shared" si="42"/>
        <v/>
      </c>
      <c r="S220" s="72" t="str">
        <f t="shared" si="43"/>
        <v/>
      </c>
      <c r="T220" s="72" t="str">
        <f t="shared" si="44"/>
        <v/>
      </c>
      <c r="AD220" s="72" t="s">
        <v>3074</v>
      </c>
      <c r="AE220" s="72" t="s">
        <v>3075</v>
      </c>
      <c r="AF220" s="72" t="str">
        <f t="shared" si="45"/>
        <v>A679072</v>
      </c>
      <c r="AG220" s="72" t="str">
        <f>VLOOKUP(AF220,AKT!$C$4:$E$324,3,FALSE)</f>
        <v>0942</v>
      </c>
    </row>
    <row r="221" spans="1:33">
      <c r="A221" s="82"/>
      <c r="B221" s="77" t="str">
        <f t="shared" si="41"/>
        <v/>
      </c>
      <c r="C221" s="82"/>
      <c r="D221" s="77" t="str">
        <f t="shared" si="38"/>
        <v/>
      </c>
      <c r="E221" s="114"/>
      <c r="F221" s="77" t="str">
        <f t="shared" si="39"/>
        <v/>
      </c>
      <c r="G221" s="77" t="str">
        <f t="shared" si="40"/>
        <v/>
      </c>
      <c r="H221" s="113"/>
      <c r="I221" s="113"/>
      <c r="J221" s="113"/>
      <c r="K221" s="126"/>
      <c r="L221" s="125"/>
      <c r="M221" s="125"/>
      <c r="N221" s="126"/>
      <c r="O221" s="303"/>
      <c r="P221" s="81"/>
      <c r="R221" s="72" t="str">
        <f t="shared" si="42"/>
        <v/>
      </c>
      <c r="S221" s="72" t="str">
        <f t="shared" si="43"/>
        <v/>
      </c>
      <c r="T221" s="72" t="str">
        <f t="shared" si="44"/>
        <v/>
      </c>
      <c r="AD221" s="72" t="s">
        <v>3076</v>
      </c>
      <c r="AE221" s="72" t="s">
        <v>3077</v>
      </c>
      <c r="AF221" s="72" t="str">
        <f t="shared" si="45"/>
        <v>A679072</v>
      </c>
      <c r="AG221" s="72" t="str">
        <f>VLOOKUP(AF221,AKT!$C$4:$E$324,3,FALSE)</f>
        <v>0942</v>
      </c>
    </row>
    <row r="222" spans="1:33">
      <c r="A222" s="82"/>
      <c r="B222" s="77" t="str">
        <f t="shared" si="41"/>
        <v/>
      </c>
      <c r="C222" s="82"/>
      <c r="D222" s="77" t="str">
        <f t="shared" si="38"/>
        <v/>
      </c>
      <c r="E222" s="114"/>
      <c r="F222" s="77" t="str">
        <f t="shared" si="39"/>
        <v/>
      </c>
      <c r="G222" s="77" t="str">
        <f t="shared" si="40"/>
        <v/>
      </c>
      <c r="H222" s="113"/>
      <c r="I222" s="113"/>
      <c r="J222" s="113"/>
      <c r="K222" s="126"/>
      <c r="L222" s="125"/>
      <c r="M222" s="125"/>
      <c r="N222" s="126"/>
      <c r="O222" s="303"/>
      <c r="P222" s="81"/>
      <c r="R222" s="72" t="str">
        <f t="shared" si="42"/>
        <v/>
      </c>
      <c r="S222" s="72" t="str">
        <f t="shared" si="43"/>
        <v/>
      </c>
      <c r="T222" s="72" t="str">
        <f t="shared" si="44"/>
        <v/>
      </c>
      <c r="AD222" s="72" t="s">
        <v>3078</v>
      </c>
      <c r="AE222" s="72" t="s">
        <v>3079</v>
      </c>
      <c r="AF222" s="72" t="str">
        <f t="shared" si="45"/>
        <v>A679072</v>
      </c>
      <c r="AG222" s="72" t="str">
        <f>VLOOKUP(AF222,AKT!$C$4:$E$324,3,FALSE)</f>
        <v>0942</v>
      </c>
    </row>
    <row r="223" spans="1:33">
      <c r="A223" s="82"/>
      <c r="B223" s="77" t="str">
        <f t="shared" si="41"/>
        <v/>
      </c>
      <c r="C223" s="82"/>
      <c r="D223" s="77" t="str">
        <f t="shared" si="38"/>
        <v/>
      </c>
      <c r="E223" s="114"/>
      <c r="F223" s="77" t="str">
        <f t="shared" si="39"/>
        <v/>
      </c>
      <c r="G223" s="77" t="str">
        <f t="shared" si="40"/>
        <v/>
      </c>
      <c r="H223" s="113"/>
      <c r="I223" s="113"/>
      <c r="J223" s="113"/>
      <c r="K223" s="126"/>
      <c r="L223" s="125"/>
      <c r="M223" s="125"/>
      <c r="N223" s="126"/>
      <c r="O223" s="303"/>
      <c r="P223" s="81"/>
      <c r="R223" s="72" t="str">
        <f t="shared" si="42"/>
        <v/>
      </c>
      <c r="S223" s="72" t="str">
        <f t="shared" si="43"/>
        <v/>
      </c>
      <c r="T223" s="72" t="str">
        <f t="shared" si="44"/>
        <v/>
      </c>
      <c r="AD223" s="72" t="s">
        <v>3080</v>
      </c>
      <c r="AE223" s="72" t="s">
        <v>3081</v>
      </c>
      <c r="AF223" s="72" t="str">
        <f t="shared" si="45"/>
        <v>A679072</v>
      </c>
      <c r="AG223" s="72" t="str">
        <f>VLOOKUP(AF223,AKT!$C$4:$E$324,3,FALSE)</f>
        <v>0942</v>
      </c>
    </row>
    <row r="224" spans="1:33">
      <c r="A224" s="82"/>
      <c r="B224" s="77" t="str">
        <f t="shared" si="41"/>
        <v/>
      </c>
      <c r="C224" s="82"/>
      <c r="D224" s="77" t="str">
        <f t="shared" si="38"/>
        <v/>
      </c>
      <c r="E224" s="114"/>
      <c r="F224" s="77" t="str">
        <f t="shared" si="39"/>
        <v/>
      </c>
      <c r="G224" s="77" t="str">
        <f t="shared" si="40"/>
        <v/>
      </c>
      <c r="H224" s="113"/>
      <c r="I224" s="113"/>
      <c r="J224" s="113"/>
      <c r="K224" s="126"/>
      <c r="L224" s="125"/>
      <c r="M224" s="125"/>
      <c r="N224" s="126"/>
      <c r="O224" s="303"/>
      <c r="P224" s="81"/>
      <c r="R224" s="72" t="str">
        <f t="shared" si="42"/>
        <v/>
      </c>
      <c r="S224" s="72" t="str">
        <f t="shared" si="43"/>
        <v/>
      </c>
      <c r="T224" s="72" t="str">
        <f t="shared" si="44"/>
        <v/>
      </c>
      <c r="AD224" s="72" t="s">
        <v>3082</v>
      </c>
      <c r="AE224" s="72" t="s">
        <v>3083</v>
      </c>
      <c r="AF224" s="72" t="str">
        <f t="shared" si="45"/>
        <v>A679072</v>
      </c>
      <c r="AG224" s="72" t="str">
        <f>VLOOKUP(AF224,AKT!$C$4:$E$324,3,FALSE)</f>
        <v>0942</v>
      </c>
    </row>
    <row r="225" spans="1:33">
      <c r="A225" s="82"/>
      <c r="B225" s="77" t="str">
        <f t="shared" si="41"/>
        <v/>
      </c>
      <c r="C225" s="82"/>
      <c r="D225" s="77" t="str">
        <f t="shared" si="38"/>
        <v/>
      </c>
      <c r="E225" s="114"/>
      <c r="F225" s="77" t="str">
        <f t="shared" si="39"/>
        <v/>
      </c>
      <c r="G225" s="77" t="str">
        <f t="shared" si="40"/>
        <v/>
      </c>
      <c r="H225" s="113"/>
      <c r="I225" s="113"/>
      <c r="J225" s="113"/>
      <c r="K225" s="126"/>
      <c r="L225" s="125"/>
      <c r="M225" s="125"/>
      <c r="N225" s="126"/>
      <c r="O225" s="303"/>
      <c r="P225" s="81"/>
      <c r="R225" s="72" t="str">
        <f t="shared" si="42"/>
        <v/>
      </c>
      <c r="S225" s="72" t="str">
        <f t="shared" si="43"/>
        <v/>
      </c>
      <c r="T225" s="72" t="str">
        <f t="shared" si="44"/>
        <v/>
      </c>
      <c r="AD225" s="72" t="s">
        <v>3084</v>
      </c>
      <c r="AE225" s="72" t="s">
        <v>3085</v>
      </c>
      <c r="AF225" s="72" t="str">
        <f t="shared" si="45"/>
        <v>A679072</v>
      </c>
      <c r="AG225" s="72" t="str">
        <f>VLOOKUP(AF225,AKT!$C$4:$E$324,3,FALSE)</f>
        <v>0942</v>
      </c>
    </row>
    <row r="226" spans="1:33">
      <c r="A226" s="82"/>
      <c r="B226" s="77" t="str">
        <f t="shared" si="41"/>
        <v/>
      </c>
      <c r="C226" s="82"/>
      <c r="D226" s="77" t="str">
        <f t="shared" si="38"/>
        <v/>
      </c>
      <c r="E226" s="114"/>
      <c r="F226" s="77" t="str">
        <f t="shared" si="39"/>
        <v/>
      </c>
      <c r="G226" s="77" t="str">
        <f t="shared" si="40"/>
        <v/>
      </c>
      <c r="H226" s="113"/>
      <c r="I226" s="113"/>
      <c r="J226" s="113"/>
      <c r="K226" s="126"/>
      <c r="L226" s="125"/>
      <c r="M226" s="125"/>
      <c r="N226" s="126"/>
      <c r="O226" s="303"/>
      <c r="P226" s="81"/>
      <c r="R226" s="72" t="str">
        <f t="shared" si="42"/>
        <v/>
      </c>
      <c r="S226" s="72" t="str">
        <f t="shared" si="43"/>
        <v/>
      </c>
      <c r="T226" s="72" t="str">
        <f t="shared" si="44"/>
        <v/>
      </c>
      <c r="AD226" s="72" t="s">
        <v>3086</v>
      </c>
      <c r="AE226" s="72" t="s">
        <v>3087</v>
      </c>
      <c r="AF226" s="72" t="str">
        <f t="shared" si="45"/>
        <v>A679072</v>
      </c>
      <c r="AG226" s="72" t="str">
        <f>VLOOKUP(AF226,AKT!$C$4:$E$324,3,FALSE)</f>
        <v>0942</v>
      </c>
    </row>
    <row r="227" spans="1:33">
      <c r="A227" s="82"/>
      <c r="B227" s="77" t="str">
        <f t="shared" si="41"/>
        <v/>
      </c>
      <c r="C227" s="82"/>
      <c r="D227" s="77" t="str">
        <f t="shared" si="38"/>
        <v/>
      </c>
      <c r="E227" s="114"/>
      <c r="F227" s="77" t="str">
        <f t="shared" si="39"/>
        <v/>
      </c>
      <c r="G227" s="77" t="str">
        <f t="shared" si="40"/>
        <v/>
      </c>
      <c r="H227" s="113"/>
      <c r="I227" s="113"/>
      <c r="J227" s="113"/>
      <c r="K227" s="126"/>
      <c r="L227" s="125"/>
      <c r="M227" s="125"/>
      <c r="N227" s="126"/>
      <c r="O227" s="303"/>
      <c r="P227" s="81"/>
      <c r="R227" s="72" t="str">
        <f t="shared" si="42"/>
        <v/>
      </c>
      <c r="S227" s="72" t="str">
        <f t="shared" si="43"/>
        <v/>
      </c>
      <c r="T227" s="72" t="str">
        <f t="shared" si="44"/>
        <v/>
      </c>
      <c r="AD227" s="72" t="s">
        <v>3088</v>
      </c>
      <c r="AE227" s="72" t="s">
        <v>3089</v>
      </c>
      <c r="AF227" s="72" t="str">
        <f t="shared" si="45"/>
        <v>A679072</v>
      </c>
      <c r="AG227" s="72" t="str">
        <f>VLOOKUP(AF227,AKT!$C$4:$E$324,3,FALSE)</f>
        <v>0942</v>
      </c>
    </row>
    <row r="228" spans="1:33">
      <c r="A228" s="82"/>
      <c r="B228" s="77" t="str">
        <f t="shared" si="41"/>
        <v/>
      </c>
      <c r="C228" s="82"/>
      <c r="D228" s="77" t="str">
        <f t="shared" si="38"/>
        <v/>
      </c>
      <c r="E228" s="114"/>
      <c r="F228" s="77" t="str">
        <f t="shared" si="39"/>
        <v/>
      </c>
      <c r="G228" s="77" t="str">
        <f t="shared" si="40"/>
        <v/>
      </c>
      <c r="H228" s="113"/>
      <c r="I228" s="113"/>
      <c r="J228" s="113"/>
      <c r="K228" s="126"/>
      <c r="L228" s="125"/>
      <c r="M228" s="125"/>
      <c r="N228" s="126"/>
      <c r="O228" s="303"/>
      <c r="P228" s="81"/>
      <c r="R228" s="72" t="str">
        <f t="shared" si="42"/>
        <v/>
      </c>
      <c r="S228" s="72" t="str">
        <f t="shared" si="43"/>
        <v/>
      </c>
      <c r="T228" s="72" t="str">
        <f t="shared" si="44"/>
        <v/>
      </c>
      <c r="AD228" s="72" t="s">
        <v>3090</v>
      </c>
      <c r="AE228" s="72" t="s">
        <v>3091</v>
      </c>
      <c r="AF228" s="72" t="str">
        <f t="shared" si="45"/>
        <v>A679072</v>
      </c>
      <c r="AG228" s="72" t="str">
        <f>VLOOKUP(AF228,AKT!$C$4:$E$324,3,FALSE)</f>
        <v>0942</v>
      </c>
    </row>
    <row r="229" spans="1:33">
      <c r="A229" s="82"/>
      <c r="B229" s="77" t="str">
        <f t="shared" si="41"/>
        <v/>
      </c>
      <c r="C229" s="82"/>
      <c r="D229" s="77" t="str">
        <f t="shared" si="38"/>
        <v/>
      </c>
      <c r="E229" s="114"/>
      <c r="F229" s="77" t="str">
        <f t="shared" si="39"/>
        <v/>
      </c>
      <c r="G229" s="77" t="str">
        <f t="shared" si="40"/>
        <v/>
      </c>
      <c r="H229" s="113"/>
      <c r="I229" s="113"/>
      <c r="J229" s="113"/>
      <c r="K229" s="126"/>
      <c r="L229" s="125"/>
      <c r="M229" s="125"/>
      <c r="N229" s="126"/>
      <c r="O229" s="303"/>
      <c r="P229" s="81"/>
      <c r="R229" s="72" t="str">
        <f t="shared" si="42"/>
        <v/>
      </c>
      <c r="S229" s="72" t="str">
        <f t="shared" si="43"/>
        <v/>
      </c>
      <c r="T229" s="72" t="str">
        <f t="shared" si="44"/>
        <v/>
      </c>
      <c r="AD229" s="72" t="s">
        <v>3092</v>
      </c>
      <c r="AE229" s="72" t="s">
        <v>3093</v>
      </c>
      <c r="AF229" s="72" t="str">
        <f t="shared" si="45"/>
        <v>A679073</v>
      </c>
      <c r="AG229" s="72" t="str">
        <f>VLOOKUP(AF229,AKT!$C$4:$E$324,3,FALSE)</f>
        <v>0942</v>
      </c>
    </row>
    <row r="230" spans="1:33">
      <c r="A230" s="82"/>
      <c r="B230" s="77" t="str">
        <f t="shared" si="41"/>
        <v/>
      </c>
      <c r="C230" s="82"/>
      <c r="D230" s="77" t="str">
        <f t="shared" si="38"/>
        <v/>
      </c>
      <c r="E230" s="114"/>
      <c r="F230" s="77" t="str">
        <f t="shared" si="39"/>
        <v/>
      </c>
      <c r="G230" s="77" t="str">
        <f t="shared" si="40"/>
        <v/>
      </c>
      <c r="H230" s="113"/>
      <c r="I230" s="113"/>
      <c r="J230" s="113"/>
      <c r="K230" s="126"/>
      <c r="L230" s="125"/>
      <c r="M230" s="125"/>
      <c r="N230" s="126"/>
      <c r="O230" s="303"/>
      <c r="P230" s="81"/>
      <c r="R230" s="72" t="str">
        <f t="shared" si="42"/>
        <v/>
      </c>
      <c r="S230" s="72" t="str">
        <f t="shared" si="43"/>
        <v/>
      </c>
      <c r="T230" s="72" t="str">
        <f t="shared" si="44"/>
        <v/>
      </c>
      <c r="AD230" s="72" t="s">
        <v>2173</v>
      </c>
      <c r="AE230" s="72" t="s">
        <v>2174</v>
      </c>
      <c r="AF230" s="72" t="str">
        <f t="shared" si="45"/>
        <v>A679073</v>
      </c>
      <c r="AG230" s="72" t="str">
        <f>VLOOKUP(AF230,AKT!$C$4:$E$324,3,FALSE)</f>
        <v>0942</v>
      </c>
    </row>
    <row r="231" spans="1:33">
      <c r="A231" s="82"/>
      <c r="B231" s="77" t="str">
        <f t="shared" si="41"/>
        <v/>
      </c>
      <c r="C231" s="82"/>
      <c r="D231" s="77" t="str">
        <f t="shared" si="38"/>
        <v/>
      </c>
      <c r="E231" s="114"/>
      <c r="F231" s="77" t="str">
        <f t="shared" si="39"/>
        <v/>
      </c>
      <c r="G231" s="77" t="str">
        <f t="shared" si="40"/>
        <v/>
      </c>
      <c r="H231" s="113"/>
      <c r="I231" s="113"/>
      <c r="J231" s="113"/>
      <c r="K231" s="126"/>
      <c r="L231" s="125"/>
      <c r="M231" s="125"/>
      <c r="N231" s="126"/>
      <c r="O231" s="303"/>
      <c r="P231" s="81"/>
      <c r="R231" s="72" t="str">
        <f t="shared" si="42"/>
        <v/>
      </c>
      <c r="S231" s="72" t="str">
        <f t="shared" si="43"/>
        <v/>
      </c>
      <c r="T231" s="72" t="str">
        <f t="shared" si="44"/>
        <v/>
      </c>
      <c r="AD231" s="72" t="s">
        <v>2175</v>
      </c>
      <c r="AE231" s="72" t="s">
        <v>2176</v>
      </c>
      <c r="AF231" s="72" t="str">
        <f t="shared" si="45"/>
        <v>A679073</v>
      </c>
      <c r="AG231" s="72" t="str">
        <f>VLOOKUP(AF231,AKT!$C$4:$E$324,3,FALSE)</f>
        <v>0942</v>
      </c>
    </row>
    <row r="232" spans="1:33">
      <c r="A232" s="82"/>
      <c r="B232" s="77" t="str">
        <f t="shared" si="41"/>
        <v/>
      </c>
      <c r="C232" s="82"/>
      <c r="D232" s="77" t="str">
        <f t="shared" si="38"/>
        <v/>
      </c>
      <c r="E232" s="114"/>
      <c r="F232" s="77" t="str">
        <f t="shared" si="39"/>
        <v/>
      </c>
      <c r="G232" s="77" t="str">
        <f t="shared" si="40"/>
        <v/>
      </c>
      <c r="H232" s="113"/>
      <c r="I232" s="113"/>
      <c r="J232" s="113"/>
      <c r="K232" s="126"/>
      <c r="L232" s="125"/>
      <c r="M232" s="125"/>
      <c r="N232" s="126"/>
      <c r="O232" s="303"/>
      <c r="P232" s="81"/>
      <c r="R232" s="72" t="str">
        <f t="shared" si="42"/>
        <v/>
      </c>
      <c r="S232" s="72" t="str">
        <f t="shared" si="43"/>
        <v/>
      </c>
      <c r="T232" s="72" t="str">
        <f t="shared" si="44"/>
        <v/>
      </c>
      <c r="AD232" s="72" t="s">
        <v>2177</v>
      </c>
      <c r="AE232" s="72" t="s">
        <v>2178</v>
      </c>
      <c r="AF232" s="72" t="str">
        <f t="shared" si="45"/>
        <v>A679073</v>
      </c>
      <c r="AG232" s="72" t="str">
        <f>VLOOKUP(AF232,AKT!$C$4:$E$324,3,FALSE)</f>
        <v>0942</v>
      </c>
    </row>
    <row r="233" spans="1:33">
      <c r="A233" s="82"/>
      <c r="B233" s="77" t="str">
        <f t="shared" si="41"/>
        <v/>
      </c>
      <c r="C233" s="82"/>
      <c r="D233" s="77" t="str">
        <f t="shared" si="38"/>
        <v/>
      </c>
      <c r="E233" s="114"/>
      <c r="F233" s="77" t="str">
        <f t="shared" si="39"/>
        <v/>
      </c>
      <c r="G233" s="77" t="str">
        <f t="shared" si="40"/>
        <v/>
      </c>
      <c r="H233" s="113"/>
      <c r="I233" s="113"/>
      <c r="J233" s="113"/>
      <c r="K233" s="126"/>
      <c r="L233" s="125"/>
      <c r="M233" s="125"/>
      <c r="N233" s="126"/>
      <c r="O233" s="303"/>
      <c r="P233" s="81"/>
      <c r="R233" s="72" t="str">
        <f t="shared" si="42"/>
        <v/>
      </c>
      <c r="S233" s="72" t="str">
        <f t="shared" si="43"/>
        <v/>
      </c>
      <c r="T233" s="72" t="str">
        <f t="shared" si="44"/>
        <v/>
      </c>
      <c r="AD233" s="72" t="s">
        <v>2179</v>
      </c>
      <c r="AE233" s="72" t="s">
        <v>2180</v>
      </c>
      <c r="AF233" s="72" t="str">
        <f t="shared" si="45"/>
        <v>A679073</v>
      </c>
      <c r="AG233" s="72" t="str">
        <f>VLOOKUP(AF233,AKT!$C$4:$E$324,3,FALSE)</f>
        <v>0942</v>
      </c>
    </row>
    <row r="234" spans="1:33">
      <c r="A234" s="82"/>
      <c r="B234" s="77" t="str">
        <f t="shared" si="41"/>
        <v/>
      </c>
      <c r="C234" s="82"/>
      <c r="D234" s="77" t="str">
        <f t="shared" si="38"/>
        <v/>
      </c>
      <c r="E234" s="114"/>
      <c r="F234" s="77" t="str">
        <f t="shared" si="39"/>
        <v/>
      </c>
      <c r="G234" s="77" t="str">
        <f t="shared" si="40"/>
        <v/>
      </c>
      <c r="H234" s="113"/>
      <c r="I234" s="113"/>
      <c r="J234" s="113"/>
      <c r="K234" s="126"/>
      <c r="L234" s="125"/>
      <c r="M234" s="125"/>
      <c r="N234" s="126"/>
      <c r="O234" s="303"/>
      <c r="P234" s="81"/>
      <c r="R234" s="72" t="str">
        <f t="shared" si="42"/>
        <v/>
      </c>
      <c r="S234" s="72" t="str">
        <f t="shared" si="43"/>
        <v/>
      </c>
      <c r="T234" s="72" t="str">
        <f t="shared" si="44"/>
        <v/>
      </c>
      <c r="AD234" s="72" t="s">
        <v>2181</v>
      </c>
      <c r="AE234" s="72" t="s">
        <v>2182</v>
      </c>
      <c r="AF234" s="72" t="str">
        <f t="shared" si="45"/>
        <v>A679073</v>
      </c>
      <c r="AG234" s="72" t="str">
        <f>VLOOKUP(AF234,AKT!$C$4:$E$324,3,FALSE)</f>
        <v>0942</v>
      </c>
    </row>
    <row r="235" spans="1:33">
      <c r="A235" s="82"/>
      <c r="B235" s="77" t="str">
        <f t="shared" si="41"/>
        <v/>
      </c>
      <c r="C235" s="82"/>
      <c r="D235" s="77" t="str">
        <f t="shared" si="38"/>
        <v/>
      </c>
      <c r="E235" s="114"/>
      <c r="F235" s="77" t="str">
        <f t="shared" si="39"/>
        <v/>
      </c>
      <c r="G235" s="77" t="str">
        <f t="shared" si="40"/>
        <v/>
      </c>
      <c r="H235" s="113"/>
      <c r="I235" s="113"/>
      <c r="J235" s="113"/>
      <c r="K235" s="126"/>
      <c r="L235" s="125"/>
      <c r="M235" s="125"/>
      <c r="N235" s="126"/>
      <c r="O235" s="303"/>
      <c r="P235" s="81"/>
      <c r="R235" s="72" t="str">
        <f t="shared" si="42"/>
        <v/>
      </c>
      <c r="S235" s="72" t="str">
        <f t="shared" si="43"/>
        <v/>
      </c>
      <c r="T235" s="72" t="str">
        <f t="shared" si="44"/>
        <v/>
      </c>
      <c r="AD235" s="72" t="s">
        <v>2183</v>
      </c>
      <c r="AE235" s="72" t="s">
        <v>2184</v>
      </c>
      <c r="AF235" s="72" t="str">
        <f t="shared" si="45"/>
        <v>A679073</v>
      </c>
      <c r="AG235" s="72" t="str">
        <f>VLOOKUP(AF235,AKT!$C$4:$E$324,3,FALSE)</f>
        <v>0942</v>
      </c>
    </row>
    <row r="236" spans="1:33">
      <c r="A236" s="82"/>
      <c r="B236" s="77" t="str">
        <f t="shared" si="41"/>
        <v/>
      </c>
      <c r="C236" s="82"/>
      <c r="D236" s="77" t="str">
        <f t="shared" si="38"/>
        <v/>
      </c>
      <c r="E236" s="114"/>
      <c r="F236" s="77" t="str">
        <f t="shared" si="39"/>
        <v/>
      </c>
      <c r="G236" s="77" t="str">
        <f t="shared" si="40"/>
        <v/>
      </c>
      <c r="H236" s="113"/>
      <c r="I236" s="113"/>
      <c r="J236" s="113"/>
      <c r="K236" s="126"/>
      <c r="L236" s="125"/>
      <c r="M236" s="125"/>
      <c r="N236" s="126"/>
      <c r="O236" s="303"/>
      <c r="P236" s="81"/>
      <c r="R236" s="72" t="str">
        <f t="shared" si="42"/>
        <v/>
      </c>
      <c r="S236" s="72" t="str">
        <f t="shared" si="43"/>
        <v/>
      </c>
      <c r="T236" s="72" t="str">
        <f t="shared" si="44"/>
        <v/>
      </c>
      <c r="AD236" s="72" t="s">
        <v>2185</v>
      </c>
      <c r="AE236" s="72" t="s">
        <v>2186</v>
      </c>
      <c r="AF236" s="72" t="str">
        <f t="shared" si="45"/>
        <v>A679073</v>
      </c>
      <c r="AG236" s="72" t="str">
        <f>VLOOKUP(AF236,AKT!$C$4:$E$324,3,FALSE)</f>
        <v>0942</v>
      </c>
    </row>
    <row r="237" spans="1:33">
      <c r="A237" s="82"/>
      <c r="B237" s="77" t="str">
        <f t="shared" si="41"/>
        <v/>
      </c>
      <c r="C237" s="82"/>
      <c r="D237" s="77" t="str">
        <f t="shared" si="38"/>
        <v/>
      </c>
      <c r="E237" s="114"/>
      <c r="F237" s="77" t="str">
        <f t="shared" si="39"/>
        <v/>
      </c>
      <c r="G237" s="77" t="str">
        <f t="shared" si="40"/>
        <v/>
      </c>
      <c r="H237" s="113"/>
      <c r="I237" s="113"/>
      <c r="J237" s="113"/>
      <c r="K237" s="126"/>
      <c r="L237" s="125"/>
      <c r="M237" s="125"/>
      <c r="N237" s="126"/>
      <c r="O237" s="303"/>
      <c r="P237" s="81"/>
      <c r="R237" s="72" t="str">
        <f t="shared" si="42"/>
        <v/>
      </c>
      <c r="S237" s="72" t="str">
        <f t="shared" si="43"/>
        <v/>
      </c>
      <c r="T237" s="72" t="str">
        <f t="shared" si="44"/>
        <v/>
      </c>
      <c r="AD237" s="72" t="s">
        <v>2187</v>
      </c>
      <c r="AE237" s="72" t="s">
        <v>2188</v>
      </c>
      <c r="AF237" s="72" t="str">
        <f t="shared" si="45"/>
        <v>A679073</v>
      </c>
      <c r="AG237" s="72" t="str">
        <f>VLOOKUP(AF237,AKT!$C$4:$E$324,3,FALSE)</f>
        <v>0942</v>
      </c>
    </row>
    <row r="238" spans="1:33">
      <c r="A238" s="82"/>
      <c r="B238" s="77" t="str">
        <f t="shared" si="41"/>
        <v/>
      </c>
      <c r="C238" s="82"/>
      <c r="D238" s="77" t="str">
        <f t="shared" si="38"/>
        <v/>
      </c>
      <c r="E238" s="114"/>
      <c r="F238" s="77" t="str">
        <f t="shared" si="39"/>
        <v/>
      </c>
      <c r="G238" s="77" t="str">
        <f t="shared" si="40"/>
        <v/>
      </c>
      <c r="H238" s="113"/>
      <c r="I238" s="113"/>
      <c r="J238" s="113"/>
      <c r="K238" s="126"/>
      <c r="L238" s="125"/>
      <c r="M238" s="125"/>
      <c r="N238" s="126"/>
      <c r="O238" s="303"/>
      <c r="P238" s="81"/>
      <c r="R238" s="72" t="str">
        <f t="shared" si="42"/>
        <v/>
      </c>
      <c r="S238" s="72" t="str">
        <f t="shared" si="43"/>
        <v/>
      </c>
      <c r="T238" s="72" t="str">
        <f t="shared" si="44"/>
        <v/>
      </c>
      <c r="AD238" s="72" t="s">
        <v>2189</v>
      </c>
      <c r="AE238" s="72" t="s">
        <v>2190</v>
      </c>
      <c r="AF238" s="72" t="str">
        <f t="shared" si="45"/>
        <v>A679073</v>
      </c>
      <c r="AG238" s="72" t="str">
        <f>VLOOKUP(AF238,AKT!$C$4:$E$324,3,FALSE)</f>
        <v>0942</v>
      </c>
    </row>
    <row r="239" spans="1:33">
      <c r="A239" s="82"/>
      <c r="B239" s="77" t="str">
        <f t="shared" si="41"/>
        <v/>
      </c>
      <c r="C239" s="82"/>
      <c r="D239" s="77" t="str">
        <f t="shared" si="38"/>
        <v/>
      </c>
      <c r="E239" s="114"/>
      <c r="F239" s="77" t="str">
        <f t="shared" si="39"/>
        <v/>
      </c>
      <c r="G239" s="77" t="str">
        <f t="shared" si="40"/>
        <v/>
      </c>
      <c r="H239" s="113"/>
      <c r="I239" s="113"/>
      <c r="J239" s="113"/>
      <c r="K239" s="126"/>
      <c r="L239" s="125"/>
      <c r="M239" s="125"/>
      <c r="N239" s="126"/>
      <c r="O239" s="303"/>
      <c r="P239" s="81"/>
      <c r="R239" s="72" t="str">
        <f t="shared" si="42"/>
        <v/>
      </c>
      <c r="S239" s="72" t="str">
        <f t="shared" si="43"/>
        <v/>
      </c>
      <c r="T239" s="72" t="str">
        <f t="shared" si="44"/>
        <v/>
      </c>
      <c r="AD239" s="72" t="s">
        <v>2191</v>
      </c>
      <c r="AE239" s="72" t="s">
        <v>2192</v>
      </c>
      <c r="AF239" s="72" t="str">
        <f t="shared" si="45"/>
        <v>A679073</v>
      </c>
      <c r="AG239" s="72" t="str">
        <f>VLOOKUP(AF239,AKT!$C$4:$E$324,3,FALSE)</f>
        <v>0942</v>
      </c>
    </row>
    <row r="240" spans="1:33">
      <c r="A240" s="82"/>
      <c r="B240" s="77" t="str">
        <f t="shared" si="41"/>
        <v/>
      </c>
      <c r="C240" s="82"/>
      <c r="D240" s="77" t="str">
        <f t="shared" si="38"/>
        <v/>
      </c>
      <c r="E240" s="114"/>
      <c r="F240" s="77" t="str">
        <f t="shared" si="39"/>
        <v/>
      </c>
      <c r="G240" s="77" t="str">
        <f t="shared" si="40"/>
        <v/>
      </c>
      <c r="H240" s="113"/>
      <c r="I240" s="113"/>
      <c r="J240" s="113"/>
      <c r="K240" s="126"/>
      <c r="L240" s="125"/>
      <c r="M240" s="125"/>
      <c r="N240" s="126"/>
      <c r="O240" s="303"/>
      <c r="P240" s="81"/>
      <c r="R240" s="72" t="str">
        <f t="shared" si="42"/>
        <v/>
      </c>
      <c r="S240" s="72" t="str">
        <f t="shared" si="43"/>
        <v/>
      </c>
      <c r="T240" s="72" t="str">
        <f t="shared" si="44"/>
        <v/>
      </c>
      <c r="AD240" s="72" t="s">
        <v>2193</v>
      </c>
      <c r="AE240" s="72" t="s">
        <v>2194</v>
      </c>
      <c r="AF240" s="72" t="str">
        <f t="shared" si="45"/>
        <v>A679073</v>
      </c>
      <c r="AG240" s="72" t="str">
        <f>VLOOKUP(AF240,AKT!$C$4:$E$324,3,FALSE)</f>
        <v>0942</v>
      </c>
    </row>
    <row r="241" spans="1:33">
      <c r="A241" s="82"/>
      <c r="B241" s="77" t="str">
        <f t="shared" si="41"/>
        <v/>
      </c>
      <c r="C241" s="82"/>
      <c r="D241" s="77" t="str">
        <f t="shared" si="38"/>
        <v/>
      </c>
      <c r="E241" s="114"/>
      <c r="F241" s="77" t="str">
        <f t="shared" si="39"/>
        <v/>
      </c>
      <c r="G241" s="77" t="str">
        <f t="shared" si="40"/>
        <v/>
      </c>
      <c r="H241" s="113"/>
      <c r="I241" s="113"/>
      <c r="J241" s="113"/>
      <c r="K241" s="126"/>
      <c r="L241" s="125"/>
      <c r="M241" s="125"/>
      <c r="N241" s="126"/>
      <c r="O241" s="303"/>
      <c r="P241" s="81"/>
      <c r="R241" s="72" t="str">
        <f t="shared" si="42"/>
        <v/>
      </c>
      <c r="S241" s="72" t="str">
        <f t="shared" si="43"/>
        <v/>
      </c>
      <c r="T241" s="72" t="str">
        <f t="shared" si="44"/>
        <v/>
      </c>
      <c r="AD241" s="72" t="s">
        <v>2195</v>
      </c>
      <c r="AE241" s="72" t="s">
        <v>2196</v>
      </c>
      <c r="AF241" s="72" t="str">
        <f t="shared" si="45"/>
        <v>A679073</v>
      </c>
      <c r="AG241" s="72" t="str">
        <f>VLOOKUP(AF241,AKT!$C$4:$E$324,3,FALSE)</f>
        <v>0942</v>
      </c>
    </row>
    <row r="242" spans="1:33">
      <c r="A242" s="82"/>
      <c r="B242" s="77" t="str">
        <f t="shared" si="41"/>
        <v/>
      </c>
      <c r="C242" s="82"/>
      <c r="D242" s="77" t="str">
        <f t="shared" si="38"/>
        <v/>
      </c>
      <c r="E242" s="114"/>
      <c r="F242" s="77" t="str">
        <f t="shared" si="39"/>
        <v/>
      </c>
      <c r="G242" s="77" t="str">
        <f t="shared" si="40"/>
        <v/>
      </c>
      <c r="H242" s="113"/>
      <c r="I242" s="113"/>
      <c r="J242" s="113"/>
      <c r="K242" s="126"/>
      <c r="L242" s="125"/>
      <c r="M242" s="125"/>
      <c r="N242" s="126"/>
      <c r="O242" s="303"/>
      <c r="P242" s="81"/>
      <c r="R242" s="72" t="str">
        <f t="shared" si="42"/>
        <v/>
      </c>
      <c r="S242" s="72" t="str">
        <f t="shared" si="43"/>
        <v/>
      </c>
      <c r="T242" s="72" t="str">
        <f t="shared" si="44"/>
        <v/>
      </c>
      <c r="AD242" s="72" t="s">
        <v>2197</v>
      </c>
      <c r="AE242" s="72" t="s">
        <v>2198</v>
      </c>
      <c r="AF242" s="72" t="str">
        <f t="shared" si="45"/>
        <v>A679073</v>
      </c>
      <c r="AG242" s="72" t="str">
        <f>VLOOKUP(AF242,AKT!$C$4:$E$324,3,FALSE)</f>
        <v>0942</v>
      </c>
    </row>
    <row r="243" spans="1:33">
      <c r="A243" s="82"/>
      <c r="B243" s="77" t="str">
        <f t="shared" si="41"/>
        <v/>
      </c>
      <c r="C243" s="82"/>
      <c r="D243" s="77" t="str">
        <f t="shared" si="38"/>
        <v/>
      </c>
      <c r="E243" s="114"/>
      <c r="F243" s="77" t="str">
        <f t="shared" si="39"/>
        <v/>
      </c>
      <c r="G243" s="77" t="str">
        <f t="shared" si="40"/>
        <v/>
      </c>
      <c r="H243" s="113"/>
      <c r="I243" s="113"/>
      <c r="J243" s="113"/>
      <c r="K243" s="126"/>
      <c r="L243" s="125"/>
      <c r="M243" s="125"/>
      <c r="N243" s="126"/>
      <c r="O243" s="303"/>
      <c r="P243" s="81"/>
      <c r="R243" s="72" t="str">
        <f t="shared" si="42"/>
        <v/>
      </c>
      <c r="S243" s="72" t="str">
        <f t="shared" si="43"/>
        <v/>
      </c>
      <c r="T243" s="72" t="str">
        <f t="shared" si="44"/>
        <v/>
      </c>
      <c r="AD243" s="72" t="s">
        <v>2199</v>
      </c>
      <c r="AE243" s="72" t="s">
        <v>2200</v>
      </c>
      <c r="AF243" s="72" t="str">
        <f t="shared" si="45"/>
        <v>A679073</v>
      </c>
      <c r="AG243" s="72" t="str">
        <f>VLOOKUP(AF243,AKT!$C$4:$E$324,3,FALSE)</f>
        <v>0942</v>
      </c>
    </row>
    <row r="244" spans="1:33">
      <c r="A244" s="82"/>
      <c r="B244" s="77" t="str">
        <f t="shared" si="41"/>
        <v/>
      </c>
      <c r="C244" s="82"/>
      <c r="D244" s="77" t="str">
        <f t="shared" si="38"/>
        <v/>
      </c>
      <c r="E244" s="114"/>
      <c r="F244" s="77" t="str">
        <f t="shared" si="39"/>
        <v/>
      </c>
      <c r="G244" s="77" t="str">
        <f t="shared" si="40"/>
        <v/>
      </c>
      <c r="H244" s="113"/>
      <c r="I244" s="113"/>
      <c r="J244" s="113"/>
      <c r="K244" s="126"/>
      <c r="L244" s="125"/>
      <c r="M244" s="125"/>
      <c r="N244" s="126"/>
      <c r="O244" s="303"/>
      <c r="P244" s="81"/>
      <c r="R244" s="72" t="str">
        <f t="shared" si="42"/>
        <v/>
      </c>
      <c r="S244" s="72" t="str">
        <f t="shared" si="43"/>
        <v/>
      </c>
      <c r="T244" s="72" t="str">
        <f t="shared" si="44"/>
        <v/>
      </c>
      <c r="AD244" s="72" t="s">
        <v>3094</v>
      </c>
      <c r="AE244" s="72" t="s">
        <v>3095</v>
      </c>
      <c r="AF244" s="72" t="str">
        <f t="shared" si="45"/>
        <v>A679073</v>
      </c>
      <c r="AG244" s="72" t="str">
        <f>VLOOKUP(AF244,AKT!$C$4:$E$324,3,FALSE)</f>
        <v>0942</v>
      </c>
    </row>
    <row r="245" spans="1:33">
      <c r="A245" s="82"/>
      <c r="B245" s="77" t="str">
        <f t="shared" si="41"/>
        <v/>
      </c>
      <c r="C245" s="82"/>
      <c r="D245" s="77" t="str">
        <f t="shared" si="38"/>
        <v/>
      </c>
      <c r="E245" s="114"/>
      <c r="F245" s="77" t="str">
        <f t="shared" si="39"/>
        <v/>
      </c>
      <c r="G245" s="77" t="str">
        <f t="shared" si="40"/>
        <v/>
      </c>
      <c r="H245" s="113"/>
      <c r="I245" s="113"/>
      <c r="J245" s="113"/>
      <c r="K245" s="126"/>
      <c r="L245" s="125"/>
      <c r="M245" s="125"/>
      <c r="N245" s="126"/>
      <c r="O245" s="303"/>
      <c r="P245" s="81"/>
      <c r="R245" s="72" t="str">
        <f t="shared" si="42"/>
        <v/>
      </c>
      <c r="S245" s="72" t="str">
        <f t="shared" si="43"/>
        <v/>
      </c>
      <c r="T245" s="72" t="str">
        <f t="shared" si="44"/>
        <v/>
      </c>
      <c r="AD245" s="72" t="s">
        <v>3096</v>
      </c>
      <c r="AE245" s="72" t="s">
        <v>3097</v>
      </c>
      <c r="AF245" s="72" t="str">
        <f t="shared" si="45"/>
        <v>A679073</v>
      </c>
      <c r="AG245" s="72" t="str">
        <f>VLOOKUP(AF245,AKT!$C$4:$E$324,3,FALSE)</f>
        <v>0942</v>
      </c>
    </row>
    <row r="246" spans="1:33">
      <c r="A246" s="82"/>
      <c r="B246" s="77" t="str">
        <f t="shared" si="41"/>
        <v/>
      </c>
      <c r="C246" s="82"/>
      <c r="D246" s="77" t="str">
        <f t="shared" si="38"/>
        <v/>
      </c>
      <c r="E246" s="114"/>
      <c r="F246" s="77" t="str">
        <f t="shared" si="39"/>
        <v/>
      </c>
      <c r="G246" s="77" t="str">
        <f t="shared" si="40"/>
        <v/>
      </c>
      <c r="H246" s="113"/>
      <c r="I246" s="113"/>
      <c r="J246" s="113"/>
      <c r="K246" s="126"/>
      <c r="L246" s="125"/>
      <c r="M246" s="125"/>
      <c r="N246" s="126"/>
      <c r="O246" s="303"/>
      <c r="P246" s="81"/>
      <c r="R246" s="72" t="str">
        <f t="shared" si="42"/>
        <v/>
      </c>
      <c r="S246" s="72" t="str">
        <f t="shared" si="43"/>
        <v/>
      </c>
      <c r="T246" s="72" t="str">
        <f t="shared" si="44"/>
        <v/>
      </c>
      <c r="AD246" s="72" t="s">
        <v>3098</v>
      </c>
      <c r="AE246" s="72" t="s">
        <v>3099</v>
      </c>
      <c r="AF246" s="72" t="str">
        <f t="shared" si="45"/>
        <v>A679073</v>
      </c>
      <c r="AG246" s="72" t="str">
        <f>VLOOKUP(AF246,AKT!$C$4:$E$324,3,FALSE)</f>
        <v>0942</v>
      </c>
    </row>
    <row r="247" spans="1:33">
      <c r="A247" s="82"/>
      <c r="B247" s="77" t="str">
        <f t="shared" si="41"/>
        <v/>
      </c>
      <c r="C247" s="82"/>
      <c r="D247" s="77" t="str">
        <f t="shared" si="38"/>
        <v/>
      </c>
      <c r="E247" s="114"/>
      <c r="F247" s="77" t="str">
        <f t="shared" si="39"/>
        <v/>
      </c>
      <c r="G247" s="77" t="str">
        <f t="shared" si="40"/>
        <v/>
      </c>
      <c r="H247" s="113"/>
      <c r="I247" s="113"/>
      <c r="J247" s="113"/>
      <c r="K247" s="126"/>
      <c r="L247" s="125"/>
      <c r="M247" s="125"/>
      <c r="N247" s="126"/>
      <c r="O247" s="303"/>
      <c r="P247" s="81"/>
      <c r="R247" s="72" t="str">
        <f t="shared" si="42"/>
        <v/>
      </c>
      <c r="S247" s="72" t="str">
        <f t="shared" si="43"/>
        <v/>
      </c>
      <c r="T247" s="72" t="str">
        <f t="shared" si="44"/>
        <v/>
      </c>
      <c r="AD247" s="72" t="s">
        <v>3100</v>
      </c>
      <c r="AE247" s="72" t="s">
        <v>3101</v>
      </c>
      <c r="AF247" s="72" t="str">
        <f t="shared" si="45"/>
        <v>A679074</v>
      </c>
      <c r="AG247" s="72" t="str">
        <f>VLOOKUP(AF247,AKT!$C$4:$E$324,3,FALSE)</f>
        <v>0942</v>
      </c>
    </row>
    <row r="248" spans="1:33">
      <c r="A248" s="82"/>
      <c r="B248" s="77" t="str">
        <f t="shared" si="41"/>
        <v/>
      </c>
      <c r="C248" s="82"/>
      <c r="D248" s="77" t="str">
        <f t="shared" si="38"/>
        <v/>
      </c>
      <c r="E248" s="114"/>
      <c r="F248" s="77" t="str">
        <f t="shared" si="39"/>
        <v/>
      </c>
      <c r="G248" s="77" t="str">
        <f t="shared" si="40"/>
        <v/>
      </c>
      <c r="H248" s="113"/>
      <c r="I248" s="113"/>
      <c r="J248" s="113"/>
      <c r="K248" s="126"/>
      <c r="L248" s="125"/>
      <c r="M248" s="125"/>
      <c r="N248" s="126"/>
      <c r="O248" s="303"/>
      <c r="P248" s="81"/>
      <c r="R248" s="72" t="str">
        <f t="shared" si="42"/>
        <v/>
      </c>
      <c r="S248" s="72" t="str">
        <f t="shared" si="43"/>
        <v/>
      </c>
      <c r="T248" s="72" t="str">
        <f t="shared" si="44"/>
        <v/>
      </c>
      <c r="AD248" s="72" t="s">
        <v>737</v>
      </c>
      <c r="AE248" s="72" t="s">
        <v>738</v>
      </c>
      <c r="AF248" s="72" t="str">
        <f t="shared" si="45"/>
        <v>A679074</v>
      </c>
      <c r="AG248" s="72" t="str">
        <f>VLOOKUP(AF248,AKT!$C$4:$E$324,3,FALSE)</f>
        <v>0942</v>
      </c>
    </row>
    <row r="249" spans="1:33">
      <c r="A249" s="82"/>
      <c r="B249" s="77" t="str">
        <f t="shared" si="41"/>
        <v/>
      </c>
      <c r="C249" s="82"/>
      <c r="D249" s="77" t="str">
        <f t="shared" si="38"/>
        <v/>
      </c>
      <c r="E249" s="114"/>
      <c r="F249" s="77" t="str">
        <f t="shared" si="39"/>
        <v/>
      </c>
      <c r="G249" s="77" t="str">
        <f t="shared" si="40"/>
        <v/>
      </c>
      <c r="H249" s="113"/>
      <c r="I249" s="113"/>
      <c r="J249" s="113"/>
      <c r="K249" s="126"/>
      <c r="L249" s="125"/>
      <c r="M249" s="125"/>
      <c r="N249" s="126"/>
      <c r="O249" s="303"/>
      <c r="P249" s="81"/>
      <c r="R249" s="72" t="str">
        <f t="shared" si="42"/>
        <v/>
      </c>
      <c r="S249" s="72" t="str">
        <f t="shared" si="43"/>
        <v/>
      </c>
      <c r="T249" s="72" t="str">
        <f t="shared" si="44"/>
        <v/>
      </c>
      <c r="AD249" s="72" t="s">
        <v>739</v>
      </c>
      <c r="AE249" s="72" t="s">
        <v>740</v>
      </c>
      <c r="AF249" s="72" t="str">
        <f t="shared" si="45"/>
        <v>A679074</v>
      </c>
      <c r="AG249" s="72" t="str">
        <f>VLOOKUP(AF249,AKT!$C$4:$E$324,3,FALSE)</f>
        <v>0942</v>
      </c>
    </row>
    <row r="250" spans="1:33">
      <c r="A250" s="82"/>
      <c r="B250" s="77" t="str">
        <f t="shared" si="41"/>
        <v/>
      </c>
      <c r="C250" s="82"/>
      <c r="D250" s="77" t="str">
        <f t="shared" si="38"/>
        <v/>
      </c>
      <c r="E250" s="114"/>
      <c r="F250" s="77" t="str">
        <f t="shared" si="39"/>
        <v/>
      </c>
      <c r="G250" s="77" t="str">
        <f t="shared" si="40"/>
        <v/>
      </c>
      <c r="H250" s="113"/>
      <c r="I250" s="113"/>
      <c r="J250" s="113"/>
      <c r="K250" s="126"/>
      <c r="L250" s="125"/>
      <c r="M250" s="125"/>
      <c r="N250" s="126"/>
      <c r="O250" s="303"/>
      <c r="P250" s="81"/>
      <c r="R250" s="72" t="str">
        <f t="shared" si="42"/>
        <v/>
      </c>
      <c r="S250" s="72" t="str">
        <f t="shared" si="43"/>
        <v/>
      </c>
      <c r="T250" s="72" t="str">
        <f t="shared" si="44"/>
        <v/>
      </c>
      <c r="AD250" s="72" t="s">
        <v>741</v>
      </c>
      <c r="AE250" s="72" t="s">
        <v>742</v>
      </c>
      <c r="AF250" s="72" t="str">
        <f t="shared" si="45"/>
        <v>A679074</v>
      </c>
      <c r="AG250" s="72" t="str">
        <f>VLOOKUP(AF250,AKT!$C$4:$E$324,3,FALSE)</f>
        <v>0942</v>
      </c>
    </row>
    <row r="251" spans="1:33">
      <c r="A251" s="82"/>
      <c r="B251" s="77" t="str">
        <f t="shared" si="41"/>
        <v/>
      </c>
      <c r="C251" s="82"/>
      <c r="D251" s="77" t="str">
        <f t="shared" si="38"/>
        <v/>
      </c>
      <c r="E251" s="114"/>
      <c r="F251" s="77" t="str">
        <f t="shared" si="39"/>
        <v/>
      </c>
      <c r="G251" s="77" t="str">
        <f t="shared" si="40"/>
        <v/>
      </c>
      <c r="H251" s="113"/>
      <c r="I251" s="113"/>
      <c r="J251" s="113"/>
      <c r="K251" s="126"/>
      <c r="L251" s="125"/>
      <c r="M251" s="125"/>
      <c r="N251" s="126"/>
      <c r="O251" s="303"/>
      <c r="P251" s="81"/>
      <c r="R251" s="72" t="str">
        <f t="shared" si="42"/>
        <v/>
      </c>
      <c r="S251" s="72" t="str">
        <f t="shared" si="43"/>
        <v/>
      </c>
      <c r="T251" s="72" t="str">
        <f t="shared" si="44"/>
        <v/>
      </c>
      <c r="AD251" s="72" t="s">
        <v>743</v>
      </c>
      <c r="AE251" s="72" t="s">
        <v>744</v>
      </c>
      <c r="AF251" s="72" t="str">
        <f t="shared" si="45"/>
        <v>A679074</v>
      </c>
      <c r="AG251" s="72" t="str">
        <f>VLOOKUP(AF251,AKT!$C$4:$E$324,3,FALSE)</f>
        <v>0942</v>
      </c>
    </row>
    <row r="252" spans="1:33">
      <c r="A252" s="82"/>
      <c r="B252" s="77" t="str">
        <f t="shared" si="41"/>
        <v/>
      </c>
      <c r="C252" s="82"/>
      <c r="D252" s="77" t="str">
        <f t="shared" si="38"/>
        <v/>
      </c>
      <c r="E252" s="114"/>
      <c r="F252" s="77" t="str">
        <f t="shared" si="39"/>
        <v/>
      </c>
      <c r="G252" s="77" t="str">
        <f t="shared" si="40"/>
        <v/>
      </c>
      <c r="H252" s="113"/>
      <c r="I252" s="113"/>
      <c r="J252" s="113"/>
      <c r="K252" s="126"/>
      <c r="L252" s="125"/>
      <c r="M252" s="125"/>
      <c r="N252" s="126"/>
      <c r="O252" s="303"/>
      <c r="P252" s="81"/>
      <c r="R252" s="72" t="str">
        <f t="shared" si="42"/>
        <v/>
      </c>
      <c r="S252" s="72" t="str">
        <f t="shared" si="43"/>
        <v/>
      </c>
      <c r="T252" s="72" t="str">
        <f t="shared" si="44"/>
        <v/>
      </c>
      <c r="AD252" s="72" t="s">
        <v>745</v>
      </c>
      <c r="AE252" s="72" t="s">
        <v>746</v>
      </c>
      <c r="AF252" s="72" t="str">
        <f t="shared" si="45"/>
        <v>A679074</v>
      </c>
      <c r="AG252" s="72" t="str">
        <f>VLOOKUP(AF252,AKT!$C$4:$E$324,3,FALSE)</f>
        <v>0942</v>
      </c>
    </row>
    <row r="253" spans="1:33">
      <c r="A253" s="82"/>
      <c r="B253" s="77" t="str">
        <f t="shared" si="41"/>
        <v/>
      </c>
      <c r="C253" s="82"/>
      <c r="D253" s="77" t="str">
        <f t="shared" si="38"/>
        <v/>
      </c>
      <c r="E253" s="114"/>
      <c r="F253" s="77" t="str">
        <f t="shared" si="39"/>
        <v/>
      </c>
      <c r="G253" s="77" t="str">
        <f t="shared" si="40"/>
        <v/>
      </c>
      <c r="H253" s="113"/>
      <c r="I253" s="113"/>
      <c r="J253" s="113"/>
      <c r="K253" s="126"/>
      <c r="L253" s="125"/>
      <c r="M253" s="125"/>
      <c r="N253" s="126"/>
      <c r="O253" s="303"/>
      <c r="P253" s="81"/>
      <c r="R253" s="72" t="str">
        <f t="shared" si="42"/>
        <v/>
      </c>
      <c r="S253" s="72" t="str">
        <f t="shared" si="43"/>
        <v/>
      </c>
      <c r="T253" s="72" t="str">
        <f t="shared" si="44"/>
        <v/>
      </c>
      <c r="AD253" s="72" t="s">
        <v>747</v>
      </c>
      <c r="AE253" s="72" t="s">
        <v>748</v>
      </c>
      <c r="AF253" s="72" t="str">
        <f t="shared" si="45"/>
        <v>A679074</v>
      </c>
      <c r="AG253" s="72" t="str">
        <f>VLOOKUP(AF253,AKT!$C$4:$E$324,3,FALSE)</f>
        <v>0942</v>
      </c>
    </row>
    <row r="254" spans="1:33">
      <c r="A254" s="82"/>
      <c r="B254" s="77" t="str">
        <f t="shared" si="41"/>
        <v/>
      </c>
      <c r="C254" s="82"/>
      <c r="D254" s="77" t="str">
        <f t="shared" si="38"/>
        <v/>
      </c>
      <c r="E254" s="114"/>
      <c r="F254" s="77" t="str">
        <f t="shared" si="39"/>
        <v/>
      </c>
      <c r="G254" s="77" t="str">
        <f t="shared" si="40"/>
        <v/>
      </c>
      <c r="H254" s="113"/>
      <c r="I254" s="113"/>
      <c r="J254" s="113"/>
      <c r="K254" s="126"/>
      <c r="L254" s="125"/>
      <c r="M254" s="125"/>
      <c r="N254" s="126"/>
      <c r="O254" s="303"/>
      <c r="P254" s="81"/>
      <c r="R254" s="72" t="str">
        <f t="shared" si="42"/>
        <v/>
      </c>
      <c r="S254" s="72" t="str">
        <f t="shared" si="43"/>
        <v/>
      </c>
      <c r="T254" s="72" t="str">
        <f t="shared" si="44"/>
        <v/>
      </c>
      <c r="AD254" s="72" t="s">
        <v>749</v>
      </c>
      <c r="AE254" s="72" t="s">
        <v>750</v>
      </c>
      <c r="AF254" s="72" t="str">
        <f t="shared" si="45"/>
        <v>A679074</v>
      </c>
      <c r="AG254" s="72" t="str">
        <f>VLOOKUP(AF254,AKT!$C$4:$E$324,3,FALSE)</f>
        <v>0942</v>
      </c>
    </row>
    <row r="255" spans="1:33">
      <c r="A255" s="82"/>
      <c r="B255" s="77" t="str">
        <f t="shared" si="41"/>
        <v/>
      </c>
      <c r="C255" s="82"/>
      <c r="D255" s="77" t="str">
        <f t="shared" si="38"/>
        <v/>
      </c>
      <c r="E255" s="114"/>
      <c r="F255" s="77" t="str">
        <f t="shared" si="39"/>
        <v/>
      </c>
      <c r="G255" s="77" t="str">
        <f t="shared" si="40"/>
        <v/>
      </c>
      <c r="H255" s="113"/>
      <c r="I255" s="113"/>
      <c r="J255" s="113"/>
      <c r="K255" s="126"/>
      <c r="L255" s="125"/>
      <c r="M255" s="125"/>
      <c r="N255" s="126"/>
      <c r="O255" s="303"/>
      <c r="P255" s="81"/>
      <c r="R255" s="72" t="str">
        <f t="shared" si="42"/>
        <v/>
      </c>
      <c r="S255" s="72" t="str">
        <f t="shared" si="43"/>
        <v/>
      </c>
      <c r="T255" s="72" t="str">
        <f t="shared" si="44"/>
        <v/>
      </c>
      <c r="AD255" s="72" t="s">
        <v>1339</v>
      </c>
      <c r="AE255" s="72" t="s">
        <v>1340</v>
      </c>
      <c r="AF255" s="72" t="str">
        <f t="shared" si="45"/>
        <v>A679074</v>
      </c>
      <c r="AG255" s="72" t="str">
        <f>VLOOKUP(AF255,AKT!$C$4:$E$324,3,FALSE)</f>
        <v>0942</v>
      </c>
    </row>
    <row r="256" spans="1:33">
      <c r="A256" s="82"/>
      <c r="B256" s="77" t="str">
        <f t="shared" si="41"/>
        <v/>
      </c>
      <c r="C256" s="82"/>
      <c r="D256" s="77" t="str">
        <f t="shared" si="38"/>
        <v/>
      </c>
      <c r="E256" s="114"/>
      <c r="F256" s="77" t="str">
        <f t="shared" si="39"/>
        <v/>
      </c>
      <c r="G256" s="77" t="str">
        <f t="shared" si="40"/>
        <v/>
      </c>
      <c r="H256" s="113"/>
      <c r="I256" s="113"/>
      <c r="J256" s="113"/>
      <c r="K256" s="126"/>
      <c r="L256" s="125"/>
      <c r="M256" s="125"/>
      <c r="N256" s="126"/>
      <c r="O256" s="303"/>
      <c r="P256" s="81"/>
      <c r="R256" s="72" t="str">
        <f t="shared" si="42"/>
        <v/>
      </c>
      <c r="S256" s="72" t="str">
        <f t="shared" si="43"/>
        <v/>
      </c>
      <c r="T256" s="72" t="str">
        <f t="shared" si="44"/>
        <v/>
      </c>
      <c r="AD256" s="72" t="s">
        <v>1341</v>
      </c>
      <c r="AE256" s="72" t="s">
        <v>1342</v>
      </c>
      <c r="AF256" s="72" t="str">
        <f t="shared" si="45"/>
        <v>A679074</v>
      </c>
      <c r="AG256" s="72" t="str">
        <f>VLOOKUP(AF256,AKT!$C$4:$E$324,3,FALSE)</f>
        <v>0942</v>
      </c>
    </row>
    <row r="257" spans="1:33">
      <c r="A257" s="82"/>
      <c r="B257" s="77" t="str">
        <f t="shared" si="41"/>
        <v/>
      </c>
      <c r="C257" s="82"/>
      <c r="D257" s="77" t="str">
        <f t="shared" si="38"/>
        <v/>
      </c>
      <c r="E257" s="114"/>
      <c r="F257" s="77" t="str">
        <f t="shared" si="39"/>
        <v/>
      </c>
      <c r="G257" s="77" t="str">
        <f t="shared" si="40"/>
        <v/>
      </c>
      <c r="H257" s="113"/>
      <c r="I257" s="113"/>
      <c r="J257" s="113"/>
      <c r="K257" s="126"/>
      <c r="L257" s="125"/>
      <c r="M257" s="125"/>
      <c r="N257" s="126"/>
      <c r="O257" s="303"/>
      <c r="P257" s="81"/>
      <c r="R257" s="72" t="str">
        <f t="shared" si="42"/>
        <v/>
      </c>
      <c r="S257" s="72" t="str">
        <f t="shared" si="43"/>
        <v/>
      </c>
      <c r="T257" s="72" t="str">
        <f t="shared" si="44"/>
        <v/>
      </c>
      <c r="AD257" s="72" t="s">
        <v>1343</v>
      </c>
      <c r="AE257" s="72" t="s">
        <v>1344</v>
      </c>
      <c r="AF257" s="72" t="str">
        <f t="shared" si="45"/>
        <v>A679074</v>
      </c>
      <c r="AG257" s="72" t="str">
        <f>VLOOKUP(AF257,AKT!$C$4:$E$324,3,FALSE)</f>
        <v>0942</v>
      </c>
    </row>
    <row r="258" spans="1:33">
      <c r="A258" s="82"/>
      <c r="B258" s="77" t="str">
        <f t="shared" si="41"/>
        <v/>
      </c>
      <c r="C258" s="82"/>
      <c r="D258" s="77" t="str">
        <f t="shared" si="38"/>
        <v/>
      </c>
      <c r="E258" s="114"/>
      <c r="F258" s="77" t="str">
        <f t="shared" si="39"/>
        <v/>
      </c>
      <c r="G258" s="77" t="str">
        <f t="shared" si="40"/>
        <v/>
      </c>
      <c r="H258" s="113"/>
      <c r="I258" s="113"/>
      <c r="J258" s="113"/>
      <c r="K258" s="126"/>
      <c r="L258" s="125"/>
      <c r="M258" s="125"/>
      <c r="N258" s="126"/>
      <c r="O258" s="303"/>
      <c r="P258" s="81"/>
      <c r="R258" s="72" t="str">
        <f t="shared" si="42"/>
        <v/>
      </c>
      <c r="S258" s="72" t="str">
        <f t="shared" si="43"/>
        <v/>
      </c>
      <c r="T258" s="72" t="str">
        <f t="shared" si="44"/>
        <v/>
      </c>
      <c r="AD258" s="72" t="s">
        <v>1345</v>
      </c>
      <c r="AE258" s="72" t="s">
        <v>1346</v>
      </c>
      <c r="AF258" s="72" t="str">
        <f t="shared" si="45"/>
        <v>A679074</v>
      </c>
      <c r="AG258" s="72" t="str">
        <f>VLOOKUP(AF258,AKT!$C$4:$E$324,3,FALSE)</f>
        <v>0942</v>
      </c>
    </row>
    <row r="259" spans="1:33">
      <c r="A259" s="82"/>
      <c r="B259" s="77" t="str">
        <f t="shared" si="41"/>
        <v/>
      </c>
      <c r="C259" s="82"/>
      <c r="D259" s="77" t="str">
        <f t="shared" ref="D259:D322" si="46">IFERROR(VLOOKUP(C259,$X$5:$Z$140,2,FALSE),"")</f>
        <v/>
      </c>
      <c r="E259" s="114"/>
      <c r="F259" s="77" t="str">
        <f t="shared" ref="F259:F322" si="47">IFERROR(VLOOKUP(E259,$AD$6:$AE$1101,2,FALSE),"")</f>
        <v/>
      </c>
      <c r="G259" s="77" t="str">
        <f t="shared" si="40"/>
        <v/>
      </c>
      <c r="H259" s="113"/>
      <c r="I259" s="113"/>
      <c r="J259" s="113"/>
      <c r="K259" s="126"/>
      <c r="L259" s="125"/>
      <c r="M259" s="125"/>
      <c r="N259" s="126"/>
      <c r="O259" s="303"/>
      <c r="P259" s="81"/>
      <c r="R259" s="72" t="str">
        <f t="shared" si="42"/>
        <v/>
      </c>
      <c r="S259" s="72" t="str">
        <f t="shared" si="43"/>
        <v/>
      </c>
      <c r="T259" s="72" t="str">
        <f t="shared" si="44"/>
        <v/>
      </c>
      <c r="AD259" s="72" t="s">
        <v>1347</v>
      </c>
      <c r="AE259" s="72" t="s">
        <v>1348</v>
      </c>
      <c r="AF259" s="72" t="str">
        <f t="shared" si="45"/>
        <v>A679074</v>
      </c>
      <c r="AG259" s="72" t="str">
        <f>VLOOKUP(AF259,AKT!$C$4:$E$324,3,FALSE)</f>
        <v>0942</v>
      </c>
    </row>
    <row r="260" spans="1:33">
      <c r="A260" s="82"/>
      <c r="B260" s="77" t="str">
        <f t="shared" si="41"/>
        <v/>
      </c>
      <c r="C260" s="82"/>
      <c r="D260" s="77" t="str">
        <f t="shared" si="46"/>
        <v/>
      </c>
      <c r="E260" s="114"/>
      <c r="F260" s="77" t="str">
        <f t="shared" si="47"/>
        <v/>
      </c>
      <c r="G260" s="77" t="str">
        <f t="shared" ref="G260:G323" si="48">IFERROR(VLOOKUP(E260,$AD$6:$AG$1101,4,FALSE),"")</f>
        <v/>
      </c>
      <c r="H260" s="113"/>
      <c r="I260" s="113"/>
      <c r="J260" s="113"/>
      <c r="K260" s="126"/>
      <c r="L260" s="125"/>
      <c r="M260" s="125"/>
      <c r="N260" s="126"/>
      <c r="O260" s="303"/>
      <c r="P260" s="81"/>
      <c r="R260" s="72" t="str">
        <f t="shared" si="42"/>
        <v/>
      </c>
      <c r="S260" s="72" t="str">
        <f t="shared" si="43"/>
        <v/>
      </c>
      <c r="T260" s="72" t="str">
        <f t="shared" si="44"/>
        <v/>
      </c>
      <c r="AD260" s="72" t="s">
        <v>2201</v>
      </c>
      <c r="AE260" s="72" t="s">
        <v>2202</v>
      </c>
      <c r="AF260" s="72" t="str">
        <f t="shared" si="45"/>
        <v>A679074</v>
      </c>
      <c r="AG260" s="72" t="str">
        <f>VLOOKUP(AF260,AKT!$C$4:$E$324,3,FALSE)</f>
        <v>0942</v>
      </c>
    </row>
    <row r="261" spans="1:33">
      <c r="A261" s="82"/>
      <c r="B261" s="77" t="str">
        <f t="shared" si="41"/>
        <v/>
      </c>
      <c r="C261" s="82"/>
      <c r="D261" s="77" t="str">
        <f t="shared" si="46"/>
        <v/>
      </c>
      <c r="E261" s="114"/>
      <c r="F261" s="77" t="str">
        <f t="shared" si="47"/>
        <v/>
      </c>
      <c r="G261" s="77" t="str">
        <f t="shared" si="48"/>
        <v/>
      </c>
      <c r="H261" s="113"/>
      <c r="I261" s="113"/>
      <c r="J261" s="113"/>
      <c r="K261" s="126"/>
      <c r="L261" s="125"/>
      <c r="M261" s="125"/>
      <c r="N261" s="126"/>
      <c r="O261" s="303"/>
      <c r="P261" s="81"/>
      <c r="R261" s="72" t="str">
        <f t="shared" si="42"/>
        <v/>
      </c>
      <c r="S261" s="72" t="str">
        <f t="shared" si="43"/>
        <v/>
      </c>
      <c r="T261" s="72" t="str">
        <f t="shared" si="44"/>
        <v/>
      </c>
      <c r="AD261" s="72" t="s">
        <v>2203</v>
      </c>
      <c r="AE261" s="72" t="s">
        <v>2204</v>
      </c>
      <c r="AF261" s="72" t="str">
        <f t="shared" si="45"/>
        <v>A679074</v>
      </c>
      <c r="AG261" s="72" t="str">
        <f>VLOOKUP(AF261,AKT!$C$4:$E$324,3,FALSE)</f>
        <v>0942</v>
      </c>
    </row>
    <row r="262" spans="1:33">
      <c r="A262" s="82"/>
      <c r="B262" s="77" t="str">
        <f t="shared" si="41"/>
        <v/>
      </c>
      <c r="C262" s="82"/>
      <c r="D262" s="77" t="str">
        <f t="shared" si="46"/>
        <v/>
      </c>
      <c r="E262" s="114"/>
      <c r="F262" s="77" t="str">
        <f t="shared" si="47"/>
        <v/>
      </c>
      <c r="G262" s="77" t="str">
        <f t="shared" si="48"/>
        <v/>
      </c>
      <c r="H262" s="113"/>
      <c r="I262" s="113"/>
      <c r="J262" s="113"/>
      <c r="K262" s="126"/>
      <c r="L262" s="125"/>
      <c r="M262" s="125"/>
      <c r="N262" s="126"/>
      <c r="O262" s="303"/>
      <c r="P262" s="81"/>
      <c r="R262" s="72" t="str">
        <f t="shared" si="42"/>
        <v/>
      </c>
      <c r="S262" s="72" t="str">
        <f t="shared" si="43"/>
        <v/>
      </c>
      <c r="T262" s="72" t="str">
        <f t="shared" si="44"/>
        <v/>
      </c>
      <c r="AD262" s="72" t="s">
        <v>2205</v>
      </c>
      <c r="AE262" s="72" t="s">
        <v>2206</v>
      </c>
      <c r="AF262" s="72" t="str">
        <f t="shared" si="45"/>
        <v>A679074</v>
      </c>
      <c r="AG262" s="72" t="str">
        <f>VLOOKUP(AF262,AKT!$C$4:$E$324,3,FALSE)</f>
        <v>0942</v>
      </c>
    </row>
    <row r="263" spans="1:33">
      <c r="A263" s="82"/>
      <c r="B263" s="77" t="str">
        <f t="shared" si="41"/>
        <v/>
      </c>
      <c r="C263" s="82"/>
      <c r="D263" s="77" t="str">
        <f t="shared" si="46"/>
        <v/>
      </c>
      <c r="E263" s="114"/>
      <c r="F263" s="77" t="str">
        <f t="shared" si="47"/>
        <v/>
      </c>
      <c r="G263" s="77" t="str">
        <f t="shared" si="48"/>
        <v/>
      </c>
      <c r="H263" s="113"/>
      <c r="I263" s="113"/>
      <c r="J263" s="113"/>
      <c r="K263" s="126"/>
      <c r="L263" s="125"/>
      <c r="M263" s="125"/>
      <c r="N263" s="126"/>
      <c r="O263" s="303"/>
      <c r="P263" s="81"/>
      <c r="R263" s="72" t="str">
        <f t="shared" si="42"/>
        <v/>
      </c>
      <c r="S263" s="72" t="str">
        <f t="shared" si="43"/>
        <v/>
      </c>
      <c r="T263" s="72" t="str">
        <f t="shared" si="44"/>
        <v/>
      </c>
      <c r="AD263" s="72" t="s">
        <v>2207</v>
      </c>
      <c r="AE263" s="72" t="s">
        <v>2208</v>
      </c>
      <c r="AF263" s="72" t="str">
        <f t="shared" si="45"/>
        <v>A679074</v>
      </c>
      <c r="AG263" s="72" t="str">
        <f>VLOOKUP(AF263,AKT!$C$4:$E$324,3,FALSE)</f>
        <v>0942</v>
      </c>
    </row>
    <row r="264" spans="1:33">
      <c r="A264" s="82"/>
      <c r="B264" s="77" t="str">
        <f t="shared" si="41"/>
        <v/>
      </c>
      <c r="C264" s="82"/>
      <c r="D264" s="77" t="str">
        <f t="shared" si="46"/>
        <v/>
      </c>
      <c r="E264" s="114"/>
      <c r="F264" s="77" t="str">
        <f t="shared" si="47"/>
        <v/>
      </c>
      <c r="G264" s="77" t="str">
        <f t="shared" si="48"/>
        <v/>
      </c>
      <c r="H264" s="113"/>
      <c r="I264" s="113"/>
      <c r="J264" s="113"/>
      <c r="K264" s="126"/>
      <c r="L264" s="125"/>
      <c r="M264" s="125"/>
      <c r="N264" s="126"/>
      <c r="O264" s="303"/>
      <c r="P264" s="81"/>
      <c r="R264" s="72" t="str">
        <f t="shared" si="42"/>
        <v/>
      </c>
      <c r="S264" s="72" t="str">
        <f t="shared" si="43"/>
        <v/>
      </c>
      <c r="T264" s="72" t="str">
        <f t="shared" si="44"/>
        <v/>
      </c>
      <c r="AD264" s="72" t="s">
        <v>2209</v>
      </c>
      <c r="AE264" s="72" t="s">
        <v>2210</v>
      </c>
      <c r="AF264" s="72" t="str">
        <f t="shared" si="45"/>
        <v>A679074</v>
      </c>
      <c r="AG264" s="72" t="str">
        <f>VLOOKUP(AF264,AKT!$C$4:$E$324,3,FALSE)</f>
        <v>0942</v>
      </c>
    </row>
    <row r="265" spans="1:33">
      <c r="A265" s="82"/>
      <c r="B265" s="77" t="str">
        <f t="shared" si="41"/>
        <v/>
      </c>
      <c r="C265" s="82"/>
      <c r="D265" s="77" t="str">
        <f t="shared" si="46"/>
        <v/>
      </c>
      <c r="E265" s="114"/>
      <c r="F265" s="77" t="str">
        <f t="shared" si="47"/>
        <v/>
      </c>
      <c r="G265" s="77" t="str">
        <f t="shared" si="48"/>
        <v/>
      </c>
      <c r="H265" s="113"/>
      <c r="I265" s="113"/>
      <c r="J265" s="113"/>
      <c r="K265" s="126"/>
      <c r="L265" s="125"/>
      <c r="M265" s="125"/>
      <c r="N265" s="126"/>
      <c r="O265" s="303"/>
      <c r="P265" s="81"/>
      <c r="R265" s="72" t="str">
        <f t="shared" si="42"/>
        <v/>
      </c>
      <c r="S265" s="72" t="str">
        <f t="shared" si="43"/>
        <v/>
      </c>
      <c r="T265" s="72" t="str">
        <f t="shared" si="44"/>
        <v/>
      </c>
      <c r="AD265" s="72" t="s">
        <v>2211</v>
      </c>
      <c r="AE265" s="72" t="s">
        <v>2212</v>
      </c>
      <c r="AF265" s="72" t="str">
        <f t="shared" si="45"/>
        <v>A679074</v>
      </c>
      <c r="AG265" s="72" t="str">
        <f>VLOOKUP(AF265,AKT!$C$4:$E$324,3,FALSE)</f>
        <v>0942</v>
      </c>
    </row>
    <row r="266" spans="1:33">
      <c r="A266" s="82"/>
      <c r="B266" s="77" t="str">
        <f t="shared" si="41"/>
        <v/>
      </c>
      <c r="C266" s="82"/>
      <c r="D266" s="77" t="str">
        <f t="shared" si="46"/>
        <v/>
      </c>
      <c r="E266" s="114"/>
      <c r="F266" s="77" t="str">
        <f t="shared" si="47"/>
        <v/>
      </c>
      <c r="G266" s="77" t="str">
        <f t="shared" si="48"/>
        <v/>
      </c>
      <c r="H266" s="113"/>
      <c r="I266" s="113"/>
      <c r="J266" s="113"/>
      <c r="K266" s="126"/>
      <c r="L266" s="125"/>
      <c r="M266" s="125"/>
      <c r="N266" s="126"/>
      <c r="O266" s="303"/>
      <c r="P266" s="81"/>
      <c r="R266" s="72" t="str">
        <f t="shared" si="42"/>
        <v/>
      </c>
      <c r="S266" s="72" t="str">
        <f t="shared" si="43"/>
        <v/>
      </c>
      <c r="T266" s="72" t="str">
        <f t="shared" si="44"/>
        <v/>
      </c>
      <c r="AD266" s="72" t="s">
        <v>2213</v>
      </c>
      <c r="AE266" s="72" t="s">
        <v>2214</v>
      </c>
      <c r="AF266" s="72" t="str">
        <f t="shared" si="45"/>
        <v>A679074</v>
      </c>
      <c r="AG266" s="72" t="str">
        <f>VLOOKUP(AF266,AKT!$C$4:$E$324,3,FALSE)</f>
        <v>0942</v>
      </c>
    </row>
    <row r="267" spans="1:33">
      <c r="A267" s="82"/>
      <c r="B267" s="77" t="str">
        <f t="shared" si="41"/>
        <v/>
      </c>
      <c r="C267" s="82"/>
      <c r="D267" s="77" t="str">
        <f t="shared" si="46"/>
        <v/>
      </c>
      <c r="E267" s="114"/>
      <c r="F267" s="77" t="str">
        <f t="shared" si="47"/>
        <v/>
      </c>
      <c r="G267" s="77" t="str">
        <f t="shared" si="48"/>
        <v/>
      </c>
      <c r="H267" s="113"/>
      <c r="I267" s="113"/>
      <c r="J267" s="113"/>
      <c r="K267" s="126"/>
      <c r="L267" s="125"/>
      <c r="M267" s="125"/>
      <c r="N267" s="126"/>
      <c r="O267" s="303"/>
      <c r="P267" s="81"/>
      <c r="R267" s="72" t="str">
        <f t="shared" si="42"/>
        <v/>
      </c>
      <c r="S267" s="72" t="str">
        <f t="shared" si="43"/>
        <v/>
      </c>
      <c r="T267" s="72" t="str">
        <f t="shared" si="44"/>
        <v/>
      </c>
      <c r="AD267" s="72" t="s">
        <v>2215</v>
      </c>
      <c r="AE267" s="72" t="s">
        <v>2216</v>
      </c>
      <c r="AF267" s="72" t="str">
        <f t="shared" si="45"/>
        <v>A679074</v>
      </c>
      <c r="AG267" s="72" t="str">
        <f>VLOOKUP(AF267,AKT!$C$4:$E$324,3,FALSE)</f>
        <v>0942</v>
      </c>
    </row>
    <row r="268" spans="1:33">
      <c r="A268" s="82"/>
      <c r="B268" s="77" t="str">
        <f t="shared" ref="B268:B331" si="49">IFERROR(VLOOKUP(A268,$U$6:$V$34,2,FALSE),"")</f>
        <v/>
      </c>
      <c r="C268" s="82"/>
      <c r="D268" s="77" t="str">
        <f t="shared" si="46"/>
        <v/>
      </c>
      <c r="E268" s="114"/>
      <c r="F268" s="77" t="str">
        <f t="shared" si="47"/>
        <v/>
      </c>
      <c r="G268" s="77" t="str">
        <f t="shared" si="48"/>
        <v/>
      </c>
      <c r="H268" s="113"/>
      <c r="I268" s="113"/>
      <c r="J268" s="113"/>
      <c r="K268" s="126"/>
      <c r="L268" s="125"/>
      <c r="M268" s="125"/>
      <c r="N268" s="126"/>
      <c r="O268" s="303"/>
      <c r="P268" s="81"/>
      <c r="R268" s="72" t="str">
        <f t="shared" si="42"/>
        <v/>
      </c>
      <c r="S268" s="72" t="str">
        <f t="shared" si="43"/>
        <v/>
      </c>
      <c r="T268" s="72" t="str">
        <f t="shared" si="44"/>
        <v/>
      </c>
      <c r="AD268" s="72" t="s">
        <v>3102</v>
      </c>
      <c r="AE268" s="72" t="s">
        <v>3103</v>
      </c>
      <c r="AF268" s="72" t="str">
        <f t="shared" si="45"/>
        <v>A679075</v>
      </c>
      <c r="AG268" s="72" t="str">
        <f>VLOOKUP(AF268,AKT!$C$4:$E$324,3,FALSE)</f>
        <v>0942</v>
      </c>
    </row>
    <row r="269" spans="1:33">
      <c r="A269" s="82"/>
      <c r="B269" s="77" t="str">
        <f t="shared" si="49"/>
        <v/>
      </c>
      <c r="C269" s="82"/>
      <c r="D269" s="77" t="str">
        <f t="shared" si="46"/>
        <v/>
      </c>
      <c r="E269" s="114"/>
      <c r="F269" s="77" t="str">
        <f t="shared" si="47"/>
        <v/>
      </c>
      <c r="G269" s="77" t="str">
        <f t="shared" si="48"/>
        <v/>
      </c>
      <c r="H269" s="113"/>
      <c r="I269" s="113"/>
      <c r="J269" s="113"/>
      <c r="K269" s="126"/>
      <c r="L269" s="125"/>
      <c r="M269" s="125"/>
      <c r="N269" s="126"/>
      <c r="O269" s="303"/>
      <c r="P269" s="81"/>
      <c r="R269" s="72" t="str">
        <f t="shared" si="42"/>
        <v/>
      </c>
      <c r="S269" s="72" t="str">
        <f t="shared" si="43"/>
        <v/>
      </c>
      <c r="T269" s="72" t="str">
        <f t="shared" si="44"/>
        <v/>
      </c>
      <c r="AD269" s="72" t="s">
        <v>3104</v>
      </c>
      <c r="AE269" s="72" t="s">
        <v>3105</v>
      </c>
      <c r="AF269" s="72" t="str">
        <f t="shared" si="45"/>
        <v>A679075</v>
      </c>
      <c r="AG269" s="72" t="str">
        <f>VLOOKUP(AF269,AKT!$C$4:$E$324,3,FALSE)</f>
        <v>0942</v>
      </c>
    </row>
    <row r="270" spans="1:33">
      <c r="A270" s="82"/>
      <c r="B270" s="77" t="str">
        <f t="shared" si="49"/>
        <v/>
      </c>
      <c r="C270" s="82"/>
      <c r="D270" s="77" t="str">
        <f t="shared" si="46"/>
        <v/>
      </c>
      <c r="E270" s="114"/>
      <c r="F270" s="77" t="str">
        <f t="shared" si="47"/>
        <v/>
      </c>
      <c r="G270" s="77" t="str">
        <f t="shared" si="48"/>
        <v/>
      </c>
      <c r="H270" s="113"/>
      <c r="I270" s="113"/>
      <c r="J270" s="113"/>
      <c r="K270" s="126"/>
      <c r="L270" s="125"/>
      <c r="M270" s="125"/>
      <c r="N270" s="126"/>
      <c r="O270" s="303"/>
      <c r="P270" s="81"/>
      <c r="R270" s="72" t="str">
        <f t="shared" si="42"/>
        <v/>
      </c>
      <c r="S270" s="72" t="str">
        <f t="shared" si="43"/>
        <v/>
      </c>
      <c r="T270" s="72" t="str">
        <f t="shared" si="44"/>
        <v/>
      </c>
      <c r="AD270" s="72" t="s">
        <v>3106</v>
      </c>
      <c r="AE270" s="72" t="s">
        <v>3107</v>
      </c>
      <c r="AF270" s="72" t="str">
        <f t="shared" si="45"/>
        <v>A679075</v>
      </c>
      <c r="AG270" s="72" t="str">
        <f>VLOOKUP(AF270,AKT!$C$4:$E$324,3,FALSE)</f>
        <v>0942</v>
      </c>
    </row>
    <row r="271" spans="1:33">
      <c r="A271" s="82"/>
      <c r="B271" s="77" t="str">
        <f t="shared" si="49"/>
        <v/>
      </c>
      <c r="C271" s="82"/>
      <c r="D271" s="77" t="str">
        <f t="shared" si="46"/>
        <v/>
      </c>
      <c r="E271" s="114"/>
      <c r="F271" s="77" t="str">
        <f t="shared" si="47"/>
        <v/>
      </c>
      <c r="G271" s="77" t="str">
        <f t="shared" si="48"/>
        <v/>
      </c>
      <c r="H271" s="113"/>
      <c r="I271" s="113"/>
      <c r="J271" s="113"/>
      <c r="K271" s="126"/>
      <c r="L271" s="125"/>
      <c r="M271" s="125"/>
      <c r="N271" s="126"/>
      <c r="O271" s="303"/>
      <c r="P271" s="81"/>
      <c r="R271" s="72" t="str">
        <f t="shared" ref="R271:R334" si="50">LEFT(C271,3)</f>
        <v/>
      </c>
      <c r="S271" s="72" t="str">
        <f t="shared" ref="S271:S334" si="51">LEFT(C271,2)</f>
        <v/>
      </c>
      <c r="T271" s="72" t="str">
        <f t="shared" ref="T271:T334" si="52">MID(G271,2,2)</f>
        <v/>
      </c>
      <c r="AD271" s="72" t="s">
        <v>3108</v>
      </c>
      <c r="AE271" s="72" t="s">
        <v>3109</v>
      </c>
      <c r="AF271" s="72" t="str">
        <f t="shared" si="45"/>
        <v>A679075</v>
      </c>
      <c r="AG271" s="72" t="str">
        <f>VLOOKUP(AF271,AKT!$C$4:$E$324,3,FALSE)</f>
        <v>0942</v>
      </c>
    </row>
    <row r="272" spans="1:33">
      <c r="A272" s="82"/>
      <c r="B272" s="77" t="str">
        <f t="shared" si="49"/>
        <v/>
      </c>
      <c r="C272" s="82"/>
      <c r="D272" s="77" t="str">
        <f t="shared" si="46"/>
        <v/>
      </c>
      <c r="E272" s="114"/>
      <c r="F272" s="77" t="str">
        <f t="shared" si="47"/>
        <v/>
      </c>
      <c r="G272" s="77" t="str">
        <f t="shared" si="48"/>
        <v/>
      </c>
      <c r="H272" s="113"/>
      <c r="I272" s="113"/>
      <c r="J272" s="113"/>
      <c r="K272" s="126"/>
      <c r="L272" s="125"/>
      <c r="M272" s="125"/>
      <c r="N272" s="126"/>
      <c r="O272" s="303"/>
      <c r="P272" s="81"/>
      <c r="R272" s="72" t="str">
        <f t="shared" si="50"/>
        <v/>
      </c>
      <c r="S272" s="72" t="str">
        <f t="shared" si="51"/>
        <v/>
      </c>
      <c r="T272" s="72" t="str">
        <f t="shared" si="52"/>
        <v/>
      </c>
      <c r="AD272" s="72" t="s">
        <v>3110</v>
      </c>
      <c r="AE272" s="72" t="s">
        <v>3111</v>
      </c>
      <c r="AF272" s="72" t="str">
        <f t="shared" si="45"/>
        <v>A679075</v>
      </c>
      <c r="AG272" s="72" t="str">
        <f>VLOOKUP(AF272,AKT!$C$4:$E$324,3,FALSE)</f>
        <v>0942</v>
      </c>
    </row>
    <row r="273" spans="1:33">
      <c r="A273" s="82"/>
      <c r="B273" s="77" t="str">
        <f t="shared" si="49"/>
        <v/>
      </c>
      <c r="C273" s="82"/>
      <c r="D273" s="77" t="str">
        <f t="shared" si="46"/>
        <v/>
      </c>
      <c r="E273" s="114"/>
      <c r="F273" s="77" t="str">
        <f t="shared" si="47"/>
        <v/>
      </c>
      <c r="G273" s="77" t="str">
        <f t="shared" si="48"/>
        <v/>
      </c>
      <c r="H273" s="113"/>
      <c r="I273" s="113"/>
      <c r="J273" s="113"/>
      <c r="K273" s="126"/>
      <c r="L273" s="125"/>
      <c r="M273" s="125"/>
      <c r="N273" s="126"/>
      <c r="O273" s="303"/>
      <c r="P273" s="81"/>
      <c r="R273" s="72" t="str">
        <f t="shared" si="50"/>
        <v/>
      </c>
      <c r="S273" s="72" t="str">
        <f t="shared" si="51"/>
        <v/>
      </c>
      <c r="T273" s="72" t="str">
        <f t="shared" si="52"/>
        <v/>
      </c>
      <c r="AD273" s="72" t="s">
        <v>3112</v>
      </c>
      <c r="AE273" s="72" t="s">
        <v>3113</v>
      </c>
      <c r="AF273" s="72" t="str">
        <f t="shared" si="45"/>
        <v>A679075</v>
      </c>
      <c r="AG273" s="72" t="str">
        <f>VLOOKUP(AF273,AKT!$C$4:$E$324,3,FALSE)</f>
        <v>0942</v>
      </c>
    </row>
    <row r="274" spans="1:33">
      <c r="A274" s="82"/>
      <c r="B274" s="77" t="str">
        <f t="shared" si="49"/>
        <v/>
      </c>
      <c r="C274" s="82"/>
      <c r="D274" s="77" t="str">
        <f t="shared" si="46"/>
        <v/>
      </c>
      <c r="E274" s="114"/>
      <c r="F274" s="77" t="str">
        <f t="shared" si="47"/>
        <v/>
      </c>
      <c r="G274" s="77" t="str">
        <f t="shared" si="48"/>
        <v/>
      </c>
      <c r="H274" s="113"/>
      <c r="I274" s="113"/>
      <c r="J274" s="113"/>
      <c r="K274" s="126"/>
      <c r="L274" s="125"/>
      <c r="M274" s="125"/>
      <c r="N274" s="126"/>
      <c r="O274" s="303"/>
      <c r="P274" s="81"/>
      <c r="R274" s="72" t="str">
        <f t="shared" si="50"/>
        <v/>
      </c>
      <c r="S274" s="72" t="str">
        <f t="shared" si="51"/>
        <v/>
      </c>
      <c r="T274" s="72" t="str">
        <f t="shared" si="52"/>
        <v/>
      </c>
      <c r="AD274" s="72" t="s">
        <v>751</v>
      </c>
      <c r="AE274" s="72" t="s">
        <v>752</v>
      </c>
      <c r="AF274" s="72" t="str">
        <f t="shared" si="45"/>
        <v>A679075</v>
      </c>
      <c r="AG274" s="72" t="str">
        <f>VLOOKUP(AF274,AKT!$C$4:$E$324,3,FALSE)</f>
        <v>0942</v>
      </c>
    </row>
    <row r="275" spans="1:33">
      <c r="A275" s="82"/>
      <c r="B275" s="77" t="str">
        <f t="shared" si="49"/>
        <v/>
      </c>
      <c r="C275" s="82"/>
      <c r="D275" s="77" t="str">
        <f t="shared" si="46"/>
        <v/>
      </c>
      <c r="E275" s="114"/>
      <c r="F275" s="77" t="str">
        <f t="shared" si="47"/>
        <v/>
      </c>
      <c r="G275" s="77" t="str">
        <f t="shared" si="48"/>
        <v/>
      </c>
      <c r="H275" s="113"/>
      <c r="I275" s="113"/>
      <c r="J275" s="113"/>
      <c r="K275" s="126"/>
      <c r="L275" s="125"/>
      <c r="M275" s="125"/>
      <c r="N275" s="126"/>
      <c r="O275" s="303"/>
      <c r="P275" s="81"/>
      <c r="R275" s="72" t="str">
        <f t="shared" si="50"/>
        <v/>
      </c>
      <c r="S275" s="72" t="str">
        <f t="shared" si="51"/>
        <v/>
      </c>
      <c r="T275" s="72" t="str">
        <f t="shared" si="52"/>
        <v/>
      </c>
      <c r="AD275" s="72" t="s">
        <v>753</v>
      </c>
      <c r="AE275" s="72" t="s">
        <v>754</v>
      </c>
      <c r="AF275" s="72" t="str">
        <f t="shared" ref="AF275:AF338" si="53">LEFT(AD275,7)</f>
        <v>A679075</v>
      </c>
      <c r="AG275" s="72" t="str">
        <f>VLOOKUP(AF275,AKT!$C$4:$E$324,3,FALSE)</f>
        <v>0942</v>
      </c>
    </row>
    <row r="276" spans="1:33">
      <c r="A276" s="82"/>
      <c r="B276" s="77" t="str">
        <f t="shared" si="49"/>
        <v/>
      </c>
      <c r="C276" s="82"/>
      <c r="D276" s="77" t="str">
        <f t="shared" si="46"/>
        <v/>
      </c>
      <c r="E276" s="114"/>
      <c r="F276" s="77" t="str">
        <f t="shared" si="47"/>
        <v/>
      </c>
      <c r="G276" s="77" t="str">
        <f t="shared" si="48"/>
        <v/>
      </c>
      <c r="H276" s="113"/>
      <c r="I276" s="113"/>
      <c r="J276" s="113"/>
      <c r="K276" s="126"/>
      <c r="L276" s="125"/>
      <c r="M276" s="125"/>
      <c r="N276" s="126"/>
      <c r="O276" s="303"/>
      <c r="P276" s="81"/>
      <c r="R276" s="72" t="str">
        <f t="shared" si="50"/>
        <v/>
      </c>
      <c r="S276" s="72" t="str">
        <f t="shared" si="51"/>
        <v/>
      </c>
      <c r="T276" s="72" t="str">
        <f t="shared" si="52"/>
        <v/>
      </c>
      <c r="AD276" s="72" t="s">
        <v>1349</v>
      </c>
      <c r="AE276" s="72" t="s">
        <v>1350</v>
      </c>
      <c r="AF276" s="72" t="str">
        <f t="shared" si="53"/>
        <v>A679075</v>
      </c>
      <c r="AG276" s="72" t="str">
        <f>VLOOKUP(AF276,AKT!$C$4:$E$324,3,FALSE)</f>
        <v>0942</v>
      </c>
    </row>
    <row r="277" spans="1:33">
      <c r="A277" s="82"/>
      <c r="B277" s="77" t="str">
        <f t="shared" si="49"/>
        <v/>
      </c>
      <c r="C277" s="82"/>
      <c r="D277" s="77" t="str">
        <f t="shared" si="46"/>
        <v/>
      </c>
      <c r="E277" s="114"/>
      <c r="F277" s="77" t="str">
        <f t="shared" si="47"/>
        <v/>
      </c>
      <c r="G277" s="77" t="str">
        <f t="shared" si="48"/>
        <v/>
      </c>
      <c r="H277" s="113"/>
      <c r="I277" s="113"/>
      <c r="J277" s="113"/>
      <c r="K277" s="126"/>
      <c r="L277" s="125"/>
      <c r="M277" s="125"/>
      <c r="N277" s="126"/>
      <c r="O277" s="303"/>
      <c r="P277" s="81"/>
      <c r="R277" s="72" t="str">
        <f t="shared" si="50"/>
        <v/>
      </c>
      <c r="S277" s="72" t="str">
        <f t="shared" si="51"/>
        <v/>
      </c>
      <c r="T277" s="72" t="str">
        <f t="shared" si="52"/>
        <v/>
      </c>
      <c r="AD277" s="72" t="s">
        <v>1351</v>
      </c>
      <c r="AE277" s="72" t="s">
        <v>1352</v>
      </c>
      <c r="AF277" s="72" t="str">
        <f t="shared" si="53"/>
        <v>A679075</v>
      </c>
      <c r="AG277" s="72" t="str">
        <f>VLOOKUP(AF277,AKT!$C$4:$E$324,3,FALSE)</f>
        <v>0942</v>
      </c>
    </row>
    <row r="278" spans="1:33">
      <c r="A278" s="82"/>
      <c r="B278" s="77" t="str">
        <f t="shared" si="49"/>
        <v/>
      </c>
      <c r="C278" s="82"/>
      <c r="D278" s="77" t="str">
        <f t="shared" si="46"/>
        <v/>
      </c>
      <c r="E278" s="114"/>
      <c r="F278" s="77" t="str">
        <f t="shared" si="47"/>
        <v/>
      </c>
      <c r="G278" s="77" t="str">
        <f t="shared" si="48"/>
        <v/>
      </c>
      <c r="H278" s="113"/>
      <c r="I278" s="113"/>
      <c r="J278" s="113"/>
      <c r="K278" s="126"/>
      <c r="L278" s="125"/>
      <c r="M278" s="125"/>
      <c r="N278" s="126"/>
      <c r="O278" s="303"/>
      <c r="P278" s="81"/>
      <c r="R278" s="72" t="str">
        <f t="shared" si="50"/>
        <v/>
      </c>
      <c r="S278" s="72" t="str">
        <f t="shared" si="51"/>
        <v/>
      </c>
      <c r="T278" s="72" t="str">
        <f t="shared" si="52"/>
        <v/>
      </c>
      <c r="AD278" s="72" t="s">
        <v>2217</v>
      </c>
      <c r="AE278" s="72" t="s">
        <v>2218</v>
      </c>
      <c r="AF278" s="72" t="str">
        <f t="shared" si="53"/>
        <v>A679075</v>
      </c>
      <c r="AG278" s="72" t="str">
        <f>VLOOKUP(AF278,AKT!$C$4:$E$324,3,FALSE)</f>
        <v>0942</v>
      </c>
    </row>
    <row r="279" spans="1:33">
      <c r="A279" s="82"/>
      <c r="B279" s="77" t="str">
        <f t="shared" si="49"/>
        <v/>
      </c>
      <c r="C279" s="82"/>
      <c r="D279" s="77" t="str">
        <f t="shared" si="46"/>
        <v/>
      </c>
      <c r="E279" s="114"/>
      <c r="F279" s="77" t="str">
        <f t="shared" si="47"/>
        <v/>
      </c>
      <c r="G279" s="77" t="str">
        <f t="shared" si="48"/>
        <v/>
      </c>
      <c r="H279" s="113"/>
      <c r="I279" s="113"/>
      <c r="J279" s="113"/>
      <c r="K279" s="126"/>
      <c r="L279" s="125"/>
      <c r="M279" s="125"/>
      <c r="N279" s="126"/>
      <c r="O279" s="303"/>
      <c r="P279" s="81"/>
      <c r="R279" s="72" t="str">
        <f t="shared" si="50"/>
        <v/>
      </c>
      <c r="S279" s="72" t="str">
        <f t="shared" si="51"/>
        <v/>
      </c>
      <c r="T279" s="72" t="str">
        <f t="shared" si="52"/>
        <v/>
      </c>
      <c r="AD279" s="72" t="s">
        <v>2219</v>
      </c>
      <c r="AE279" s="72" t="s">
        <v>2220</v>
      </c>
      <c r="AF279" s="72" t="str">
        <f t="shared" si="53"/>
        <v>A679075</v>
      </c>
      <c r="AG279" s="72" t="str">
        <f>VLOOKUP(AF279,AKT!$C$4:$E$324,3,FALSE)</f>
        <v>0942</v>
      </c>
    </row>
    <row r="280" spans="1:33">
      <c r="A280" s="82"/>
      <c r="B280" s="77" t="str">
        <f t="shared" si="49"/>
        <v/>
      </c>
      <c r="C280" s="82"/>
      <c r="D280" s="77" t="str">
        <f t="shared" si="46"/>
        <v/>
      </c>
      <c r="E280" s="114"/>
      <c r="F280" s="77" t="str">
        <f t="shared" si="47"/>
        <v/>
      </c>
      <c r="G280" s="77" t="str">
        <f t="shared" si="48"/>
        <v/>
      </c>
      <c r="H280" s="113"/>
      <c r="I280" s="113"/>
      <c r="J280" s="113"/>
      <c r="K280" s="126"/>
      <c r="L280" s="125"/>
      <c r="M280" s="125"/>
      <c r="N280" s="126"/>
      <c r="O280" s="303"/>
      <c r="P280" s="81"/>
      <c r="R280" s="72" t="str">
        <f t="shared" si="50"/>
        <v/>
      </c>
      <c r="S280" s="72" t="str">
        <f t="shared" si="51"/>
        <v/>
      </c>
      <c r="T280" s="72" t="str">
        <f t="shared" si="52"/>
        <v/>
      </c>
      <c r="AD280" s="72" t="s">
        <v>2221</v>
      </c>
      <c r="AE280" s="72" t="s">
        <v>2222</v>
      </c>
      <c r="AF280" s="72" t="str">
        <f t="shared" si="53"/>
        <v>A679075</v>
      </c>
      <c r="AG280" s="72" t="str">
        <f>VLOOKUP(AF280,AKT!$C$4:$E$324,3,FALSE)</f>
        <v>0942</v>
      </c>
    </row>
    <row r="281" spans="1:33">
      <c r="A281" s="82"/>
      <c r="B281" s="77" t="str">
        <f t="shared" si="49"/>
        <v/>
      </c>
      <c r="C281" s="82"/>
      <c r="D281" s="77" t="str">
        <f t="shared" si="46"/>
        <v/>
      </c>
      <c r="E281" s="114"/>
      <c r="F281" s="77" t="str">
        <f t="shared" si="47"/>
        <v/>
      </c>
      <c r="G281" s="77" t="str">
        <f t="shared" si="48"/>
        <v/>
      </c>
      <c r="H281" s="113"/>
      <c r="I281" s="113"/>
      <c r="J281" s="113"/>
      <c r="K281" s="126"/>
      <c r="L281" s="125"/>
      <c r="M281" s="125"/>
      <c r="N281" s="126"/>
      <c r="O281" s="303"/>
      <c r="P281" s="81"/>
      <c r="R281" s="72" t="str">
        <f t="shared" si="50"/>
        <v/>
      </c>
      <c r="S281" s="72" t="str">
        <f t="shared" si="51"/>
        <v/>
      </c>
      <c r="T281" s="72" t="str">
        <f t="shared" si="52"/>
        <v/>
      </c>
      <c r="AD281" s="72" t="s">
        <v>2223</v>
      </c>
      <c r="AE281" s="72" t="s">
        <v>2224</v>
      </c>
      <c r="AF281" s="72" t="str">
        <f t="shared" si="53"/>
        <v>A679075</v>
      </c>
      <c r="AG281" s="72" t="str">
        <f>VLOOKUP(AF281,AKT!$C$4:$E$324,3,FALSE)</f>
        <v>0942</v>
      </c>
    </row>
    <row r="282" spans="1:33">
      <c r="A282" s="82"/>
      <c r="B282" s="77" t="str">
        <f t="shared" si="49"/>
        <v/>
      </c>
      <c r="C282" s="82"/>
      <c r="D282" s="77" t="str">
        <f t="shared" si="46"/>
        <v/>
      </c>
      <c r="E282" s="114"/>
      <c r="F282" s="77" t="str">
        <f t="shared" si="47"/>
        <v/>
      </c>
      <c r="G282" s="77" t="str">
        <f t="shared" si="48"/>
        <v/>
      </c>
      <c r="H282" s="113"/>
      <c r="I282" s="113"/>
      <c r="J282" s="113"/>
      <c r="K282" s="126"/>
      <c r="L282" s="125"/>
      <c r="M282" s="125"/>
      <c r="N282" s="126"/>
      <c r="O282" s="303"/>
      <c r="P282" s="81"/>
      <c r="R282" s="72" t="str">
        <f t="shared" si="50"/>
        <v/>
      </c>
      <c r="S282" s="72" t="str">
        <f t="shared" si="51"/>
        <v/>
      </c>
      <c r="T282" s="72" t="str">
        <f t="shared" si="52"/>
        <v/>
      </c>
      <c r="AD282" s="72" t="s">
        <v>2225</v>
      </c>
      <c r="AE282" s="72" t="s">
        <v>2226</v>
      </c>
      <c r="AF282" s="72" t="str">
        <f t="shared" si="53"/>
        <v>A679075</v>
      </c>
      <c r="AG282" s="72" t="str">
        <f>VLOOKUP(AF282,AKT!$C$4:$E$324,3,FALSE)</f>
        <v>0942</v>
      </c>
    </row>
    <row r="283" spans="1:33">
      <c r="A283" s="82"/>
      <c r="B283" s="77" t="str">
        <f t="shared" si="49"/>
        <v/>
      </c>
      <c r="C283" s="82"/>
      <c r="D283" s="77" t="str">
        <f t="shared" si="46"/>
        <v/>
      </c>
      <c r="E283" s="114"/>
      <c r="F283" s="77" t="str">
        <f t="shared" si="47"/>
        <v/>
      </c>
      <c r="G283" s="77" t="str">
        <f t="shared" si="48"/>
        <v/>
      </c>
      <c r="H283" s="113"/>
      <c r="I283" s="113"/>
      <c r="J283" s="113"/>
      <c r="K283" s="126"/>
      <c r="L283" s="125"/>
      <c r="M283" s="125"/>
      <c r="N283" s="126"/>
      <c r="O283" s="303"/>
      <c r="P283" s="81"/>
      <c r="R283" s="72" t="str">
        <f t="shared" si="50"/>
        <v/>
      </c>
      <c r="S283" s="72" t="str">
        <f t="shared" si="51"/>
        <v/>
      </c>
      <c r="T283" s="72" t="str">
        <f t="shared" si="52"/>
        <v/>
      </c>
      <c r="AD283" s="72" t="s">
        <v>3114</v>
      </c>
      <c r="AE283" s="72" t="s">
        <v>3115</v>
      </c>
      <c r="AF283" s="72" t="str">
        <f t="shared" si="53"/>
        <v>A679075</v>
      </c>
      <c r="AG283" s="72" t="str">
        <f>VLOOKUP(AF283,AKT!$C$4:$E$324,3,FALSE)</f>
        <v>0942</v>
      </c>
    </row>
    <row r="284" spans="1:33">
      <c r="A284" s="82"/>
      <c r="B284" s="77" t="str">
        <f t="shared" si="49"/>
        <v/>
      </c>
      <c r="C284" s="82"/>
      <c r="D284" s="77" t="str">
        <f t="shared" si="46"/>
        <v/>
      </c>
      <c r="E284" s="114"/>
      <c r="F284" s="77" t="str">
        <f t="shared" si="47"/>
        <v/>
      </c>
      <c r="G284" s="77" t="str">
        <f t="shared" si="48"/>
        <v/>
      </c>
      <c r="H284" s="113"/>
      <c r="I284" s="113"/>
      <c r="J284" s="113"/>
      <c r="K284" s="126"/>
      <c r="L284" s="125"/>
      <c r="M284" s="125"/>
      <c r="N284" s="126"/>
      <c r="O284" s="303"/>
      <c r="P284" s="81"/>
      <c r="R284" s="72" t="str">
        <f t="shared" si="50"/>
        <v/>
      </c>
      <c r="S284" s="72" t="str">
        <f t="shared" si="51"/>
        <v/>
      </c>
      <c r="T284" s="72" t="str">
        <f t="shared" si="52"/>
        <v/>
      </c>
      <c r="AD284" s="72" t="s">
        <v>3116</v>
      </c>
      <c r="AE284" s="72" t="s">
        <v>3117</v>
      </c>
      <c r="AF284" s="72" t="str">
        <f t="shared" si="53"/>
        <v>A679075</v>
      </c>
      <c r="AG284" s="72" t="str">
        <f>VLOOKUP(AF284,AKT!$C$4:$E$324,3,FALSE)</f>
        <v>0942</v>
      </c>
    </row>
    <row r="285" spans="1:33">
      <c r="A285" s="82"/>
      <c r="B285" s="77" t="str">
        <f t="shared" si="49"/>
        <v/>
      </c>
      <c r="C285" s="82"/>
      <c r="D285" s="77" t="str">
        <f t="shared" si="46"/>
        <v/>
      </c>
      <c r="E285" s="114"/>
      <c r="F285" s="77" t="str">
        <f t="shared" si="47"/>
        <v/>
      </c>
      <c r="G285" s="77" t="str">
        <f t="shared" si="48"/>
        <v/>
      </c>
      <c r="H285" s="113"/>
      <c r="I285" s="113"/>
      <c r="J285" s="113"/>
      <c r="K285" s="126"/>
      <c r="L285" s="125"/>
      <c r="M285" s="125"/>
      <c r="N285" s="126"/>
      <c r="O285" s="303"/>
      <c r="P285" s="81"/>
      <c r="R285" s="72" t="str">
        <f t="shared" si="50"/>
        <v/>
      </c>
      <c r="S285" s="72" t="str">
        <f t="shared" si="51"/>
        <v/>
      </c>
      <c r="T285" s="72" t="str">
        <f t="shared" si="52"/>
        <v/>
      </c>
      <c r="AD285" s="72" t="s">
        <v>3118</v>
      </c>
      <c r="AE285" s="72" t="s">
        <v>3119</v>
      </c>
      <c r="AF285" s="72" t="str">
        <f t="shared" si="53"/>
        <v>A679075</v>
      </c>
      <c r="AG285" s="72" t="str">
        <f>VLOOKUP(AF285,AKT!$C$4:$E$324,3,FALSE)</f>
        <v>0942</v>
      </c>
    </row>
    <row r="286" spans="1:33">
      <c r="A286" s="82"/>
      <c r="B286" s="77" t="str">
        <f t="shared" si="49"/>
        <v/>
      </c>
      <c r="C286" s="82"/>
      <c r="D286" s="77" t="str">
        <f t="shared" si="46"/>
        <v/>
      </c>
      <c r="E286" s="114"/>
      <c r="F286" s="77" t="str">
        <f t="shared" si="47"/>
        <v/>
      </c>
      <c r="G286" s="77" t="str">
        <f t="shared" si="48"/>
        <v/>
      </c>
      <c r="H286" s="113"/>
      <c r="I286" s="113"/>
      <c r="J286" s="113"/>
      <c r="K286" s="126"/>
      <c r="L286" s="125"/>
      <c r="M286" s="125"/>
      <c r="N286" s="126"/>
      <c r="O286" s="303"/>
      <c r="P286" s="81"/>
      <c r="R286" s="72" t="str">
        <f t="shared" si="50"/>
        <v/>
      </c>
      <c r="S286" s="72" t="str">
        <f t="shared" si="51"/>
        <v/>
      </c>
      <c r="T286" s="72" t="str">
        <f t="shared" si="52"/>
        <v/>
      </c>
      <c r="AD286" s="72" t="s">
        <v>3120</v>
      </c>
      <c r="AE286" s="72" t="s">
        <v>2226</v>
      </c>
      <c r="AF286" s="72" t="str">
        <f t="shared" si="53"/>
        <v>A679075</v>
      </c>
      <c r="AG286" s="72" t="str">
        <f>VLOOKUP(AF286,AKT!$C$4:$E$324,3,FALSE)</f>
        <v>0942</v>
      </c>
    </row>
    <row r="287" spans="1:33">
      <c r="A287" s="82"/>
      <c r="B287" s="77" t="str">
        <f t="shared" si="49"/>
        <v/>
      </c>
      <c r="C287" s="82"/>
      <c r="D287" s="77" t="str">
        <f t="shared" si="46"/>
        <v/>
      </c>
      <c r="E287" s="114"/>
      <c r="F287" s="77" t="str">
        <f t="shared" si="47"/>
        <v/>
      </c>
      <c r="G287" s="77" t="str">
        <f t="shared" si="48"/>
        <v/>
      </c>
      <c r="H287" s="113"/>
      <c r="I287" s="113"/>
      <c r="J287" s="113"/>
      <c r="K287" s="126"/>
      <c r="L287" s="125"/>
      <c r="M287" s="125"/>
      <c r="N287" s="126"/>
      <c r="O287" s="303"/>
      <c r="P287" s="81"/>
      <c r="R287" s="72" t="str">
        <f t="shared" si="50"/>
        <v/>
      </c>
      <c r="S287" s="72" t="str">
        <f t="shared" si="51"/>
        <v/>
      </c>
      <c r="T287" s="72" t="str">
        <f t="shared" si="52"/>
        <v/>
      </c>
      <c r="AD287" s="72" t="s">
        <v>3121</v>
      </c>
      <c r="AE287" s="72" t="s">
        <v>3122</v>
      </c>
      <c r="AF287" s="72" t="str">
        <f t="shared" si="53"/>
        <v>A679075</v>
      </c>
      <c r="AG287" s="72" t="str">
        <f>VLOOKUP(AF287,AKT!$C$4:$E$324,3,FALSE)</f>
        <v>0942</v>
      </c>
    </row>
    <row r="288" spans="1:33">
      <c r="A288" s="82"/>
      <c r="B288" s="77" t="str">
        <f t="shared" si="49"/>
        <v/>
      </c>
      <c r="C288" s="82"/>
      <c r="D288" s="77" t="str">
        <f t="shared" si="46"/>
        <v/>
      </c>
      <c r="E288" s="114"/>
      <c r="F288" s="77" t="str">
        <f t="shared" si="47"/>
        <v/>
      </c>
      <c r="G288" s="77" t="str">
        <f t="shared" si="48"/>
        <v/>
      </c>
      <c r="H288" s="113"/>
      <c r="I288" s="113"/>
      <c r="J288" s="113"/>
      <c r="K288" s="126"/>
      <c r="L288" s="125"/>
      <c r="M288" s="125"/>
      <c r="N288" s="126"/>
      <c r="O288" s="303"/>
      <c r="P288" s="81"/>
      <c r="R288" s="72" t="str">
        <f t="shared" si="50"/>
        <v/>
      </c>
      <c r="S288" s="72" t="str">
        <f t="shared" si="51"/>
        <v/>
      </c>
      <c r="T288" s="72" t="str">
        <f t="shared" si="52"/>
        <v/>
      </c>
      <c r="AD288" s="72" t="s">
        <v>3123</v>
      </c>
      <c r="AE288" s="72" t="s">
        <v>3124</v>
      </c>
      <c r="AF288" s="72" t="str">
        <f t="shared" si="53"/>
        <v>A679075</v>
      </c>
      <c r="AG288" s="72" t="str">
        <f>VLOOKUP(AF288,AKT!$C$4:$E$324,3,FALSE)</f>
        <v>0942</v>
      </c>
    </row>
    <row r="289" spans="1:33">
      <c r="A289" s="82"/>
      <c r="B289" s="77" t="str">
        <f t="shared" si="49"/>
        <v/>
      </c>
      <c r="C289" s="82"/>
      <c r="D289" s="77" t="str">
        <f t="shared" si="46"/>
        <v/>
      </c>
      <c r="E289" s="114"/>
      <c r="F289" s="77" t="str">
        <f t="shared" si="47"/>
        <v/>
      </c>
      <c r="G289" s="77" t="str">
        <f t="shared" si="48"/>
        <v/>
      </c>
      <c r="H289" s="113"/>
      <c r="I289" s="113"/>
      <c r="J289" s="113"/>
      <c r="K289" s="126"/>
      <c r="L289" s="125"/>
      <c r="M289" s="125"/>
      <c r="N289" s="126"/>
      <c r="O289" s="303"/>
      <c r="P289" s="81"/>
      <c r="R289" s="72" t="str">
        <f t="shared" si="50"/>
        <v/>
      </c>
      <c r="S289" s="72" t="str">
        <f t="shared" si="51"/>
        <v/>
      </c>
      <c r="T289" s="72" t="str">
        <f t="shared" si="52"/>
        <v/>
      </c>
      <c r="AD289" s="72" t="s">
        <v>3125</v>
      </c>
      <c r="AE289" s="72" t="s">
        <v>3126</v>
      </c>
      <c r="AF289" s="72" t="str">
        <f t="shared" si="53"/>
        <v>A679075</v>
      </c>
      <c r="AG289" s="72" t="str">
        <f>VLOOKUP(AF289,AKT!$C$4:$E$324,3,FALSE)</f>
        <v>0942</v>
      </c>
    </row>
    <row r="290" spans="1:33">
      <c r="A290" s="82"/>
      <c r="B290" s="77" t="str">
        <f t="shared" si="49"/>
        <v/>
      </c>
      <c r="C290" s="82"/>
      <c r="D290" s="77" t="str">
        <f t="shared" si="46"/>
        <v/>
      </c>
      <c r="E290" s="114"/>
      <c r="F290" s="77" t="str">
        <f t="shared" si="47"/>
        <v/>
      </c>
      <c r="G290" s="77" t="str">
        <f t="shared" si="48"/>
        <v/>
      </c>
      <c r="H290" s="113"/>
      <c r="I290" s="113"/>
      <c r="J290" s="113"/>
      <c r="K290" s="126"/>
      <c r="L290" s="125"/>
      <c r="M290" s="125"/>
      <c r="N290" s="126"/>
      <c r="O290" s="303"/>
      <c r="P290" s="81"/>
      <c r="R290" s="72" t="str">
        <f t="shared" si="50"/>
        <v/>
      </c>
      <c r="S290" s="72" t="str">
        <f t="shared" si="51"/>
        <v/>
      </c>
      <c r="T290" s="72" t="str">
        <f t="shared" si="52"/>
        <v/>
      </c>
      <c r="AD290" s="72" t="s">
        <v>3127</v>
      </c>
      <c r="AE290" s="72" t="s">
        <v>3128</v>
      </c>
      <c r="AF290" s="72" t="str">
        <f t="shared" si="53"/>
        <v>A679075</v>
      </c>
      <c r="AG290" s="72" t="str">
        <f>VLOOKUP(AF290,AKT!$C$4:$E$324,3,FALSE)</f>
        <v>0942</v>
      </c>
    </row>
    <row r="291" spans="1:33">
      <c r="A291" s="82"/>
      <c r="B291" s="77" t="str">
        <f t="shared" si="49"/>
        <v/>
      </c>
      <c r="C291" s="82"/>
      <c r="D291" s="77" t="str">
        <f t="shared" si="46"/>
        <v/>
      </c>
      <c r="E291" s="114"/>
      <c r="F291" s="77" t="str">
        <f t="shared" si="47"/>
        <v/>
      </c>
      <c r="G291" s="77" t="str">
        <f t="shared" si="48"/>
        <v/>
      </c>
      <c r="H291" s="113"/>
      <c r="I291" s="113"/>
      <c r="J291" s="113"/>
      <c r="K291" s="126"/>
      <c r="L291" s="125"/>
      <c r="M291" s="125"/>
      <c r="N291" s="126"/>
      <c r="O291" s="303"/>
      <c r="P291" s="81"/>
      <c r="R291" s="72" t="str">
        <f t="shared" si="50"/>
        <v/>
      </c>
      <c r="S291" s="72" t="str">
        <f t="shared" si="51"/>
        <v/>
      </c>
      <c r="T291" s="72" t="str">
        <f t="shared" si="52"/>
        <v/>
      </c>
      <c r="AD291" s="72" t="s">
        <v>755</v>
      </c>
      <c r="AE291" s="72" t="s">
        <v>756</v>
      </c>
      <c r="AF291" s="72" t="str">
        <f t="shared" si="53"/>
        <v>A679076</v>
      </c>
      <c r="AG291" s="72" t="str">
        <f>VLOOKUP(AF291,AKT!$C$4:$E$324,3,FALSE)</f>
        <v>0942</v>
      </c>
    </row>
    <row r="292" spans="1:33">
      <c r="A292" s="82"/>
      <c r="B292" s="77" t="str">
        <f t="shared" si="49"/>
        <v/>
      </c>
      <c r="C292" s="82"/>
      <c r="D292" s="77" t="str">
        <f t="shared" si="46"/>
        <v/>
      </c>
      <c r="E292" s="114"/>
      <c r="F292" s="77" t="str">
        <f t="shared" si="47"/>
        <v/>
      </c>
      <c r="G292" s="77" t="str">
        <f t="shared" si="48"/>
        <v/>
      </c>
      <c r="H292" s="113"/>
      <c r="I292" s="113"/>
      <c r="J292" s="113"/>
      <c r="K292" s="126"/>
      <c r="L292" s="125"/>
      <c r="M292" s="125"/>
      <c r="N292" s="126"/>
      <c r="O292" s="303"/>
      <c r="P292" s="81"/>
      <c r="R292" s="72" t="str">
        <f t="shared" si="50"/>
        <v/>
      </c>
      <c r="S292" s="72" t="str">
        <f t="shared" si="51"/>
        <v/>
      </c>
      <c r="T292" s="72" t="str">
        <f t="shared" si="52"/>
        <v/>
      </c>
      <c r="AD292" s="72" t="s">
        <v>757</v>
      </c>
      <c r="AE292" s="72" t="s">
        <v>758</v>
      </c>
      <c r="AF292" s="72" t="str">
        <f t="shared" si="53"/>
        <v>A679076</v>
      </c>
      <c r="AG292" s="72" t="str">
        <f>VLOOKUP(AF292,AKT!$C$4:$E$324,3,FALSE)</f>
        <v>0942</v>
      </c>
    </row>
    <row r="293" spans="1:33">
      <c r="A293" s="82"/>
      <c r="B293" s="77" t="str">
        <f t="shared" si="49"/>
        <v/>
      </c>
      <c r="C293" s="82"/>
      <c r="D293" s="77" t="str">
        <f t="shared" si="46"/>
        <v/>
      </c>
      <c r="E293" s="114"/>
      <c r="F293" s="77" t="str">
        <f t="shared" si="47"/>
        <v/>
      </c>
      <c r="G293" s="77" t="str">
        <f t="shared" si="48"/>
        <v/>
      </c>
      <c r="H293" s="113"/>
      <c r="I293" s="113"/>
      <c r="J293" s="113"/>
      <c r="K293" s="126"/>
      <c r="L293" s="125"/>
      <c r="M293" s="125"/>
      <c r="N293" s="126"/>
      <c r="O293" s="303"/>
      <c r="P293" s="81"/>
      <c r="R293" s="72" t="str">
        <f t="shared" si="50"/>
        <v/>
      </c>
      <c r="S293" s="72" t="str">
        <f t="shared" si="51"/>
        <v/>
      </c>
      <c r="T293" s="72" t="str">
        <f t="shared" si="52"/>
        <v/>
      </c>
      <c r="AD293" s="72" t="s">
        <v>759</v>
      </c>
      <c r="AE293" s="72" t="s">
        <v>760</v>
      </c>
      <c r="AF293" s="72" t="str">
        <f t="shared" si="53"/>
        <v>A679076</v>
      </c>
      <c r="AG293" s="72" t="str">
        <f>VLOOKUP(AF293,AKT!$C$4:$E$324,3,FALSE)</f>
        <v>0942</v>
      </c>
    </row>
    <row r="294" spans="1:33">
      <c r="A294" s="82"/>
      <c r="B294" s="77" t="str">
        <f t="shared" si="49"/>
        <v/>
      </c>
      <c r="C294" s="82"/>
      <c r="D294" s="77" t="str">
        <f t="shared" si="46"/>
        <v/>
      </c>
      <c r="E294" s="114"/>
      <c r="F294" s="77" t="str">
        <f t="shared" si="47"/>
        <v/>
      </c>
      <c r="G294" s="77" t="str">
        <f t="shared" si="48"/>
        <v/>
      </c>
      <c r="H294" s="113"/>
      <c r="I294" s="113"/>
      <c r="J294" s="113"/>
      <c r="K294" s="126"/>
      <c r="L294" s="125"/>
      <c r="M294" s="125"/>
      <c r="N294" s="126"/>
      <c r="O294" s="303"/>
      <c r="P294" s="81"/>
      <c r="R294" s="72" t="str">
        <f t="shared" si="50"/>
        <v/>
      </c>
      <c r="S294" s="72" t="str">
        <f t="shared" si="51"/>
        <v/>
      </c>
      <c r="T294" s="72" t="str">
        <f t="shared" si="52"/>
        <v/>
      </c>
      <c r="AD294" s="72" t="s">
        <v>2227</v>
      </c>
      <c r="AE294" s="72" t="s">
        <v>2228</v>
      </c>
      <c r="AF294" s="72" t="str">
        <f t="shared" si="53"/>
        <v>A679076</v>
      </c>
      <c r="AG294" s="72" t="str">
        <f>VLOOKUP(AF294,AKT!$C$4:$E$324,3,FALSE)</f>
        <v>0942</v>
      </c>
    </row>
    <row r="295" spans="1:33">
      <c r="A295" s="82"/>
      <c r="B295" s="77" t="str">
        <f t="shared" si="49"/>
        <v/>
      </c>
      <c r="C295" s="82"/>
      <c r="D295" s="77" t="str">
        <f t="shared" si="46"/>
        <v/>
      </c>
      <c r="E295" s="114"/>
      <c r="F295" s="77" t="str">
        <f t="shared" si="47"/>
        <v/>
      </c>
      <c r="G295" s="77" t="str">
        <f t="shared" si="48"/>
        <v/>
      </c>
      <c r="H295" s="113"/>
      <c r="I295" s="113"/>
      <c r="J295" s="113"/>
      <c r="K295" s="126"/>
      <c r="L295" s="125"/>
      <c r="M295" s="125"/>
      <c r="N295" s="126"/>
      <c r="O295" s="303"/>
      <c r="P295" s="81"/>
      <c r="R295" s="72" t="str">
        <f t="shared" si="50"/>
        <v/>
      </c>
      <c r="S295" s="72" t="str">
        <f t="shared" si="51"/>
        <v/>
      </c>
      <c r="T295" s="72" t="str">
        <f t="shared" si="52"/>
        <v/>
      </c>
      <c r="AD295" s="72" t="s">
        <v>2229</v>
      </c>
      <c r="AE295" s="72" t="s">
        <v>2230</v>
      </c>
      <c r="AF295" s="72" t="str">
        <f t="shared" si="53"/>
        <v>A679076</v>
      </c>
      <c r="AG295" s="72" t="str">
        <f>VLOOKUP(AF295,AKT!$C$4:$E$324,3,FALSE)</f>
        <v>0942</v>
      </c>
    </row>
    <row r="296" spans="1:33">
      <c r="A296" s="82"/>
      <c r="B296" s="77" t="str">
        <f t="shared" si="49"/>
        <v/>
      </c>
      <c r="C296" s="82"/>
      <c r="D296" s="77" t="str">
        <f t="shared" si="46"/>
        <v/>
      </c>
      <c r="E296" s="114"/>
      <c r="F296" s="77" t="str">
        <f t="shared" si="47"/>
        <v/>
      </c>
      <c r="G296" s="77" t="str">
        <f t="shared" si="48"/>
        <v/>
      </c>
      <c r="H296" s="113"/>
      <c r="I296" s="113"/>
      <c r="J296" s="113"/>
      <c r="K296" s="126"/>
      <c r="L296" s="125"/>
      <c r="M296" s="125"/>
      <c r="N296" s="126"/>
      <c r="O296" s="303"/>
      <c r="P296" s="81"/>
      <c r="R296" s="72" t="str">
        <f t="shared" si="50"/>
        <v/>
      </c>
      <c r="S296" s="72" t="str">
        <f t="shared" si="51"/>
        <v/>
      </c>
      <c r="T296" s="72" t="str">
        <f t="shared" si="52"/>
        <v/>
      </c>
      <c r="AD296" s="72" t="s">
        <v>2231</v>
      </c>
      <c r="AE296" s="72" t="s">
        <v>2232</v>
      </c>
      <c r="AF296" s="72" t="str">
        <f t="shared" si="53"/>
        <v>A679076</v>
      </c>
      <c r="AG296" s="72" t="str">
        <f>VLOOKUP(AF296,AKT!$C$4:$E$324,3,FALSE)</f>
        <v>0942</v>
      </c>
    </row>
    <row r="297" spans="1:33">
      <c r="A297" s="82"/>
      <c r="B297" s="77" t="str">
        <f t="shared" si="49"/>
        <v/>
      </c>
      <c r="C297" s="82"/>
      <c r="D297" s="77" t="str">
        <f t="shared" si="46"/>
        <v/>
      </c>
      <c r="E297" s="114"/>
      <c r="F297" s="77" t="str">
        <f t="shared" si="47"/>
        <v/>
      </c>
      <c r="G297" s="77" t="str">
        <f t="shared" si="48"/>
        <v/>
      </c>
      <c r="H297" s="113"/>
      <c r="I297" s="113"/>
      <c r="J297" s="113"/>
      <c r="K297" s="126"/>
      <c r="L297" s="125"/>
      <c r="M297" s="125"/>
      <c r="N297" s="126"/>
      <c r="O297" s="303"/>
      <c r="P297" s="81"/>
      <c r="R297" s="72" t="str">
        <f t="shared" si="50"/>
        <v/>
      </c>
      <c r="S297" s="72" t="str">
        <f t="shared" si="51"/>
        <v/>
      </c>
      <c r="T297" s="72" t="str">
        <f t="shared" si="52"/>
        <v/>
      </c>
      <c r="AD297" s="72" t="s">
        <v>2233</v>
      </c>
      <c r="AE297" s="72" t="s">
        <v>2234</v>
      </c>
      <c r="AF297" s="72" t="str">
        <f t="shared" si="53"/>
        <v>A679076</v>
      </c>
      <c r="AG297" s="72" t="str">
        <f>VLOOKUP(AF297,AKT!$C$4:$E$324,3,FALSE)</f>
        <v>0942</v>
      </c>
    </row>
    <row r="298" spans="1:33">
      <c r="A298" s="82"/>
      <c r="B298" s="77" t="str">
        <f t="shared" si="49"/>
        <v/>
      </c>
      <c r="C298" s="82"/>
      <c r="D298" s="77" t="str">
        <f t="shared" si="46"/>
        <v/>
      </c>
      <c r="E298" s="114"/>
      <c r="F298" s="77" t="str">
        <f t="shared" si="47"/>
        <v/>
      </c>
      <c r="G298" s="77" t="str">
        <f t="shared" si="48"/>
        <v/>
      </c>
      <c r="H298" s="113"/>
      <c r="I298" s="113"/>
      <c r="J298" s="113"/>
      <c r="K298" s="126"/>
      <c r="L298" s="125"/>
      <c r="M298" s="125"/>
      <c r="N298" s="126"/>
      <c r="O298" s="303"/>
      <c r="P298" s="81"/>
      <c r="R298" s="72" t="str">
        <f t="shared" si="50"/>
        <v/>
      </c>
      <c r="S298" s="72" t="str">
        <f t="shared" si="51"/>
        <v/>
      </c>
      <c r="T298" s="72" t="str">
        <f t="shared" si="52"/>
        <v/>
      </c>
      <c r="AD298" s="72" t="s">
        <v>2235</v>
      </c>
      <c r="AE298" s="72" t="s">
        <v>2236</v>
      </c>
      <c r="AF298" s="72" t="str">
        <f t="shared" si="53"/>
        <v>A679076</v>
      </c>
      <c r="AG298" s="72" t="str">
        <f>VLOOKUP(AF298,AKT!$C$4:$E$324,3,FALSE)</f>
        <v>0942</v>
      </c>
    </row>
    <row r="299" spans="1:33">
      <c r="A299" s="82"/>
      <c r="B299" s="77" t="str">
        <f t="shared" si="49"/>
        <v/>
      </c>
      <c r="C299" s="82"/>
      <c r="D299" s="77" t="str">
        <f t="shared" si="46"/>
        <v/>
      </c>
      <c r="E299" s="114"/>
      <c r="F299" s="77" t="str">
        <f t="shared" si="47"/>
        <v/>
      </c>
      <c r="G299" s="77" t="str">
        <f t="shared" si="48"/>
        <v/>
      </c>
      <c r="H299" s="113"/>
      <c r="I299" s="113"/>
      <c r="J299" s="113"/>
      <c r="K299" s="126"/>
      <c r="L299" s="125"/>
      <c r="M299" s="125"/>
      <c r="N299" s="126"/>
      <c r="O299" s="303"/>
      <c r="P299" s="81"/>
      <c r="R299" s="72" t="str">
        <f t="shared" si="50"/>
        <v/>
      </c>
      <c r="S299" s="72" t="str">
        <f t="shared" si="51"/>
        <v/>
      </c>
      <c r="T299" s="72" t="str">
        <f t="shared" si="52"/>
        <v/>
      </c>
      <c r="AD299" s="72" t="s">
        <v>2237</v>
      </c>
      <c r="AE299" s="72" t="s">
        <v>2238</v>
      </c>
      <c r="AF299" s="72" t="str">
        <f t="shared" si="53"/>
        <v>A679076</v>
      </c>
      <c r="AG299" s="72" t="str">
        <f>VLOOKUP(AF299,AKT!$C$4:$E$324,3,FALSE)</f>
        <v>0942</v>
      </c>
    </row>
    <row r="300" spans="1:33">
      <c r="A300" s="82"/>
      <c r="B300" s="77" t="str">
        <f t="shared" si="49"/>
        <v/>
      </c>
      <c r="C300" s="82"/>
      <c r="D300" s="77" t="str">
        <f t="shared" si="46"/>
        <v/>
      </c>
      <c r="E300" s="114"/>
      <c r="F300" s="77" t="str">
        <f t="shared" si="47"/>
        <v/>
      </c>
      <c r="G300" s="77" t="str">
        <f t="shared" si="48"/>
        <v/>
      </c>
      <c r="H300" s="113"/>
      <c r="I300" s="113"/>
      <c r="J300" s="113"/>
      <c r="K300" s="126"/>
      <c r="L300" s="125"/>
      <c r="M300" s="125"/>
      <c r="N300" s="126"/>
      <c r="O300" s="303"/>
      <c r="P300" s="81"/>
      <c r="R300" s="72" t="str">
        <f t="shared" si="50"/>
        <v/>
      </c>
      <c r="S300" s="72" t="str">
        <f t="shared" si="51"/>
        <v/>
      </c>
      <c r="T300" s="72" t="str">
        <f t="shared" si="52"/>
        <v/>
      </c>
      <c r="AD300" s="72" t="s">
        <v>2239</v>
      </c>
      <c r="AE300" s="72" t="s">
        <v>2240</v>
      </c>
      <c r="AF300" s="72" t="str">
        <f t="shared" si="53"/>
        <v>A679076</v>
      </c>
      <c r="AG300" s="72" t="str">
        <f>VLOOKUP(AF300,AKT!$C$4:$E$324,3,FALSE)</f>
        <v>0942</v>
      </c>
    </row>
    <row r="301" spans="1:33">
      <c r="A301" s="82"/>
      <c r="B301" s="77" t="str">
        <f t="shared" si="49"/>
        <v/>
      </c>
      <c r="C301" s="82"/>
      <c r="D301" s="77" t="str">
        <f t="shared" si="46"/>
        <v/>
      </c>
      <c r="E301" s="114"/>
      <c r="F301" s="77" t="str">
        <f t="shared" si="47"/>
        <v/>
      </c>
      <c r="G301" s="77" t="str">
        <f t="shared" si="48"/>
        <v/>
      </c>
      <c r="H301" s="113"/>
      <c r="I301" s="113"/>
      <c r="J301" s="113"/>
      <c r="K301" s="126"/>
      <c r="L301" s="125"/>
      <c r="M301" s="125"/>
      <c r="N301" s="126"/>
      <c r="O301" s="303"/>
      <c r="P301" s="81"/>
      <c r="R301" s="72" t="str">
        <f t="shared" si="50"/>
        <v/>
      </c>
      <c r="S301" s="72" t="str">
        <f t="shared" si="51"/>
        <v/>
      </c>
      <c r="T301" s="72" t="str">
        <f t="shared" si="52"/>
        <v/>
      </c>
      <c r="AD301" s="72" t="s">
        <v>2241</v>
      </c>
      <c r="AE301" s="72" t="s">
        <v>2242</v>
      </c>
      <c r="AF301" s="72" t="str">
        <f t="shared" si="53"/>
        <v>A679076</v>
      </c>
      <c r="AG301" s="72" t="str">
        <f>VLOOKUP(AF301,AKT!$C$4:$E$324,3,FALSE)</f>
        <v>0942</v>
      </c>
    </row>
    <row r="302" spans="1:33">
      <c r="A302" s="82"/>
      <c r="B302" s="77" t="str">
        <f t="shared" si="49"/>
        <v/>
      </c>
      <c r="C302" s="82"/>
      <c r="D302" s="77" t="str">
        <f t="shared" si="46"/>
        <v/>
      </c>
      <c r="E302" s="114"/>
      <c r="F302" s="77" t="str">
        <f t="shared" si="47"/>
        <v/>
      </c>
      <c r="G302" s="77" t="str">
        <f t="shared" si="48"/>
        <v/>
      </c>
      <c r="H302" s="113"/>
      <c r="I302" s="113"/>
      <c r="J302" s="113"/>
      <c r="K302" s="126"/>
      <c r="L302" s="125"/>
      <c r="M302" s="125"/>
      <c r="N302" s="126"/>
      <c r="O302" s="303"/>
      <c r="P302" s="81"/>
      <c r="R302" s="72" t="str">
        <f t="shared" si="50"/>
        <v/>
      </c>
      <c r="S302" s="72" t="str">
        <f t="shared" si="51"/>
        <v/>
      </c>
      <c r="T302" s="72" t="str">
        <f t="shared" si="52"/>
        <v/>
      </c>
      <c r="AD302" s="72" t="s">
        <v>2243</v>
      </c>
      <c r="AE302" s="72" t="s">
        <v>2244</v>
      </c>
      <c r="AF302" s="72" t="str">
        <f t="shared" si="53"/>
        <v>A679076</v>
      </c>
      <c r="AG302" s="72" t="str">
        <f>VLOOKUP(AF302,AKT!$C$4:$E$324,3,FALSE)</f>
        <v>0942</v>
      </c>
    </row>
    <row r="303" spans="1:33">
      <c r="A303" s="82"/>
      <c r="B303" s="77" t="str">
        <f t="shared" si="49"/>
        <v/>
      </c>
      <c r="C303" s="82"/>
      <c r="D303" s="77" t="str">
        <f t="shared" si="46"/>
        <v/>
      </c>
      <c r="E303" s="114"/>
      <c r="F303" s="77" t="str">
        <f t="shared" si="47"/>
        <v/>
      </c>
      <c r="G303" s="77" t="str">
        <f t="shared" si="48"/>
        <v/>
      </c>
      <c r="H303" s="113"/>
      <c r="I303" s="113"/>
      <c r="J303" s="113"/>
      <c r="K303" s="126"/>
      <c r="L303" s="125"/>
      <c r="M303" s="125"/>
      <c r="N303" s="126"/>
      <c r="O303" s="303"/>
      <c r="P303" s="81"/>
      <c r="R303" s="72" t="str">
        <f t="shared" si="50"/>
        <v/>
      </c>
      <c r="S303" s="72" t="str">
        <f t="shared" si="51"/>
        <v/>
      </c>
      <c r="T303" s="72" t="str">
        <f t="shared" si="52"/>
        <v/>
      </c>
      <c r="AD303" s="72" t="s">
        <v>3129</v>
      </c>
      <c r="AE303" s="72" t="s">
        <v>3130</v>
      </c>
      <c r="AF303" s="72" t="str">
        <f t="shared" si="53"/>
        <v>A679076</v>
      </c>
      <c r="AG303" s="72" t="str">
        <f>VLOOKUP(AF303,AKT!$C$4:$E$324,3,FALSE)</f>
        <v>0942</v>
      </c>
    </row>
    <row r="304" spans="1:33">
      <c r="A304" s="82"/>
      <c r="B304" s="77" t="str">
        <f t="shared" si="49"/>
        <v/>
      </c>
      <c r="C304" s="82"/>
      <c r="D304" s="77" t="str">
        <f t="shared" si="46"/>
        <v/>
      </c>
      <c r="E304" s="114"/>
      <c r="F304" s="77" t="str">
        <f t="shared" si="47"/>
        <v/>
      </c>
      <c r="G304" s="77" t="str">
        <f t="shared" si="48"/>
        <v/>
      </c>
      <c r="H304" s="113"/>
      <c r="I304" s="113"/>
      <c r="J304" s="113"/>
      <c r="K304" s="126"/>
      <c r="L304" s="125"/>
      <c r="M304" s="125"/>
      <c r="N304" s="126"/>
      <c r="O304" s="303"/>
      <c r="P304" s="81"/>
      <c r="R304" s="72" t="str">
        <f t="shared" si="50"/>
        <v/>
      </c>
      <c r="S304" s="72" t="str">
        <f t="shared" si="51"/>
        <v/>
      </c>
      <c r="T304" s="72" t="str">
        <f t="shared" si="52"/>
        <v/>
      </c>
      <c r="AD304" s="72" t="s">
        <v>3131</v>
      </c>
      <c r="AE304" s="72" t="s">
        <v>3132</v>
      </c>
      <c r="AF304" s="72" t="str">
        <f t="shared" si="53"/>
        <v>A679076</v>
      </c>
      <c r="AG304" s="72" t="str">
        <f>VLOOKUP(AF304,AKT!$C$4:$E$324,3,FALSE)</f>
        <v>0942</v>
      </c>
    </row>
    <row r="305" spans="1:33">
      <c r="A305" s="82"/>
      <c r="B305" s="77" t="str">
        <f t="shared" si="49"/>
        <v/>
      </c>
      <c r="C305" s="82"/>
      <c r="D305" s="77" t="str">
        <f t="shared" si="46"/>
        <v/>
      </c>
      <c r="E305" s="114"/>
      <c r="F305" s="77" t="str">
        <f t="shared" si="47"/>
        <v/>
      </c>
      <c r="G305" s="77" t="str">
        <f t="shared" si="48"/>
        <v/>
      </c>
      <c r="H305" s="113"/>
      <c r="I305" s="113"/>
      <c r="J305" s="113"/>
      <c r="K305" s="126"/>
      <c r="L305" s="125"/>
      <c r="M305" s="125"/>
      <c r="N305" s="126"/>
      <c r="O305" s="303"/>
      <c r="P305" s="81"/>
      <c r="R305" s="72" t="str">
        <f t="shared" si="50"/>
        <v/>
      </c>
      <c r="S305" s="72" t="str">
        <f t="shared" si="51"/>
        <v/>
      </c>
      <c r="T305" s="72" t="str">
        <f t="shared" si="52"/>
        <v/>
      </c>
      <c r="AD305" s="72" t="s">
        <v>3133</v>
      </c>
      <c r="AE305" s="72" t="s">
        <v>876</v>
      </c>
      <c r="AF305" s="72" t="str">
        <f t="shared" si="53"/>
        <v>A679076</v>
      </c>
      <c r="AG305" s="72" t="str">
        <f>VLOOKUP(AF305,AKT!$C$4:$E$324,3,FALSE)</f>
        <v>0942</v>
      </c>
    </row>
    <row r="306" spans="1:33">
      <c r="A306" s="82"/>
      <c r="B306" s="77" t="str">
        <f t="shared" si="49"/>
        <v/>
      </c>
      <c r="C306" s="82"/>
      <c r="D306" s="77" t="str">
        <f t="shared" si="46"/>
        <v/>
      </c>
      <c r="E306" s="114"/>
      <c r="F306" s="77" t="str">
        <f t="shared" si="47"/>
        <v/>
      </c>
      <c r="G306" s="77" t="str">
        <f t="shared" si="48"/>
        <v/>
      </c>
      <c r="H306" s="113"/>
      <c r="I306" s="113"/>
      <c r="J306" s="113"/>
      <c r="K306" s="126"/>
      <c r="L306" s="125"/>
      <c r="M306" s="125"/>
      <c r="N306" s="126"/>
      <c r="O306" s="303"/>
      <c r="P306" s="81"/>
      <c r="R306" s="72" t="str">
        <f t="shared" si="50"/>
        <v/>
      </c>
      <c r="S306" s="72" t="str">
        <f t="shared" si="51"/>
        <v/>
      </c>
      <c r="T306" s="72" t="str">
        <f t="shared" si="52"/>
        <v/>
      </c>
      <c r="AD306" s="72" t="s">
        <v>761</v>
      </c>
      <c r="AE306" s="72" t="s">
        <v>762</v>
      </c>
      <c r="AF306" s="72" t="str">
        <f t="shared" si="53"/>
        <v>A679077</v>
      </c>
      <c r="AG306" s="72" t="str">
        <f>VLOOKUP(AF306,AKT!$C$4:$E$324,3,FALSE)</f>
        <v>0942</v>
      </c>
    </row>
    <row r="307" spans="1:33">
      <c r="A307" s="82"/>
      <c r="B307" s="77" t="str">
        <f t="shared" si="49"/>
        <v/>
      </c>
      <c r="C307" s="82"/>
      <c r="D307" s="77" t="str">
        <f t="shared" si="46"/>
        <v/>
      </c>
      <c r="E307" s="114"/>
      <c r="F307" s="77" t="str">
        <f t="shared" si="47"/>
        <v/>
      </c>
      <c r="G307" s="77" t="str">
        <f t="shared" si="48"/>
        <v/>
      </c>
      <c r="H307" s="113"/>
      <c r="I307" s="113"/>
      <c r="J307" s="113"/>
      <c r="K307" s="126"/>
      <c r="L307" s="125"/>
      <c r="M307" s="125"/>
      <c r="N307" s="126"/>
      <c r="O307" s="303"/>
      <c r="P307" s="81"/>
      <c r="R307" s="72" t="str">
        <f t="shared" si="50"/>
        <v/>
      </c>
      <c r="S307" s="72" t="str">
        <f t="shared" si="51"/>
        <v/>
      </c>
      <c r="T307" s="72" t="str">
        <f t="shared" si="52"/>
        <v/>
      </c>
      <c r="AD307" s="72" t="s">
        <v>763</v>
      </c>
      <c r="AE307" s="72" t="s">
        <v>764</v>
      </c>
      <c r="AF307" s="72" t="str">
        <f t="shared" si="53"/>
        <v>A679077</v>
      </c>
      <c r="AG307" s="72" t="str">
        <f>VLOOKUP(AF307,AKT!$C$4:$E$324,3,FALSE)</f>
        <v>0942</v>
      </c>
    </row>
    <row r="308" spans="1:33">
      <c r="A308" s="82"/>
      <c r="B308" s="77" t="str">
        <f t="shared" si="49"/>
        <v/>
      </c>
      <c r="C308" s="82"/>
      <c r="D308" s="77" t="str">
        <f t="shared" si="46"/>
        <v/>
      </c>
      <c r="E308" s="114"/>
      <c r="F308" s="77" t="str">
        <f t="shared" si="47"/>
        <v/>
      </c>
      <c r="G308" s="77" t="str">
        <f t="shared" si="48"/>
        <v/>
      </c>
      <c r="H308" s="113"/>
      <c r="I308" s="113"/>
      <c r="J308" s="113"/>
      <c r="K308" s="126"/>
      <c r="L308" s="125"/>
      <c r="M308" s="125"/>
      <c r="N308" s="126"/>
      <c r="O308" s="303"/>
      <c r="P308" s="81"/>
      <c r="R308" s="72" t="str">
        <f t="shared" si="50"/>
        <v/>
      </c>
      <c r="S308" s="72" t="str">
        <f t="shared" si="51"/>
        <v/>
      </c>
      <c r="T308" s="72" t="str">
        <f t="shared" si="52"/>
        <v/>
      </c>
      <c r="AD308" s="72" t="s">
        <v>3134</v>
      </c>
      <c r="AE308" s="72" t="s">
        <v>3135</v>
      </c>
      <c r="AF308" s="72" t="str">
        <f t="shared" si="53"/>
        <v>A679077</v>
      </c>
      <c r="AG308" s="72" t="str">
        <f>VLOOKUP(AF308,AKT!$C$4:$E$324,3,FALSE)</f>
        <v>0942</v>
      </c>
    </row>
    <row r="309" spans="1:33">
      <c r="A309" s="82"/>
      <c r="B309" s="77" t="str">
        <f t="shared" si="49"/>
        <v/>
      </c>
      <c r="C309" s="82"/>
      <c r="D309" s="77" t="str">
        <f t="shared" si="46"/>
        <v/>
      </c>
      <c r="E309" s="114"/>
      <c r="F309" s="77" t="str">
        <f t="shared" si="47"/>
        <v/>
      </c>
      <c r="G309" s="77" t="str">
        <f t="shared" si="48"/>
        <v/>
      </c>
      <c r="H309" s="113"/>
      <c r="I309" s="113"/>
      <c r="J309" s="113"/>
      <c r="K309" s="126"/>
      <c r="L309" s="125"/>
      <c r="M309" s="125"/>
      <c r="N309" s="126"/>
      <c r="O309" s="303"/>
      <c r="P309" s="81"/>
      <c r="R309" s="72" t="str">
        <f t="shared" si="50"/>
        <v/>
      </c>
      <c r="S309" s="72" t="str">
        <f t="shared" si="51"/>
        <v/>
      </c>
      <c r="T309" s="72" t="str">
        <f t="shared" si="52"/>
        <v/>
      </c>
      <c r="AD309" s="72" t="s">
        <v>765</v>
      </c>
      <c r="AE309" s="72" t="s">
        <v>766</v>
      </c>
      <c r="AF309" s="72" t="str">
        <f t="shared" si="53"/>
        <v>A679077</v>
      </c>
      <c r="AG309" s="72" t="str">
        <f>VLOOKUP(AF309,AKT!$C$4:$E$324,3,FALSE)</f>
        <v>0942</v>
      </c>
    </row>
    <row r="310" spans="1:33">
      <c r="A310" s="82"/>
      <c r="B310" s="77" t="str">
        <f t="shared" si="49"/>
        <v/>
      </c>
      <c r="C310" s="82"/>
      <c r="D310" s="77" t="str">
        <f t="shared" si="46"/>
        <v/>
      </c>
      <c r="E310" s="114"/>
      <c r="F310" s="77" t="str">
        <f t="shared" si="47"/>
        <v/>
      </c>
      <c r="G310" s="77" t="str">
        <f t="shared" si="48"/>
        <v/>
      </c>
      <c r="H310" s="113"/>
      <c r="I310" s="113"/>
      <c r="J310" s="113"/>
      <c r="K310" s="126"/>
      <c r="L310" s="125"/>
      <c r="M310" s="125"/>
      <c r="N310" s="126"/>
      <c r="O310" s="303"/>
      <c r="P310" s="81"/>
      <c r="R310" s="72" t="str">
        <f t="shared" si="50"/>
        <v/>
      </c>
      <c r="S310" s="72" t="str">
        <f t="shared" si="51"/>
        <v/>
      </c>
      <c r="T310" s="72" t="str">
        <f t="shared" si="52"/>
        <v/>
      </c>
      <c r="AD310" s="72" t="s">
        <v>767</v>
      </c>
      <c r="AE310" s="72" t="s">
        <v>768</v>
      </c>
      <c r="AF310" s="72" t="str">
        <f t="shared" si="53"/>
        <v>A679077</v>
      </c>
      <c r="AG310" s="72" t="str">
        <f>VLOOKUP(AF310,AKT!$C$4:$E$324,3,FALSE)</f>
        <v>0942</v>
      </c>
    </row>
    <row r="311" spans="1:33">
      <c r="A311" s="82"/>
      <c r="B311" s="77" t="str">
        <f t="shared" si="49"/>
        <v/>
      </c>
      <c r="C311" s="82"/>
      <c r="D311" s="77" t="str">
        <f t="shared" si="46"/>
        <v/>
      </c>
      <c r="E311" s="114"/>
      <c r="F311" s="77" t="str">
        <f t="shared" si="47"/>
        <v/>
      </c>
      <c r="G311" s="77" t="str">
        <f t="shared" si="48"/>
        <v/>
      </c>
      <c r="H311" s="113"/>
      <c r="I311" s="113"/>
      <c r="J311" s="113"/>
      <c r="K311" s="126"/>
      <c r="L311" s="125"/>
      <c r="M311" s="125"/>
      <c r="N311" s="126"/>
      <c r="O311" s="303"/>
      <c r="P311" s="81"/>
      <c r="R311" s="72" t="str">
        <f t="shared" si="50"/>
        <v/>
      </c>
      <c r="S311" s="72" t="str">
        <f t="shared" si="51"/>
        <v/>
      </c>
      <c r="T311" s="72" t="str">
        <f t="shared" si="52"/>
        <v/>
      </c>
      <c r="AD311" s="72" t="s">
        <v>769</v>
      </c>
      <c r="AE311" s="72" t="s">
        <v>770</v>
      </c>
      <c r="AF311" s="72" t="str">
        <f t="shared" si="53"/>
        <v>A679077</v>
      </c>
      <c r="AG311" s="72" t="str">
        <f>VLOOKUP(AF311,AKT!$C$4:$E$324,3,FALSE)</f>
        <v>0942</v>
      </c>
    </row>
    <row r="312" spans="1:33">
      <c r="A312" s="82"/>
      <c r="B312" s="77" t="str">
        <f t="shared" si="49"/>
        <v/>
      </c>
      <c r="C312" s="82"/>
      <c r="D312" s="77" t="str">
        <f t="shared" si="46"/>
        <v/>
      </c>
      <c r="E312" s="114"/>
      <c r="F312" s="77" t="str">
        <f t="shared" si="47"/>
        <v/>
      </c>
      <c r="G312" s="77" t="str">
        <f t="shared" si="48"/>
        <v/>
      </c>
      <c r="H312" s="113"/>
      <c r="I312" s="113"/>
      <c r="J312" s="113"/>
      <c r="K312" s="126"/>
      <c r="L312" s="125"/>
      <c r="M312" s="125"/>
      <c r="N312" s="126"/>
      <c r="O312" s="303"/>
      <c r="P312" s="81"/>
      <c r="R312" s="72" t="str">
        <f t="shared" si="50"/>
        <v/>
      </c>
      <c r="S312" s="72" t="str">
        <f t="shared" si="51"/>
        <v/>
      </c>
      <c r="T312" s="72" t="str">
        <f t="shared" si="52"/>
        <v/>
      </c>
      <c r="AD312" s="72" t="s">
        <v>771</v>
      </c>
      <c r="AE312" s="72" t="s">
        <v>772</v>
      </c>
      <c r="AF312" s="72" t="str">
        <f t="shared" si="53"/>
        <v>A679077</v>
      </c>
      <c r="AG312" s="72" t="str">
        <f>VLOOKUP(AF312,AKT!$C$4:$E$324,3,FALSE)</f>
        <v>0942</v>
      </c>
    </row>
    <row r="313" spans="1:33">
      <c r="A313" s="82"/>
      <c r="B313" s="77" t="str">
        <f t="shared" si="49"/>
        <v/>
      </c>
      <c r="C313" s="82"/>
      <c r="D313" s="77" t="str">
        <f t="shared" si="46"/>
        <v/>
      </c>
      <c r="E313" s="114"/>
      <c r="F313" s="77" t="str">
        <f t="shared" si="47"/>
        <v/>
      </c>
      <c r="G313" s="77" t="str">
        <f t="shared" si="48"/>
        <v/>
      </c>
      <c r="H313" s="113"/>
      <c r="I313" s="113"/>
      <c r="J313" s="113"/>
      <c r="K313" s="126"/>
      <c r="L313" s="125"/>
      <c r="M313" s="125"/>
      <c r="N313" s="126"/>
      <c r="O313" s="303"/>
      <c r="P313" s="81"/>
      <c r="R313" s="72" t="str">
        <f t="shared" si="50"/>
        <v/>
      </c>
      <c r="S313" s="72" t="str">
        <f t="shared" si="51"/>
        <v/>
      </c>
      <c r="T313" s="72" t="str">
        <f t="shared" si="52"/>
        <v/>
      </c>
      <c r="AD313" s="72" t="s">
        <v>773</v>
      </c>
      <c r="AE313" s="72" t="s">
        <v>774</v>
      </c>
      <c r="AF313" s="72" t="str">
        <f t="shared" si="53"/>
        <v>A679077</v>
      </c>
      <c r="AG313" s="72" t="str">
        <f>VLOOKUP(AF313,AKT!$C$4:$E$324,3,FALSE)</f>
        <v>0942</v>
      </c>
    </row>
    <row r="314" spans="1:33">
      <c r="A314" s="82"/>
      <c r="B314" s="77" t="str">
        <f t="shared" si="49"/>
        <v/>
      </c>
      <c r="C314" s="82"/>
      <c r="D314" s="77" t="str">
        <f t="shared" si="46"/>
        <v/>
      </c>
      <c r="E314" s="114"/>
      <c r="F314" s="77" t="str">
        <f t="shared" si="47"/>
        <v/>
      </c>
      <c r="G314" s="77" t="str">
        <f t="shared" si="48"/>
        <v/>
      </c>
      <c r="H314" s="113"/>
      <c r="I314" s="113"/>
      <c r="J314" s="113"/>
      <c r="K314" s="126"/>
      <c r="L314" s="125"/>
      <c r="M314" s="125"/>
      <c r="N314" s="126"/>
      <c r="O314" s="303"/>
      <c r="P314" s="81"/>
      <c r="R314" s="72" t="str">
        <f t="shared" si="50"/>
        <v/>
      </c>
      <c r="S314" s="72" t="str">
        <f t="shared" si="51"/>
        <v/>
      </c>
      <c r="T314" s="72" t="str">
        <f t="shared" si="52"/>
        <v/>
      </c>
      <c r="AD314" s="72" t="s">
        <v>3136</v>
      </c>
      <c r="AE314" s="72" t="s">
        <v>3137</v>
      </c>
      <c r="AF314" s="72" t="str">
        <f t="shared" si="53"/>
        <v>A679077</v>
      </c>
      <c r="AG314" s="72" t="str">
        <f>VLOOKUP(AF314,AKT!$C$4:$E$324,3,FALSE)</f>
        <v>0942</v>
      </c>
    </row>
    <row r="315" spans="1:33">
      <c r="A315" s="82"/>
      <c r="B315" s="77" t="str">
        <f t="shared" si="49"/>
        <v/>
      </c>
      <c r="C315" s="82"/>
      <c r="D315" s="77" t="str">
        <f t="shared" si="46"/>
        <v/>
      </c>
      <c r="E315" s="114"/>
      <c r="F315" s="77" t="str">
        <f t="shared" si="47"/>
        <v/>
      </c>
      <c r="G315" s="77" t="str">
        <f t="shared" si="48"/>
        <v/>
      </c>
      <c r="H315" s="113"/>
      <c r="I315" s="113"/>
      <c r="J315" s="113"/>
      <c r="K315" s="126"/>
      <c r="L315" s="125"/>
      <c r="M315" s="125"/>
      <c r="N315" s="126"/>
      <c r="O315" s="303"/>
      <c r="P315" s="81"/>
      <c r="R315" s="72" t="str">
        <f t="shared" si="50"/>
        <v/>
      </c>
      <c r="S315" s="72" t="str">
        <f t="shared" si="51"/>
        <v/>
      </c>
      <c r="T315" s="72" t="str">
        <f t="shared" si="52"/>
        <v/>
      </c>
      <c r="AD315" s="72" t="s">
        <v>775</v>
      </c>
      <c r="AE315" s="72" t="s">
        <v>776</v>
      </c>
      <c r="AF315" s="72" t="str">
        <f t="shared" si="53"/>
        <v>A679077</v>
      </c>
      <c r="AG315" s="72" t="str">
        <f>VLOOKUP(AF315,AKT!$C$4:$E$324,3,FALSE)</f>
        <v>0942</v>
      </c>
    </row>
    <row r="316" spans="1:33">
      <c r="A316" s="82"/>
      <c r="B316" s="77" t="str">
        <f t="shared" si="49"/>
        <v/>
      </c>
      <c r="C316" s="82"/>
      <c r="D316" s="77" t="str">
        <f t="shared" si="46"/>
        <v/>
      </c>
      <c r="E316" s="114"/>
      <c r="F316" s="77" t="str">
        <f t="shared" si="47"/>
        <v/>
      </c>
      <c r="G316" s="77" t="str">
        <f t="shared" si="48"/>
        <v/>
      </c>
      <c r="H316" s="113"/>
      <c r="I316" s="113"/>
      <c r="J316" s="113"/>
      <c r="K316" s="126"/>
      <c r="L316" s="125"/>
      <c r="M316" s="125"/>
      <c r="N316" s="126"/>
      <c r="O316" s="303"/>
      <c r="P316" s="81"/>
      <c r="R316" s="72" t="str">
        <f t="shared" si="50"/>
        <v/>
      </c>
      <c r="S316" s="72" t="str">
        <f t="shared" si="51"/>
        <v/>
      </c>
      <c r="T316" s="72" t="str">
        <f t="shared" si="52"/>
        <v/>
      </c>
      <c r="AD316" s="72" t="s">
        <v>777</v>
      </c>
      <c r="AE316" s="72" t="s">
        <v>778</v>
      </c>
      <c r="AF316" s="72" t="str">
        <f t="shared" si="53"/>
        <v>A679077</v>
      </c>
      <c r="AG316" s="72" t="str">
        <f>VLOOKUP(AF316,AKT!$C$4:$E$324,3,FALSE)</f>
        <v>0942</v>
      </c>
    </row>
    <row r="317" spans="1:33">
      <c r="A317" s="82"/>
      <c r="B317" s="77" t="str">
        <f t="shared" si="49"/>
        <v/>
      </c>
      <c r="C317" s="82"/>
      <c r="D317" s="77" t="str">
        <f t="shared" si="46"/>
        <v/>
      </c>
      <c r="E317" s="114"/>
      <c r="F317" s="77" t="str">
        <f t="shared" si="47"/>
        <v/>
      </c>
      <c r="G317" s="77" t="str">
        <f t="shared" si="48"/>
        <v/>
      </c>
      <c r="H317" s="113"/>
      <c r="I317" s="113"/>
      <c r="J317" s="113"/>
      <c r="K317" s="126"/>
      <c r="L317" s="125"/>
      <c r="M317" s="125"/>
      <c r="N317" s="126"/>
      <c r="O317" s="303"/>
      <c r="P317" s="81"/>
      <c r="R317" s="72" t="str">
        <f t="shared" si="50"/>
        <v/>
      </c>
      <c r="S317" s="72" t="str">
        <f t="shared" si="51"/>
        <v/>
      </c>
      <c r="T317" s="72" t="str">
        <f t="shared" si="52"/>
        <v/>
      </c>
      <c r="AD317" s="72" t="s">
        <v>779</v>
      </c>
      <c r="AE317" s="72" t="s">
        <v>780</v>
      </c>
      <c r="AF317" s="72" t="str">
        <f t="shared" si="53"/>
        <v>A679077</v>
      </c>
      <c r="AG317" s="72" t="str">
        <f>VLOOKUP(AF317,AKT!$C$4:$E$324,3,FALSE)</f>
        <v>0942</v>
      </c>
    </row>
    <row r="318" spans="1:33">
      <c r="A318" s="82"/>
      <c r="B318" s="77" t="str">
        <f t="shared" si="49"/>
        <v/>
      </c>
      <c r="C318" s="82"/>
      <c r="D318" s="77" t="str">
        <f t="shared" si="46"/>
        <v/>
      </c>
      <c r="E318" s="114"/>
      <c r="F318" s="77" t="str">
        <f t="shared" si="47"/>
        <v/>
      </c>
      <c r="G318" s="77" t="str">
        <f t="shared" si="48"/>
        <v/>
      </c>
      <c r="H318" s="113"/>
      <c r="I318" s="113"/>
      <c r="J318" s="113"/>
      <c r="K318" s="126"/>
      <c r="L318" s="125"/>
      <c r="M318" s="125"/>
      <c r="N318" s="126"/>
      <c r="O318" s="303"/>
      <c r="P318" s="81"/>
      <c r="R318" s="72" t="str">
        <f t="shared" si="50"/>
        <v/>
      </c>
      <c r="S318" s="72" t="str">
        <f t="shared" si="51"/>
        <v/>
      </c>
      <c r="T318" s="72" t="str">
        <f t="shared" si="52"/>
        <v/>
      </c>
      <c r="AD318" s="72" t="s">
        <v>781</v>
      </c>
      <c r="AE318" s="72" t="s">
        <v>782</v>
      </c>
      <c r="AF318" s="72" t="str">
        <f t="shared" si="53"/>
        <v>A679077</v>
      </c>
      <c r="AG318" s="72" t="str">
        <f>VLOOKUP(AF318,AKT!$C$4:$E$324,3,FALSE)</f>
        <v>0942</v>
      </c>
    </row>
    <row r="319" spans="1:33">
      <c r="A319" s="82"/>
      <c r="B319" s="77" t="str">
        <f t="shared" si="49"/>
        <v/>
      </c>
      <c r="C319" s="82"/>
      <c r="D319" s="77" t="str">
        <f t="shared" si="46"/>
        <v/>
      </c>
      <c r="E319" s="114"/>
      <c r="F319" s="77" t="str">
        <f t="shared" si="47"/>
        <v/>
      </c>
      <c r="G319" s="77" t="str">
        <f t="shared" si="48"/>
        <v/>
      </c>
      <c r="H319" s="113"/>
      <c r="I319" s="113"/>
      <c r="J319" s="113"/>
      <c r="K319" s="126"/>
      <c r="L319" s="125"/>
      <c r="M319" s="125"/>
      <c r="N319" s="126"/>
      <c r="O319" s="303"/>
      <c r="P319" s="81"/>
      <c r="R319" s="72" t="str">
        <f t="shared" si="50"/>
        <v/>
      </c>
      <c r="S319" s="72" t="str">
        <f t="shared" si="51"/>
        <v/>
      </c>
      <c r="T319" s="72" t="str">
        <f t="shared" si="52"/>
        <v/>
      </c>
      <c r="AD319" s="72" t="s">
        <v>783</v>
      </c>
      <c r="AE319" s="72" t="s">
        <v>784</v>
      </c>
      <c r="AF319" s="72" t="str">
        <f t="shared" si="53"/>
        <v>A679077</v>
      </c>
      <c r="AG319" s="72" t="str">
        <f>VLOOKUP(AF319,AKT!$C$4:$E$324,3,FALSE)</f>
        <v>0942</v>
      </c>
    </row>
    <row r="320" spans="1:33">
      <c r="A320" s="82"/>
      <c r="B320" s="77" t="str">
        <f t="shared" si="49"/>
        <v/>
      </c>
      <c r="C320" s="82"/>
      <c r="D320" s="77" t="str">
        <f t="shared" si="46"/>
        <v/>
      </c>
      <c r="E320" s="114"/>
      <c r="F320" s="77" t="str">
        <f t="shared" si="47"/>
        <v/>
      </c>
      <c r="G320" s="77" t="str">
        <f t="shared" si="48"/>
        <v/>
      </c>
      <c r="H320" s="113"/>
      <c r="I320" s="113"/>
      <c r="J320" s="113"/>
      <c r="K320" s="126"/>
      <c r="L320" s="125"/>
      <c r="M320" s="125"/>
      <c r="N320" s="126"/>
      <c r="O320" s="303"/>
      <c r="P320" s="81"/>
      <c r="R320" s="72" t="str">
        <f t="shared" si="50"/>
        <v/>
      </c>
      <c r="S320" s="72" t="str">
        <f t="shared" si="51"/>
        <v/>
      </c>
      <c r="T320" s="72" t="str">
        <f t="shared" si="52"/>
        <v/>
      </c>
      <c r="AD320" s="72" t="s">
        <v>785</v>
      </c>
      <c r="AE320" s="72" t="s">
        <v>786</v>
      </c>
      <c r="AF320" s="72" t="str">
        <f t="shared" si="53"/>
        <v>A679077</v>
      </c>
      <c r="AG320" s="72" t="str">
        <f>VLOOKUP(AF320,AKT!$C$4:$E$324,3,FALSE)</f>
        <v>0942</v>
      </c>
    </row>
    <row r="321" spans="1:33">
      <c r="A321" s="82"/>
      <c r="B321" s="77" t="str">
        <f t="shared" si="49"/>
        <v/>
      </c>
      <c r="C321" s="82"/>
      <c r="D321" s="77" t="str">
        <f t="shared" si="46"/>
        <v/>
      </c>
      <c r="E321" s="114"/>
      <c r="F321" s="77" t="str">
        <f t="shared" si="47"/>
        <v/>
      </c>
      <c r="G321" s="77" t="str">
        <f t="shared" si="48"/>
        <v/>
      </c>
      <c r="H321" s="113"/>
      <c r="I321" s="113"/>
      <c r="J321" s="113"/>
      <c r="K321" s="126"/>
      <c r="L321" s="125"/>
      <c r="M321" s="125"/>
      <c r="N321" s="126"/>
      <c r="O321" s="303"/>
      <c r="P321" s="81"/>
      <c r="R321" s="72" t="str">
        <f t="shared" si="50"/>
        <v/>
      </c>
      <c r="S321" s="72" t="str">
        <f t="shared" si="51"/>
        <v/>
      </c>
      <c r="T321" s="72" t="str">
        <f t="shared" si="52"/>
        <v/>
      </c>
      <c r="AD321" s="72" t="s">
        <v>787</v>
      </c>
      <c r="AE321" s="72" t="s">
        <v>788</v>
      </c>
      <c r="AF321" s="72" t="str">
        <f t="shared" si="53"/>
        <v>A679077</v>
      </c>
      <c r="AG321" s="72" t="str">
        <f>VLOOKUP(AF321,AKT!$C$4:$E$324,3,FALSE)</f>
        <v>0942</v>
      </c>
    </row>
    <row r="322" spans="1:33">
      <c r="A322" s="82"/>
      <c r="B322" s="77" t="str">
        <f t="shared" si="49"/>
        <v/>
      </c>
      <c r="C322" s="82"/>
      <c r="D322" s="77" t="str">
        <f t="shared" si="46"/>
        <v/>
      </c>
      <c r="E322" s="114"/>
      <c r="F322" s="77" t="str">
        <f t="shared" si="47"/>
        <v/>
      </c>
      <c r="G322" s="77" t="str">
        <f t="shared" si="48"/>
        <v/>
      </c>
      <c r="H322" s="113"/>
      <c r="I322" s="113"/>
      <c r="J322" s="113"/>
      <c r="K322" s="126"/>
      <c r="L322" s="125"/>
      <c r="M322" s="125"/>
      <c r="N322" s="126"/>
      <c r="O322" s="303"/>
      <c r="P322" s="81"/>
      <c r="R322" s="72" t="str">
        <f t="shared" si="50"/>
        <v/>
      </c>
      <c r="S322" s="72" t="str">
        <f t="shared" si="51"/>
        <v/>
      </c>
      <c r="T322" s="72" t="str">
        <f t="shared" si="52"/>
        <v/>
      </c>
      <c r="AD322" s="72" t="s">
        <v>789</v>
      </c>
      <c r="AE322" s="72" t="s">
        <v>790</v>
      </c>
      <c r="AF322" s="72" t="str">
        <f t="shared" si="53"/>
        <v>A679077</v>
      </c>
      <c r="AG322" s="72" t="str">
        <f>VLOOKUP(AF322,AKT!$C$4:$E$324,3,FALSE)</f>
        <v>0942</v>
      </c>
    </row>
    <row r="323" spans="1:33">
      <c r="A323" s="82"/>
      <c r="B323" s="77" t="str">
        <f t="shared" si="49"/>
        <v/>
      </c>
      <c r="C323" s="82"/>
      <c r="D323" s="77" t="str">
        <f t="shared" ref="D323:D386" si="54">IFERROR(VLOOKUP(C323,$X$5:$Z$140,2,FALSE),"")</f>
        <v/>
      </c>
      <c r="E323" s="114"/>
      <c r="F323" s="77" t="str">
        <f t="shared" ref="F323:F386" si="55">IFERROR(VLOOKUP(E323,$AD$6:$AE$1101,2,FALSE),"")</f>
        <v/>
      </c>
      <c r="G323" s="77" t="str">
        <f t="shared" si="48"/>
        <v/>
      </c>
      <c r="H323" s="113"/>
      <c r="I323" s="113"/>
      <c r="J323" s="113"/>
      <c r="K323" s="126"/>
      <c r="L323" s="125"/>
      <c r="M323" s="125"/>
      <c r="N323" s="126"/>
      <c r="O323" s="303"/>
      <c r="P323" s="81"/>
      <c r="R323" s="72" t="str">
        <f t="shared" si="50"/>
        <v/>
      </c>
      <c r="S323" s="72" t="str">
        <f t="shared" si="51"/>
        <v/>
      </c>
      <c r="T323" s="72" t="str">
        <f t="shared" si="52"/>
        <v/>
      </c>
      <c r="AD323" s="72" t="s">
        <v>791</v>
      </c>
      <c r="AE323" s="72" t="s">
        <v>792</v>
      </c>
      <c r="AF323" s="72" t="str">
        <f t="shared" si="53"/>
        <v>A679077</v>
      </c>
      <c r="AG323" s="72" t="str">
        <f>VLOOKUP(AF323,AKT!$C$4:$E$324,3,FALSE)</f>
        <v>0942</v>
      </c>
    </row>
    <row r="324" spans="1:33">
      <c r="A324" s="82"/>
      <c r="B324" s="77" t="str">
        <f t="shared" si="49"/>
        <v/>
      </c>
      <c r="C324" s="82"/>
      <c r="D324" s="77" t="str">
        <f t="shared" si="54"/>
        <v/>
      </c>
      <c r="E324" s="114"/>
      <c r="F324" s="77" t="str">
        <f t="shared" si="55"/>
        <v/>
      </c>
      <c r="G324" s="77" t="str">
        <f t="shared" ref="G324:G387" si="56">IFERROR(VLOOKUP(E324,$AD$6:$AG$1101,4,FALSE),"")</f>
        <v/>
      </c>
      <c r="H324" s="113"/>
      <c r="I324" s="113"/>
      <c r="J324" s="113"/>
      <c r="K324" s="126"/>
      <c r="L324" s="125"/>
      <c r="M324" s="125"/>
      <c r="N324" s="126"/>
      <c r="O324" s="303"/>
      <c r="P324" s="81"/>
      <c r="R324" s="72" t="str">
        <f t="shared" si="50"/>
        <v/>
      </c>
      <c r="S324" s="72" t="str">
        <f t="shared" si="51"/>
        <v/>
      </c>
      <c r="T324" s="72" t="str">
        <f t="shared" si="52"/>
        <v/>
      </c>
      <c r="AD324" s="72" t="s">
        <v>793</v>
      </c>
      <c r="AE324" s="72" t="s">
        <v>794</v>
      </c>
      <c r="AF324" s="72" t="str">
        <f t="shared" si="53"/>
        <v>A679077</v>
      </c>
      <c r="AG324" s="72" t="str">
        <f>VLOOKUP(AF324,AKT!$C$4:$E$324,3,FALSE)</f>
        <v>0942</v>
      </c>
    </row>
    <row r="325" spans="1:33">
      <c r="A325" s="82"/>
      <c r="B325" s="77" t="str">
        <f t="shared" si="49"/>
        <v/>
      </c>
      <c r="C325" s="82"/>
      <c r="D325" s="77" t="str">
        <f t="shared" si="54"/>
        <v/>
      </c>
      <c r="E325" s="114"/>
      <c r="F325" s="77" t="str">
        <f t="shared" si="55"/>
        <v/>
      </c>
      <c r="G325" s="77" t="str">
        <f t="shared" si="56"/>
        <v/>
      </c>
      <c r="H325" s="113"/>
      <c r="I325" s="113"/>
      <c r="J325" s="113"/>
      <c r="K325" s="126"/>
      <c r="L325" s="125"/>
      <c r="M325" s="125"/>
      <c r="N325" s="126"/>
      <c r="O325" s="303"/>
      <c r="P325" s="81"/>
      <c r="R325" s="72" t="str">
        <f t="shared" si="50"/>
        <v/>
      </c>
      <c r="S325" s="72" t="str">
        <f t="shared" si="51"/>
        <v/>
      </c>
      <c r="T325" s="72" t="str">
        <f t="shared" si="52"/>
        <v/>
      </c>
      <c r="AD325" s="72" t="s">
        <v>795</v>
      </c>
      <c r="AE325" s="72" t="s">
        <v>796</v>
      </c>
      <c r="AF325" s="72" t="str">
        <f t="shared" si="53"/>
        <v>A679077</v>
      </c>
      <c r="AG325" s="72" t="str">
        <f>VLOOKUP(AF325,AKT!$C$4:$E$324,3,FALSE)</f>
        <v>0942</v>
      </c>
    </row>
    <row r="326" spans="1:33">
      <c r="A326" s="82"/>
      <c r="B326" s="77" t="str">
        <f t="shared" si="49"/>
        <v/>
      </c>
      <c r="C326" s="82"/>
      <c r="D326" s="77" t="str">
        <f t="shared" si="54"/>
        <v/>
      </c>
      <c r="E326" s="114"/>
      <c r="F326" s="77" t="str">
        <f t="shared" si="55"/>
        <v/>
      </c>
      <c r="G326" s="77" t="str">
        <f t="shared" si="56"/>
        <v/>
      </c>
      <c r="H326" s="113"/>
      <c r="I326" s="113"/>
      <c r="J326" s="113"/>
      <c r="K326" s="126"/>
      <c r="L326" s="125"/>
      <c r="M326" s="125"/>
      <c r="N326" s="126"/>
      <c r="O326" s="303"/>
      <c r="P326" s="81"/>
      <c r="R326" s="72" t="str">
        <f t="shared" si="50"/>
        <v/>
      </c>
      <c r="S326" s="72" t="str">
        <f t="shared" si="51"/>
        <v/>
      </c>
      <c r="T326" s="72" t="str">
        <f t="shared" si="52"/>
        <v/>
      </c>
      <c r="AD326" s="72" t="s">
        <v>797</v>
      </c>
      <c r="AE326" s="72" t="s">
        <v>798</v>
      </c>
      <c r="AF326" s="72" t="str">
        <f t="shared" si="53"/>
        <v>A679077</v>
      </c>
      <c r="AG326" s="72" t="str">
        <f>VLOOKUP(AF326,AKT!$C$4:$E$324,3,FALSE)</f>
        <v>0942</v>
      </c>
    </row>
    <row r="327" spans="1:33">
      <c r="A327" s="82"/>
      <c r="B327" s="77" t="str">
        <f t="shared" si="49"/>
        <v/>
      </c>
      <c r="C327" s="82"/>
      <c r="D327" s="77" t="str">
        <f t="shared" si="54"/>
        <v/>
      </c>
      <c r="E327" s="114"/>
      <c r="F327" s="77" t="str">
        <f t="shared" si="55"/>
        <v/>
      </c>
      <c r="G327" s="77" t="str">
        <f t="shared" si="56"/>
        <v/>
      </c>
      <c r="H327" s="113"/>
      <c r="I327" s="113"/>
      <c r="J327" s="113"/>
      <c r="K327" s="126"/>
      <c r="L327" s="125"/>
      <c r="M327" s="125"/>
      <c r="N327" s="126"/>
      <c r="O327" s="303"/>
      <c r="P327" s="81"/>
      <c r="R327" s="72" t="str">
        <f t="shared" si="50"/>
        <v/>
      </c>
      <c r="S327" s="72" t="str">
        <f t="shared" si="51"/>
        <v/>
      </c>
      <c r="T327" s="72" t="str">
        <f t="shared" si="52"/>
        <v/>
      </c>
      <c r="AD327" s="72" t="s">
        <v>799</v>
      </c>
      <c r="AE327" s="72" t="s">
        <v>798</v>
      </c>
      <c r="AF327" s="72" t="str">
        <f t="shared" si="53"/>
        <v>A679077</v>
      </c>
      <c r="AG327" s="72" t="str">
        <f>VLOOKUP(AF327,AKT!$C$4:$E$324,3,FALSE)</f>
        <v>0942</v>
      </c>
    </row>
    <row r="328" spans="1:33">
      <c r="A328" s="82"/>
      <c r="B328" s="77" t="str">
        <f t="shared" si="49"/>
        <v/>
      </c>
      <c r="C328" s="82"/>
      <c r="D328" s="77" t="str">
        <f t="shared" si="54"/>
        <v/>
      </c>
      <c r="E328" s="114"/>
      <c r="F328" s="77" t="str">
        <f t="shared" si="55"/>
        <v/>
      </c>
      <c r="G328" s="77" t="str">
        <f t="shared" si="56"/>
        <v/>
      </c>
      <c r="H328" s="113"/>
      <c r="I328" s="113"/>
      <c r="J328" s="113"/>
      <c r="K328" s="126"/>
      <c r="L328" s="125"/>
      <c r="M328" s="125"/>
      <c r="N328" s="126"/>
      <c r="O328" s="303"/>
      <c r="P328" s="81"/>
      <c r="R328" s="72" t="str">
        <f t="shared" si="50"/>
        <v/>
      </c>
      <c r="S328" s="72" t="str">
        <f t="shared" si="51"/>
        <v/>
      </c>
      <c r="T328" s="72" t="str">
        <f t="shared" si="52"/>
        <v/>
      </c>
      <c r="AD328" s="72" t="s">
        <v>800</v>
      </c>
      <c r="AE328" s="72" t="s">
        <v>801</v>
      </c>
      <c r="AF328" s="72" t="str">
        <f t="shared" si="53"/>
        <v>A679077</v>
      </c>
      <c r="AG328" s="72" t="str">
        <f>VLOOKUP(AF328,AKT!$C$4:$E$324,3,FALSE)</f>
        <v>0942</v>
      </c>
    </row>
    <row r="329" spans="1:33">
      <c r="A329" s="82"/>
      <c r="B329" s="77" t="str">
        <f t="shared" si="49"/>
        <v/>
      </c>
      <c r="C329" s="82"/>
      <c r="D329" s="77" t="str">
        <f t="shared" si="54"/>
        <v/>
      </c>
      <c r="E329" s="114"/>
      <c r="F329" s="77" t="str">
        <f t="shared" si="55"/>
        <v/>
      </c>
      <c r="G329" s="77" t="str">
        <f t="shared" si="56"/>
        <v/>
      </c>
      <c r="H329" s="113"/>
      <c r="I329" s="113"/>
      <c r="J329" s="113"/>
      <c r="K329" s="126"/>
      <c r="L329" s="125"/>
      <c r="M329" s="125"/>
      <c r="N329" s="126"/>
      <c r="O329" s="303"/>
      <c r="P329" s="81"/>
      <c r="R329" s="72" t="str">
        <f t="shared" si="50"/>
        <v/>
      </c>
      <c r="S329" s="72" t="str">
        <f t="shared" si="51"/>
        <v/>
      </c>
      <c r="T329" s="72" t="str">
        <f t="shared" si="52"/>
        <v/>
      </c>
      <c r="AD329" s="72" t="s">
        <v>802</v>
      </c>
      <c r="AE329" s="72" t="s">
        <v>801</v>
      </c>
      <c r="AF329" s="72" t="str">
        <f t="shared" si="53"/>
        <v>A679077</v>
      </c>
      <c r="AG329" s="72" t="str">
        <f>VLOOKUP(AF329,AKT!$C$4:$E$324,3,FALSE)</f>
        <v>0942</v>
      </c>
    </row>
    <row r="330" spans="1:33">
      <c r="A330" s="82"/>
      <c r="B330" s="77" t="str">
        <f t="shared" si="49"/>
        <v/>
      </c>
      <c r="C330" s="82"/>
      <c r="D330" s="77" t="str">
        <f t="shared" si="54"/>
        <v/>
      </c>
      <c r="E330" s="114"/>
      <c r="F330" s="77" t="str">
        <f t="shared" si="55"/>
        <v/>
      </c>
      <c r="G330" s="77" t="str">
        <f t="shared" si="56"/>
        <v/>
      </c>
      <c r="H330" s="113"/>
      <c r="I330" s="113"/>
      <c r="J330" s="113"/>
      <c r="K330" s="126"/>
      <c r="L330" s="125"/>
      <c r="M330" s="125"/>
      <c r="N330" s="126"/>
      <c r="O330" s="303"/>
      <c r="P330" s="81"/>
      <c r="R330" s="72" t="str">
        <f t="shared" si="50"/>
        <v/>
      </c>
      <c r="S330" s="72" t="str">
        <f t="shared" si="51"/>
        <v/>
      </c>
      <c r="T330" s="72" t="str">
        <f t="shared" si="52"/>
        <v/>
      </c>
      <c r="AD330" s="72" t="s">
        <v>1353</v>
      </c>
      <c r="AE330" s="72" t="s">
        <v>1354</v>
      </c>
      <c r="AF330" s="72" t="str">
        <f t="shared" si="53"/>
        <v>A679077</v>
      </c>
      <c r="AG330" s="72" t="str">
        <f>VLOOKUP(AF330,AKT!$C$4:$E$324,3,FALSE)</f>
        <v>0942</v>
      </c>
    </row>
    <row r="331" spans="1:33">
      <c r="A331" s="82"/>
      <c r="B331" s="77" t="str">
        <f t="shared" si="49"/>
        <v/>
      </c>
      <c r="C331" s="82"/>
      <c r="D331" s="77" t="str">
        <f t="shared" si="54"/>
        <v/>
      </c>
      <c r="E331" s="114"/>
      <c r="F331" s="77" t="str">
        <f t="shared" si="55"/>
        <v/>
      </c>
      <c r="G331" s="77" t="str">
        <f t="shared" si="56"/>
        <v/>
      </c>
      <c r="H331" s="113"/>
      <c r="I331" s="113"/>
      <c r="J331" s="113"/>
      <c r="K331" s="126"/>
      <c r="L331" s="125"/>
      <c r="M331" s="125"/>
      <c r="N331" s="126"/>
      <c r="O331" s="303"/>
      <c r="P331" s="81"/>
      <c r="R331" s="72" t="str">
        <f t="shared" si="50"/>
        <v/>
      </c>
      <c r="S331" s="72" t="str">
        <f t="shared" si="51"/>
        <v/>
      </c>
      <c r="T331" s="72" t="str">
        <f t="shared" si="52"/>
        <v/>
      </c>
      <c r="AD331" s="72" t="s">
        <v>1355</v>
      </c>
      <c r="AE331" s="72" t="s">
        <v>1356</v>
      </c>
      <c r="AF331" s="72" t="str">
        <f t="shared" si="53"/>
        <v>A679077</v>
      </c>
      <c r="AG331" s="72" t="str">
        <f>VLOOKUP(AF331,AKT!$C$4:$E$324,3,FALSE)</f>
        <v>0942</v>
      </c>
    </row>
    <row r="332" spans="1:33">
      <c r="A332" s="82"/>
      <c r="B332" s="77" t="str">
        <f t="shared" ref="B332:B395" si="57">IFERROR(VLOOKUP(A332,$U$6:$V$34,2,FALSE),"")</f>
        <v/>
      </c>
      <c r="C332" s="82"/>
      <c r="D332" s="77" t="str">
        <f t="shared" si="54"/>
        <v/>
      </c>
      <c r="E332" s="114"/>
      <c r="F332" s="77" t="str">
        <f t="shared" si="55"/>
        <v/>
      </c>
      <c r="G332" s="77" t="str">
        <f t="shared" si="56"/>
        <v/>
      </c>
      <c r="H332" s="113"/>
      <c r="I332" s="113"/>
      <c r="J332" s="113"/>
      <c r="K332" s="126"/>
      <c r="L332" s="125"/>
      <c r="M332" s="125"/>
      <c r="N332" s="126"/>
      <c r="O332" s="303"/>
      <c r="P332" s="81"/>
      <c r="R332" s="72" t="str">
        <f t="shared" si="50"/>
        <v/>
      </c>
      <c r="S332" s="72" t="str">
        <f t="shared" si="51"/>
        <v/>
      </c>
      <c r="T332" s="72" t="str">
        <f t="shared" si="52"/>
        <v/>
      </c>
      <c r="AD332" s="72" t="s">
        <v>1357</v>
      </c>
      <c r="AE332" s="72" t="s">
        <v>1358</v>
      </c>
      <c r="AF332" s="72" t="str">
        <f t="shared" si="53"/>
        <v>A679077</v>
      </c>
      <c r="AG332" s="72" t="str">
        <f>VLOOKUP(AF332,AKT!$C$4:$E$324,3,FALSE)</f>
        <v>0942</v>
      </c>
    </row>
    <row r="333" spans="1:33">
      <c r="A333" s="82"/>
      <c r="B333" s="77" t="str">
        <f t="shared" si="57"/>
        <v/>
      </c>
      <c r="C333" s="82"/>
      <c r="D333" s="77" t="str">
        <f t="shared" si="54"/>
        <v/>
      </c>
      <c r="E333" s="114"/>
      <c r="F333" s="77" t="str">
        <f t="shared" si="55"/>
        <v/>
      </c>
      <c r="G333" s="77" t="str">
        <f t="shared" si="56"/>
        <v/>
      </c>
      <c r="H333" s="113"/>
      <c r="I333" s="113"/>
      <c r="J333" s="113"/>
      <c r="K333" s="126"/>
      <c r="L333" s="125"/>
      <c r="M333" s="125"/>
      <c r="N333" s="126"/>
      <c r="O333" s="303"/>
      <c r="P333" s="81"/>
      <c r="R333" s="72" t="str">
        <f t="shared" si="50"/>
        <v/>
      </c>
      <c r="S333" s="72" t="str">
        <f t="shared" si="51"/>
        <v/>
      </c>
      <c r="T333" s="72" t="str">
        <f t="shared" si="52"/>
        <v/>
      </c>
      <c r="AD333" s="72" t="s">
        <v>1359</v>
      </c>
      <c r="AE333" s="72" t="s">
        <v>1360</v>
      </c>
      <c r="AF333" s="72" t="str">
        <f t="shared" si="53"/>
        <v>A679077</v>
      </c>
      <c r="AG333" s="72" t="str">
        <f>VLOOKUP(AF333,AKT!$C$4:$E$324,3,FALSE)</f>
        <v>0942</v>
      </c>
    </row>
    <row r="334" spans="1:33">
      <c r="A334" s="82"/>
      <c r="B334" s="77" t="str">
        <f t="shared" si="57"/>
        <v/>
      </c>
      <c r="C334" s="82"/>
      <c r="D334" s="77" t="str">
        <f t="shared" si="54"/>
        <v/>
      </c>
      <c r="E334" s="114"/>
      <c r="F334" s="77" t="str">
        <f t="shared" si="55"/>
        <v/>
      </c>
      <c r="G334" s="77" t="str">
        <f t="shared" si="56"/>
        <v/>
      </c>
      <c r="H334" s="113"/>
      <c r="I334" s="113"/>
      <c r="J334" s="113"/>
      <c r="K334" s="126"/>
      <c r="L334" s="125"/>
      <c r="M334" s="125"/>
      <c r="N334" s="126"/>
      <c r="O334" s="303"/>
      <c r="P334" s="81"/>
      <c r="R334" s="72" t="str">
        <f t="shared" si="50"/>
        <v/>
      </c>
      <c r="S334" s="72" t="str">
        <f t="shared" si="51"/>
        <v/>
      </c>
      <c r="T334" s="72" t="str">
        <f t="shared" si="52"/>
        <v/>
      </c>
      <c r="AD334" s="72" t="s">
        <v>1361</v>
      </c>
      <c r="AE334" s="72" t="s">
        <v>1362</v>
      </c>
      <c r="AF334" s="72" t="str">
        <f t="shared" si="53"/>
        <v>A679077</v>
      </c>
      <c r="AG334" s="72" t="str">
        <f>VLOOKUP(AF334,AKT!$C$4:$E$324,3,FALSE)</f>
        <v>0942</v>
      </c>
    </row>
    <row r="335" spans="1:33">
      <c r="A335" s="82"/>
      <c r="B335" s="77" t="str">
        <f t="shared" si="57"/>
        <v/>
      </c>
      <c r="C335" s="82"/>
      <c r="D335" s="77" t="str">
        <f t="shared" si="54"/>
        <v/>
      </c>
      <c r="E335" s="114"/>
      <c r="F335" s="77" t="str">
        <f t="shared" si="55"/>
        <v/>
      </c>
      <c r="G335" s="77" t="str">
        <f t="shared" si="56"/>
        <v/>
      </c>
      <c r="H335" s="113"/>
      <c r="I335" s="113"/>
      <c r="J335" s="113"/>
      <c r="K335" s="126"/>
      <c r="L335" s="125"/>
      <c r="M335" s="125"/>
      <c r="N335" s="126"/>
      <c r="O335" s="303"/>
      <c r="P335" s="81"/>
      <c r="R335" s="72" t="str">
        <f t="shared" ref="R335:R398" si="58">LEFT(C335,3)</f>
        <v/>
      </c>
      <c r="S335" s="72" t="str">
        <f t="shared" ref="S335:S398" si="59">LEFT(C335,2)</f>
        <v/>
      </c>
      <c r="T335" s="72" t="str">
        <f t="shared" ref="T335:T398" si="60">MID(G335,2,2)</f>
        <v/>
      </c>
      <c r="AD335" s="72" t="s">
        <v>1363</v>
      </c>
      <c r="AE335" s="72" t="s">
        <v>1364</v>
      </c>
      <c r="AF335" s="72" t="str">
        <f t="shared" si="53"/>
        <v>A679077</v>
      </c>
      <c r="AG335" s="72" t="str">
        <f>VLOOKUP(AF335,AKT!$C$4:$E$324,3,FALSE)</f>
        <v>0942</v>
      </c>
    </row>
    <row r="336" spans="1:33">
      <c r="A336" s="82"/>
      <c r="B336" s="77" t="str">
        <f t="shared" si="57"/>
        <v/>
      </c>
      <c r="C336" s="82"/>
      <c r="D336" s="77" t="str">
        <f t="shared" si="54"/>
        <v/>
      </c>
      <c r="E336" s="114"/>
      <c r="F336" s="77" t="str">
        <f t="shared" si="55"/>
        <v/>
      </c>
      <c r="G336" s="77" t="str">
        <f t="shared" si="56"/>
        <v/>
      </c>
      <c r="H336" s="113"/>
      <c r="I336" s="113"/>
      <c r="J336" s="113"/>
      <c r="K336" s="126"/>
      <c r="L336" s="125"/>
      <c r="M336" s="125"/>
      <c r="N336" s="126"/>
      <c r="O336" s="303"/>
      <c r="P336" s="81"/>
      <c r="R336" s="72" t="str">
        <f t="shared" si="58"/>
        <v/>
      </c>
      <c r="S336" s="72" t="str">
        <f t="shared" si="59"/>
        <v/>
      </c>
      <c r="T336" s="72" t="str">
        <f t="shared" si="60"/>
        <v/>
      </c>
      <c r="AD336" s="72" t="s">
        <v>1365</v>
      </c>
      <c r="AE336" s="72" t="s">
        <v>1366</v>
      </c>
      <c r="AF336" s="72" t="str">
        <f t="shared" si="53"/>
        <v>A679077</v>
      </c>
      <c r="AG336" s="72" t="str">
        <f>VLOOKUP(AF336,AKT!$C$4:$E$324,3,FALSE)</f>
        <v>0942</v>
      </c>
    </row>
    <row r="337" spans="1:33">
      <c r="A337" s="82"/>
      <c r="B337" s="77" t="str">
        <f t="shared" si="57"/>
        <v/>
      </c>
      <c r="C337" s="82"/>
      <c r="D337" s="77" t="str">
        <f t="shared" si="54"/>
        <v/>
      </c>
      <c r="E337" s="114"/>
      <c r="F337" s="77" t="str">
        <f t="shared" si="55"/>
        <v/>
      </c>
      <c r="G337" s="77" t="str">
        <f t="shared" si="56"/>
        <v/>
      </c>
      <c r="H337" s="113"/>
      <c r="I337" s="113"/>
      <c r="J337" s="113"/>
      <c r="K337" s="126"/>
      <c r="L337" s="125"/>
      <c r="M337" s="125"/>
      <c r="N337" s="126"/>
      <c r="O337" s="303"/>
      <c r="P337" s="81"/>
      <c r="R337" s="72" t="str">
        <f t="shared" si="58"/>
        <v/>
      </c>
      <c r="S337" s="72" t="str">
        <f t="shared" si="59"/>
        <v/>
      </c>
      <c r="T337" s="72" t="str">
        <f t="shared" si="60"/>
        <v/>
      </c>
      <c r="AD337" s="72" t="s">
        <v>1367</v>
      </c>
      <c r="AE337" s="72" t="s">
        <v>1368</v>
      </c>
      <c r="AF337" s="72" t="str">
        <f t="shared" si="53"/>
        <v>A679077</v>
      </c>
      <c r="AG337" s="72" t="str">
        <f>VLOOKUP(AF337,AKT!$C$4:$E$324,3,FALSE)</f>
        <v>0942</v>
      </c>
    </row>
    <row r="338" spans="1:33">
      <c r="A338" s="82"/>
      <c r="B338" s="77" t="str">
        <f t="shared" si="57"/>
        <v/>
      </c>
      <c r="C338" s="82"/>
      <c r="D338" s="77" t="str">
        <f t="shared" si="54"/>
        <v/>
      </c>
      <c r="E338" s="114"/>
      <c r="F338" s="77" t="str">
        <f t="shared" si="55"/>
        <v/>
      </c>
      <c r="G338" s="77" t="str">
        <f t="shared" si="56"/>
        <v/>
      </c>
      <c r="H338" s="113"/>
      <c r="I338" s="113"/>
      <c r="J338" s="113"/>
      <c r="K338" s="126"/>
      <c r="L338" s="125"/>
      <c r="M338" s="125"/>
      <c r="N338" s="126"/>
      <c r="O338" s="303"/>
      <c r="P338" s="81"/>
      <c r="R338" s="72" t="str">
        <f t="shared" si="58"/>
        <v/>
      </c>
      <c r="S338" s="72" t="str">
        <f t="shared" si="59"/>
        <v/>
      </c>
      <c r="T338" s="72" t="str">
        <f t="shared" si="60"/>
        <v/>
      </c>
      <c r="AD338" s="72" t="s">
        <v>1369</v>
      </c>
      <c r="AE338" s="72" t="s">
        <v>1370</v>
      </c>
      <c r="AF338" s="72" t="str">
        <f t="shared" si="53"/>
        <v>A679077</v>
      </c>
      <c r="AG338" s="72" t="str">
        <f>VLOOKUP(AF338,AKT!$C$4:$E$324,3,FALSE)</f>
        <v>0942</v>
      </c>
    </row>
    <row r="339" spans="1:33">
      <c r="A339" s="82"/>
      <c r="B339" s="77" t="str">
        <f t="shared" si="57"/>
        <v/>
      </c>
      <c r="C339" s="82"/>
      <c r="D339" s="77" t="str">
        <f t="shared" si="54"/>
        <v/>
      </c>
      <c r="E339" s="114"/>
      <c r="F339" s="77" t="str">
        <f t="shared" si="55"/>
        <v/>
      </c>
      <c r="G339" s="77" t="str">
        <f t="shared" si="56"/>
        <v/>
      </c>
      <c r="H339" s="113"/>
      <c r="I339" s="113"/>
      <c r="J339" s="113"/>
      <c r="K339" s="126"/>
      <c r="L339" s="125"/>
      <c r="M339" s="125"/>
      <c r="N339" s="126"/>
      <c r="O339" s="303"/>
      <c r="P339" s="81"/>
      <c r="R339" s="72" t="str">
        <f t="shared" si="58"/>
        <v/>
      </c>
      <c r="S339" s="72" t="str">
        <f t="shared" si="59"/>
        <v/>
      </c>
      <c r="T339" s="72" t="str">
        <f t="shared" si="60"/>
        <v/>
      </c>
      <c r="AD339" s="72" t="s">
        <v>1371</v>
      </c>
      <c r="AE339" s="72" t="s">
        <v>1372</v>
      </c>
      <c r="AF339" s="72" t="str">
        <f t="shared" ref="AF339:AF402" si="61">LEFT(AD339,7)</f>
        <v>A679077</v>
      </c>
      <c r="AG339" s="72" t="str">
        <f>VLOOKUP(AF339,AKT!$C$4:$E$324,3,FALSE)</f>
        <v>0942</v>
      </c>
    </row>
    <row r="340" spans="1:33">
      <c r="A340" s="82"/>
      <c r="B340" s="77" t="str">
        <f t="shared" si="57"/>
        <v/>
      </c>
      <c r="C340" s="82"/>
      <c r="D340" s="77" t="str">
        <f t="shared" si="54"/>
        <v/>
      </c>
      <c r="E340" s="114"/>
      <c r="F340" s="77" t="str">
        <f t="shared" si="55"/>
        <v/>
      </c>
      <c r="G340" s="77" t="str">
        <f t="shared" si="56"/>
        <v/>
      </c>
      <c r="H340" s="113"/>
      <c r="I340" s="113"/>
      <c r="J340" s="113"/>
      <c r="K340" s="126"/>
      <c r="L340" s="125"/>
      <c r="M340" s="125"/>
      <c r="N340" s="126"/>
      <c r="O340" s="303"/>
      <c r="P340" s="81"/>
      <c r="R340" s="72" t="str">
        <f t="shared" si="58"/>
        <v/>
      </c>
      <c r="S340" s="72" t="str">
        <f t="shared" si="59"/>
        <v/>
      </c>
      <c r="T340" s="72" t="str">
        <f t="shared" si="60"/>
        <v/>
      </c>
      <c r="AD340" s="72" t="s">
        <v>1373</v>
      </c>
      <c r="AE340" s="72" t="s">
        <v>1374</v>
      </c>
      <c r="AF340" s="72" t="str">
        <f t="shared" si="61"/>
        <v>A679077</v>
      </c>
      <c r="AG340" s="72" t="str">
        <f>VLOOKUP(AF340,AKT!$C$4:$E$324,3,FALSE)</f>
        <v>0942</v>
      </c>
    </row>
    <row r="341" spans="1:33">
      <c r="A341" s="82"/>
      <c r="B341" s="77" t="str">
        <f t="shared" si="57"/>
        <v/>
      </c>
      <c r="C341" s="82"/>
      <c r="D341" s="77" t="str">
        <f t="shared" si="54"/>
        <v/>
      </c>
      <c r="E341" s="114"/>
      <c r="F341" s="77" t="str">
        <f t="shared" si="55"/>
        <v/>
      </c>
      <c r="G341" s="77" t="str">
        <f t="shared" si="56"/>
        <v/>
      </c>
      <c r="H341" s="113"/>
      <c r="I341" s="113"/>
      <c r="J341" s="113"/>
      <c r="K341" s="126"/>
      <c r="L341" s="125"/>
      <c r="M341" s="125"/>
      <c r="N341" s="126"/>
      <c r="O341" s="303"/>
      <c r="P341" s="81"/>
      <c r="R341" s="72" t="str">
        <f t="shared" si="58"/>
        <v/>
      </c>
      <c r="S341" s="72" t="str">
        <f t="shared" si="59"/>
        <v/>
      </c>
      <c r="T341" s="72" t="str">
        <f t="shared" si="60"/>
        <v/>
      </c>
      <c r="AD341" s="72" t="s">
        <v>1375</v>
      </c>
      <c r="AE341" s="72" t="s">
        <v>1376</v>
      </c>
      <c r="AF341" s="72" t="str">
        <f t="shared" si="61"/>
        <v>A679077</v>
      </c>
      <c r="AG341" s="72" t="str">
        <f>VLOOKUP(AF341,AKT!$C$4:$E$324,3,FALSE)</f>
        <v>0942</v>
      </c>
    </row>
    <row r="342" spans="1:33">
      <c r="A342" s="82"/>
      <c r="B342" s="77" t="str">
        <f t="shared" si="57"/>
        <v/>
      </c>
      <c r="C342" s="82"/>
      <c r="D342" s="77" t="str">
        <f t="shared" si="54"/>
        <v/>
      </c>
      <c r="E342" s="114"/>
      <c r="F342" s="77" t="str">
        <f t="shared" si="55"/>
        <v/>
      </c>
      <c r="G342" s="77" t="str">
        <f t="shared" si="56"/>
        <v/>
      </c>
      <c r="H342" s="113"/>
      <c r="I342" s="113"/>
      <c r="J342" s="113"/>
      <c r="K342" s="126"/>
      <c r="L342" s="125"/>
      <c r="M342" s="125"/>
      <c r="N342" s="126"/>
      <c r="O342" s="303"/>
      <c r="P342" s="81"/>
      <c r="R342" s="72" t="str">
        <f t="shared" si="58"/>
        <v/>
      </c>
      <c r="S342" s="72" t="str">
        <f t="shared" si="59"/>
        <v/>
      </c>
      <c r="T342" s="72" t="str">
        <f t="shared" si="60"/>
        <v/>
      </c>
      <c r="AD342" s="72" t="s">
        <v>1377</v>
      </c>
      <c r="AE342" s="72" t="s">
        <v>1378</v>
      </c>
      <c r="AF342" s="72" t="str">
        <f t="shared" si="61"/>
        <v>A679077</v>
      </c>
      <c r="AG342" s="72" t="str">
        <f>VLOOKUP(AF342,AKT!$C$4:$E$324,3,FALSE)</f>
        <v>0942</v>
      </c>
    </row>
    <row r="343" spans="1:33">
      <c r="A343" s="82"/>
      <c r="B343" s="77" t="str">
        <f t="shared" si="57"/>
        <v/>
      </c>
      <c r="C343" s="82"/>
      <c r="D343" s="77" t="str">
        <f t="shared" si="54"/>
        <v/>
      </c>
      <c r="E343" s="114"/>
      <c r="F343" s="77" t="str">
        <f t="shared" si="55"/>
        <v/>
      </c>
      <c r="G343" s="77" t="str">
        <f t="shared" si="56"/>
        <v/>
      </c>
      <c r="H343" s="113"/>
      <c r="I343" s="113"/>
      <c r="J343" s="113"/>
      <c r="K343" s="126"/>
      <c r="L343" s="125"/>
      <c r="M343" s="125"/>
      <c r="N343" s="126"/>
      <c r="O343" s="303"/>
      <c r="P343" s="81"/>
      <c r="R343" s="72" t="str">
        <f t="shared" si="58"/>
        <v/>
      </c>
      <c r="S343" s="72" t="str">
        <f t="shared" si="59"/>
        <v/>
      </c>
      <c r="T343" s="72" t="str">
        <f t="shared" si="60"/>
        <v/>
      </c>
      <c r="AD343" s="72" t="s">
        <v>1379</v>
      </c>
      <c r="AE343" s="72" t="s">
        <v>1380</v>
      </c>
      <c r="AF343" s="72" t="str">
        <f t="shared" si="61"/>
        <v>A679077</v>
      </c>
      <c r="AG343" s="72" t="str">
        <f>VLOOKUP(AF343,AKT!$C$4:$E$324,3,FALSE)</f>
        <v>0942</v>
      </c>
    </row>
    <row r="344" spans="1:33">
      <c r="A344" s="82"/>
      <c r="B344" s="77" t="str">
        <f t="shared" si="57"/>
        <v/>
      </c>
      <c r="C344" s="82"/>
      <c r="D344" s="77" t="str">
        <f t="shared" si="54"/>
        <v/>
      </c>
      <c r="E344" s="114"/>
      <c r="F344" s="77" t="str">
        <f t="shared" si="55"/>
        <v/>
      </c>
      <c r="G344" s="77" t="str">
        <f t="shared" si="56"/>
        <v/>
      </c>
      <c r="H344" s="113"/>
      <c r="I344" s="113"/>
      <c r="J344" s="113"/>
      <c r="K344" s="126"/>
      <c r="L344" s="125"/>
      <c r="M344" s="125"/>
      <c r="N344" s="126"/>
      <c r="O344" s="303"/>
      <c r="P344" s="81"/>
      <c r="R344" s="72" t="str">
        <f t="shared" si="58"/>
        <v/>
      </c>
      <c r="S344" s="72" t="str">
        <f t="shared" si="59"/>
        <v/>
      </c>
      <c r="T344" s="72" t="str">
        <f t="shared" si="60"/>
        <v/>
      </c>
      <c r="AD344" s="72" t="s">
        <v>1381</v>
      </c>
      <c r="AE344" s="72" t="s">
        <v>1382</v>
      </c>
      <c r="AF344" s="72" t="str">
        <f t="shared" si="61"/>
        <v>A679077</v>
      </c>
      <c r="AG344" s="72" t="str">
        <f>VLOOKUP(AF344,AKT!$C$4:$E$324,3,FALSE)</f>
        <v>0942</v>
      </c>
    </row>
    <row r="345" spans="1:33">
      <c r="A345" s="82"/>
      <c r="B345" s="77" t="str">
        <f t="shared" si="57"/>
        <v/>
      </c>
      <c r="C345" s="82"/>
      <c r="D345" s="77" t="str">
        <f t="shared" si="54"/>
        <v/>
      </c>
      <c r="E345" s="114"/>
      <c r="F345" s="77" t="str">
        <f t="shared" si="55"/>
        <v/>
      </c>
      <c r="G345" s="77" t="str">
        <f t="shared" si="56"/>
        <v/>
      </c>
      <c r="H345" s="113"/>
      <c r="I345" s="113"/>
      <c r="J345" s="113"/>
      <c r="K345" s="126"/>
      <c r="L345" s="125"/>
      <c r="M345" s="125"/>
      <c r="N345" s="126"/>
      <c r="O345" s="303"/>
      <c r="P345" s="81"/>
      <c r="R345" s="72" t="str">
        <f t="shared" si="58"/>
        <v/>
      </c>
      <c r="S345" s="72" t="str">
        <f t="shared" si="59"/>
        <v/>
      </c>
      <c r="T345" s="72" t="str">
        <f t="shared" si="60"/>
        <v/>
      </c>
      <c r="AD345" s="72" t="s">
        <v>1383</v>
      </c>
      <c r="AE345" s="72" t="s">
        <v>1384</v>
      </c>
      <c r="AF345" s="72" t="str">
        <f t="shared" si="61"/>
        <v>A679077</v>
      </c>
      <c r="AG345" s="72" t="str">
        <f>VLOOKUP(AF345,AKT!$C$4:$E$324,3,FALSE)</f>
        <v>0942</v>
      </c>
    </row>
    <row r="346" spans="1:33">
      <c r="A346" s="82"/>
      <c r="B346" s="77" t="str">
        <f t="shared" si="57"/>
        <v/>
      </c>
      <c r="C346" s="82"/>
      <c r="D346" s="77" t="str">
        <f t="shared" si="54"/>
        <v/>
      </c>
      <c r="E346" s="114"/>
      <c r="F346" s="77" t="str">
        <f t="shared" si="55"/>
        <v/>
      </c>
      <c r="G346" s="77" t="str">
        <f t="shared" si="56"/>
        <v/>
      </c>
      <c r="H346" s="113"/>
      <c r="I346" s="113"/>
      <c r="J346" s="113"/>
      <c r="K346" s="126"/>
      <c r="L346" s="125"/>
      <c r="M346" s="125"/>
      <c r="N346" s="126"/>
      <c r="O346" s="303"/>
      <c r="P346" s="81"/>
      <c r="R346" s="72" t="str">
        <f t="shared" si="58"/>
        <v/>
      </c>
      <c r="S346" s="72" t="str">
        <f t="shared" si="59"/>
        <v/>
      </c>
      <c r="T346" s="72" t="str">
        <f t="shared" si="60"/>
        <v/>
      </c>
      <c r="AD346" s="72" t="s">
        <v>1385</v>
      </c>
      <c r="AE346" s="72" t="s">
        <v>1386</v>
      </c>
      <c r="AF346" s="72" t="str">
        <f t="shared" si="61"/>
        <v>A679077</v>
      </c>
      <c r="AG346" s="72" t="str">
        <f>VLOOKUP(AF346,AKT!$C$4:$E$324,3,FALSE)</f>
        <v>0942</v>
      </c>
    </row>
    <row r="347" spans="1:33">
      <c r="A347" s="82"/>
      <c r="B347" s="77" t="str">
        <f t="shared" si="57"/>
        <v/>
      </c>
      <c r="C347" s="82"/>
      <c r="D347" s="77" t="str">
        <f t="shared" si="54"/>
        <v/>
      </c>
      <c r="E347" s="114"/>
      <c r="F347" s="77" t="str">
        <f t="shared" si="55"/>
        <v/>
      </c>
      <c r="G347" s="77" t="str">
        <f t="shared" si="56"/>
        <v/>
      </c>
      <c r="H347" s="113"/>
      <c r="I347" s="113"/>
      <c r="J347" s="113"/>
      <c r="K347" s="126"/>
      <c r="L347" s="125"/>
      <c r="M347" s="125"/>
      <c r="N347" s="126"/>
      <c r="O347" s="303"/>
      <c r="P347" s="81"/>
      <c r="R347" s="72" t="str">
        <f t="shared" si="58"/>
        <v/>
      </c>
      <c r="S347" s="72" t="str">
        <f t="shared" si="59"/>
        <v/>
      </c>
      <c r="T347" s="72" t="str">
        <f t="shared" si="60"/>
        <v/>
      </c>
      <c r="AD347" s="72" t="s">
        <v>1387</v>
      </c>
      <c r="AE347" s="72" t="s">
        <v>1388</v>
      </c>
      <c r="AF347" s="72" t="str">
        <f t="shared" si="61"/>
        <v>A679077</v>
      </c>
      <c r="AG347" s="72" t="str">
        <f>VLOOKUP(AF347,AKT!$C$4:$E$324,3,FALSE)</f>
        <v>0942</v>
      </c>
    </row>
    <row r="348" spans="1:33">
      <c r="A348" s="82"/>
      <c r="B348" s="77" t="str">
        <f t="shared" si="57"/>
        <v/>
      </c>
      <c r="C348" s="82"/>
      <c r="D348" s="77" t="str">
        <f t="shared" si="54"/>
        <v/>
      </c>
      <c r="E348" s="114"/>
      <c r="F348" s="77" t="str">
        <f t="shared" si="55"/>
        <v/>
      </c>
      <c r="G348" s="77" t="str">
        <f t="shared" si="56"/>
        <v/>
      </c>
      <c r="H348" s="113"/>
      <c r="I348" s="113"/>
      <c r="J348" s="113"/>
      <c r="K348" s="126"/>
      <c r="L348" s="125"/>
      <c r="M348" s="125"/>
      <c r="N348" s="126"/>
      <c r="O348" s="303"/>
      <c r="P348" s="81"/>
      <c r="R348" s="72" t="str">
        <f t="shared" si="58"/>
        <v/>
      </c>
      <c r="S348" s="72" t="str">
        <f t="shared" si="59"/>
        <v/>
      </c>
      <c r="T348" s="72" t="str">
        <f t="shared" si="60"/>
        <v/>
      </c>
      <c r="AD348" s="72" t="s">
        <v>1389</v>
      </c>
      <c r="AE348" s="72" t="s">
        <v>1390</v>
      </c>
      <c r="AF348" s="72" t="str">
        <f t="shared" si="61"/>
        <v>A679077</v>
      </c>
      <c r="AG348" s="72" t="str">
        <f>VLOOKUP(AF348,AKT!$C$4:$E$324,3,FALSE)</f>
        <v>0942</v>
      </c>
    </row>
    <row r="349" spans="1:33">
      <c r="A349" s="82"/>
      <c r="B349" s="77" t="str">
        <f t="shared" si="57"/>
        <v/>
      </c>
      <c r="C349" s="82"/>
      <c r="D349" s="77" t="str">
        <f t="shared" si="54"/>
        <v/>
      </c>
      <c r="E349" s="114"/>
      <c r="F349" s="77" t="str">
        <f t="shared" si="55"/>
        <v/>
      </c>
      <c r="G349" s="77" t="str">
        <f t="shared" si="56"/>
        <v/>
      </c>
      <c r="H349" s="113"/>
      <c r="I349" s="113"/>
      <c r="J349" s="113"/>
      <c r="K349" s="126"/>
      <c r="L349" s="125"/>
      <c r="M349" s="125"/>
      <c r="N349" s="126"/>
      <c r="O349" s="303"/>
      <c r="P349" s="81"/>
      <c r="R349" s="72" t="str">
        <f t="shared" si="58"/>
        <v/>
      </c>
      <c r="S349" s="72" t="str">
        <f t="shared" si="59"/>
        <v/>
      </c>
      <c r="T349" s="72" t="str">
        <f t="shared" si="60"/>
        <v/>
      </c>
      <c r="AD349" s="72" t="s">
        <v>1391</v>
      </c>
      <c r="AE349" s="72" t="s">
        <v>1392</v>
      </c>
      <c r="AF349" s="72" t="str">
        <f t="shared" si="61"/>
        <v>A679077</v>
      </c>
      <c r="AG349" s="72" t="str">
        <f>VLOOKUP(AF349,AKT!$C$4:$E$324,3,FALSE)</f>
        <v>0942</v>
      </c>
    </row>
    <row r="350" spans="1:33">
      <c r="A350" s="82"/>
      <c r="B350" s="77" t="str">
        <f t="shared" si="57"/>
        <v/>
      </c>
      <c r="C350" s="82"/>
      <c r="D350" s="77" t="str">
        <f t="shared" si="54"/>
        <v/>
      </c>
      <c r="E350" s="114"/>
      <c r="F350" s="77" t="str">
        <f t="shared" si="55"/>
        <v/>
      </c>
      <c r="G350" s="77" t="str">
        <f t="shared" si="56"/>
        <v/>
      </c>
      <c r="H350" s="113"/>
      <c r="I350" s="113"/>
      <c r="J350" s="113"/>
      <c r="K350" s="126"/>
      <c r="L350" s="125"/>
      <c r="M350" s="125"/>
      <c r="N350" s="126"/>
      <c r="O350" s="303"/>
      <c r="P350" s="81"/>
      <c r="R350" s="72" t="str">
        <f t="shared" si="58"/>
        <v/>
      </c>
      <c r="S350" s="72" t="str">
        <f t="shared" si="59"/>
        <v/>
      </c>
      <c r="T350" s="72" t="str">
        <f t="shared" si="60"/>
        <v/>
      </c>
      <c r="AD350" s="72" t="s">
        <v>1393</v>
      </c>
      <c r="AE350" s="72" t="s">
        <v>1394</v>
      </c>
      <c r="AF350" s="72" t="str">
        <f t="shared" si="61"/>
        <v>A679077</v>
      </c>
      <c r="AG350" s="72" t="str">
        <f>VLOOKUP(AF350,AKT!$C$4:$E$324,3,FALSE)</f>
        <v>0942</v>
      </c>
    </row>
    <row r="351" spans="1:33">
      <c r="A351" s="82"/>
      <c r="B351" s="77" t="str">
        <f t="shared" si="57"/>
        <v/>
      </c>
      <c r="C351" s="82"/>
      <c r="D351" s="77" t="str">
        <f t="shared" si="54"/>
        <v/>
      </c>
      <c r="E351" s="114"/>
      <c r="F351" s="77" t="str">
        <f t="shared" si="55"/>
        <v/>
      </c>
      <c r="G351" s="77" t="str">
        <f t="shared" si="56"/>
        <v/>
      </c>
      <c r="H351" s="113"/>
      <c r="I351" s="113"/>
      <c r="J351" s="113"/>
      <c r="K351" s="126"/>
      <c r="L351" s="125"/>
      <c r="M351" s="125"/>
      <c r="N351" s="126"/>
      <c r="O351" s="303"/>
      <c r="P351" s="81"/>
      <c r="R351" s="72" t="str">
        <f t="shared" si="58"/>
        <v/>
      </c>
      <c r="S351" s="72" t="str">
        <f t="shared" si="59"/>
        <v/>
      </c>
      <c r="T351" s="72" t="str">
        <f t="shared" si="60"/>
        <v/>
      </c>
      <c r="AD351" s="72" t="s">
        <v>1395</v>
      </c>
      <c r="AE351" s="72" t="s">
        <v>1396</v>
      </c>
      <c r="AF351" s="72" t="str">
        <f t="shared" si="61"/>
        <v>A679077</v>
      </c>
      <c r="AG351" s="72" t="str">
        <f>VLOOKUP(AF351,AKT!$C$4:$E$324,3,FALSE)</f>
        <v>0942</v>
      </c>
    </row>
    <row r="352" spans="1:33">
      <c r="A352" s="82"/>
      <c r="B352" s="77" t="str">
        <f t="shared" si="57"/>
        <v/>
      </c>
      <c r="C352" s="82"/>
      <c r="D352" s="77" t="str">
        <f t="shared" si="54"/>
        <v/>
      </c>
      <c r="E352" s="114"/>
      <c r="F352" s="77" t="str">
        <f t="shared" si="55"/>
        <v/>
      </c>
      <c r="G352" s="77" t="str">
        <f t="shared" si="56"/>
        <v/>
      </c>
      <c r="H352" s="113"/>
      <c r="I352" s="113"/>
      <c r="J352" s="113"/>
      <c r="K352" s="126"/>
      <c r="L352" s="125"/>
      <c r="M352" s="125"/>
      <c r="N352" s="126"/>
      <c r="O352" s="303"/>
      <c r="P352" s="81"/>
      <c r="R352" s="72" t="str">
        <f t="shared" si="58"/>
        <v/>
      </c>
      <c r="S352" s="72" t="str">
        <f t="shared" si="59"/>
        <v/>
      </c>
      <c r="T352" s="72" t="str">
        <f t="shared" si="60"/>
        <v/>
      </c>
      <c r="AD352" s="72" t="s">
        <v>1397</v>
      </c>
      <c r="AE352" s="72" t="s">
        <v>1398</v>
      </c>
      <c r="AF352" s="72" t="str">
        <f t="shared" si="61"/>
        <v>A679077</v>
      </c>
      <c r="AG352" s="72" t="str">
        <f>VLOOKUP(AF352,AKT!$C$4:$E$324,3,FALSE)</f>
        <v>0942</v>
      </c>
    </row>
    <row r="353" spans="1:33">
      <c r="A353" s="82"/>
      <c r="B353" s="77" t="str">
        <f t="shared" si="57"/>
        <v/>
      </c>
      <c r="C353" s="82"/>
      <c r="D353" s="77" t="str">
        <f t="shared" si="54"/>
        <v/>
      </c>
      <c r="E353" s="114"/>
      <c r="F353" s="77" t="str">
        <f t="shared" si="55"/>
        <v/>
      </c>
      <c r="G353" s="77" t="str">
        <f t="shared" si="56"/>
        <v/>
      </c>
      <c r="H353" s="113"/>
      <c r="I353" s="113"/>
      <c r="J353" s="113"/>
      <c r="K353" s="126"/>
      <c r="L353" s="125"/>
      <c r="M353" s="125"/>
      <c r="N353" s="126"/>
      <c r="O353" s="303"/>
      <c r="P353" s="81"/>
      <c r="R353" s="72" t="str">
        <f t="shared" si="58"/>
        <v/>
      </c>
      <c r="S353" s="72" t="str">
        <f t="shared" si="59"/>
        <v/>
      </c>
      <c r="T353" s="72" t="str">
        <f t="shared" si="60"/>
        <v/>
      </c>
      <c r="AD353" s="72" t="s">
        <v>1399</v>
      </c>
      <c r="AE353" s="72" t="s">
        <v>1400</v>
      </c>
      <c r="AF353" s="72" t="str">
        <f t="shared" si="61"/>
        <v>A679077</v>
      </c>
      <c r="AG353" s="72" t="str">
        <f>VLOOKUP(AF353,AKT!$C$4:$E$324,3,FALSE)</f>
        <v>0942</v>
      </c>
    </row>
    <row r="354" spans="1:33">
      <c r="A354" s="82"/>
      <c r="B354" s="77" t="str">
        <f t="shared" si="57"/>
        <v/>
      </c>
      <c r="C354" s="82"/>
      <c r="D354" s="77" t="str">
        <f t="shared" si="54"/>
        <v/>
      </c>
      <c r="E354" s="114"/>
      <c r="F354" s="77" t="str">
        <f t="shared" si="55"/>
        <v/>
      </c>
      <c r="G354" s="77" t="str">
        <f t="shared" si="56"/>
        <v/>
      </c>
      <c r="H354" s="113"/>
      <c r="I354" s="113"/>
      <c r="J354" s="113"/>
      <c r="K354" s="126"/>
      <c r="L354" s="125"/>
      <c r="M354" s="125"/>
      <c r="N354" s="126"/>
      <c r="O354" s="303"/>
      <c r="P354" s="81"/>
      <c r="R354" s="72" t="str">
        <f t="shared" si="58"/>
        <v/>
      </c>
      <c r="S354" s="72" t="str">
        <f t="shared" si="59"/>
        <v/>
      </c>
      <c r="T354" s="72" t="str">
        <f t="shared" si="60"/>
        <v/>
      </c>
      <c r="AD354" s="72" t="s">
        <v>1401</v>
      </c>
      <c r="AE354" s="72" t="s">
        <v>1402</v>
      </c>
      <c r="AF354" s="72" t="str">
        <f t="shared" si="61"/>
        <v>A679077</v>
      </c>
      <c r="AG354" s="72" t="str">
        <f>VLOOKUP(AF354,AKT!$C$4:$E$324,3,FALSE)</f>
        <v>0942</v>
      </c>
    </row>
    <row r="355" spans="1:33">
      <c r="A355" s="82"/>
      <c r="B355" s="77" t="str">
        <f t="shared" si="57"/>
        <v/>
      </c>
      <c r="C355" s="82"/>
      <c r="D355" s="77" t="str">
        <f t="shared" si="54"/>
        <v/>
      </c>
      <c r="E355" s="114"/>
      <c r="F355" s="77" t="str">
        <f t="shared" si="55"/>
        <v/>
      </c>
      <c r="G355" s="77" t="str">
        <f t="shared" si="56"/>
        <v/>
      </c>
      <c r="H355" s="113"/>
      <c r="I355" s="113"/>
      <c r="J355" s="113"/>
      <c r="K355" s="126"/>
      <c r="L355" s="125"/>
      <c r="M355" s="125"/>
      <c r="N355" s="126"/>
      <c r="O355" s="303"/>
      <c r="P355" s="81"/>
      <c r="R355" s="72" t="str">
        <f t="shared" si="58"/>
        <v/>
      </c>
      <c r="S355" s="72" t="str">
        <f t="shared" si="59"/>
        <v/>
      </c>
      <c r="T355" s="72" t="str">
        <f t="shared" si="60"/>
        <v/>
      </c>
      <c r="AD355" s="72" t="s">
        <v>1403</v>
      </c>
      <c r="AE355" s="72" t="s">
        <v>1404</v>
      </c>
      <c r="AF355" s="72" t="str">
        <f t="shared" si="61"/>
        <v>A679077</v>
      </c>
      <c r="AG355" s="72" t="str">
        <f>VLOOKUP(AF355,AKT!$C$4:$E$324,3,FALSE)</f>
        <v>0942</v>
      </c>
    </row>
    <row r="356" spans="1:33">
      <c r="A356" s="82"/>
      <c r="B356" s="77" t="str">
        <f t="shared" si="57"/>
        <v/>
      </c>
      <c r="C356" s="82"/>
      <c r="D356" s="77" t="str">
        <f t="shared" si="54"/>
        <v/>
      </c>
      <c r="E356" s="114"/>
      <c r="F356" s="77" t="str">
        <f t="shared" si="55"/>
        <v/>
      </c>
      <c r="G356" s="77" t="str">
        <f t="shared" si="56"/>
        <v/>
      </c>
      <c r="H356" s="113"/>
      <c r="I356" s="113"/>
      <c r="J356" s="113"/>
      <c r="K356" s="126"/>
      <c r="L356" s="125"/>
      <c r="M356" s="125"/>
      <c r="N356" s="126"/>
      <c r="O356" s="303"/>
      <c r="P356" s="81"/>
      <c r="R356" s="72" t="str">
        <f t="shared" si="58"/>
        <v/>
      </c>
      <c r="S356" s="72" t="str">
        <f t="shared" si="59"/>
        <v/>
      </c>
      <c r="T356" s="72" t="str">
        <f t="shared" si="60"/>
        <v/>
      </c>
      <c r="AD356" s="72" t="s">
        <v>1405</v>
      </c>
      <c r="AE356" s="72" t="s">
        <v>1406</v>
      </c>
      <c r="AF356" s="72" t="str">
        <f t="shared" si="61"/>
        <v>A679077</v>
      </c>
      <c r="AG356" s="72" t="str">
        <f>VLOOKUP(AF356,AKT!$C$4:$E$324,3,FALSE)</f>
        <v>0942</v>
      </c>
    </row>
    <row r="357" spans="1:33">
      <c r="A357" s="82"/>
      <c r="B357" s="77" t="str">
        <f t="shared" si="57"/>
        <v/>
      </c>
      <c r="C357" s="82"/>
      <c r="D357" s="77" t="str">
        <f t="shared" si="54"/>
        <v/>
      </c>
      <c r="E357" s="114"/>
      <c r="F357" s="77" t="str">
        <f t="shared" si="55"/>
        <v/>
      </c>
      <c r="G357" s="77" t="str">
        <f t="shared" si="56"/>
        <v/>
      </c>
      <c r="H357" s="113"/>
      <c r="I357" s="113"/>
      <c r="J357" s="113"/>
      <c r="K357" s="126"/>
      <c r="L357" s="125"/>
      <c r="M357" s="125"/>
      <c r="N357" s="126"/>
      <c r="O357" s="303"/>
      <c r="P357" s="81"/>
      <c r="R357" s="72" t="str">
        <f t="shared" si="58"/>
        <v/>
      </c>
      <c r="S357" s="72" t="str">
        <f t="shared" si="59"/>
        <v/>
      </c>
      <c r="T357" s="72" t="str">
        <f t="shared" si="60"/>
        <v/>
      </c>
      <c r="AD357" s="72" t="s">
        <v>1407</v>
      </c>
      <c r="AE357" s="72" t="s">
        <v>1408</v>
      </c>
      <c r="AF357" s="72" t="str">
        <f t="shared" si="61"/>
        <v>A679077</v>
      </c>
      <c r="AG357" s="72" t="str">
        <f>VLOOKUP(AF357,AKT!$C$4:$E$324,3,FALSE)</f>
        <v>0942</v>
      </c>
    </row>
    <row r="358" spans="1:33">
      <c r="A358" s="82"/>
      <c r="B358" s="77" t="str">
        <f t="shared" si="57"/>
        <v/>
      </c>
      <c r="C358" s="82"/>
      <c r="D358" s="77" t="str">
        <f t="shared" si="54"/>
        <v/>
      </c>
      <c r="E358" s="114"/>
      <c r="F358" s="77" t="str">
        <f t="shared" si="55"/>
        <v/>
      </c>
      <c r="G358" s="77" t="str">
        <f t="shared" si="56"/>
        <v/>
      </c>
      <c r="H358" s="113"/>
      <c r="I358" s="113"/>
      <c r="J358" s="113"/>
      <c r="K358" s="126"/>
      <c r="L358" s="125"/>
      <c r="M358" s="125"/>
      <c r="N358" s="126"/>
      <c r="O358" s="303"/>
      <c r="P358" s="81"/>
      <c r="R358" s="72" t="str">
        <f t="shared" si="58"/>
        <v/>
      </c>
      <c r="S358" s="72" t="str">
        <f t="shared" si="59"/>
        <v/>
      </c>
      <c r="T358" s="72" t="str">
        <f t="shared" si="60"/>
        <v/>
      </c>
      <c r="AD358" s="72" t="s">
        <v>1409</v>
      </c>
      <c r="AE358" s="72" t="s">
        <v>1410</v>
      </c>
      <c r="AF358" s="72" t="str">
        <f t="shared" si="61"/>
        <v>A679077</v>
      </c>
      <c r="AG358" s="72" t="str">
        <f>VLOOKUP(AF358,AKT!$C$4:$E$324,3,FALSE)</f>
        <v>0942</v>
      </c>
    </row>
    <row r="359" spans="1:33">
      <c r="A359" s="82"/>
      <c r="B359" s="77" t="str">
        <f t="shared" si="57"/>
        <v/>
      </c>
      <c r="C359" s="82"/>
      <c r="D359" s="77" t="str">
        <f t="shared" si="54"/>
        <v/>
      </c>
      <c r="E359" s="114"/>
      <c r="F359" s="77" t="str">
        <f t="shared" si="55"/>
        <v/>
      </c>
      <c r="G359" s="77" t="str">
        <f t="shared" si="56"/>
        <v/>
      </c>
      <c r="H359" s="113"/>
      <c r="I359" s="113"/>
      <c r="J359" s="113"/>
      <c r="K359" s="126"/>
      <c r="L359" s="125"/>
      <c r="M359" s="125"/>
      <c r="N359" s="126"/>
      <c r="O359" s="303"/>
      <c r="P359" s="81"/>
      <c r="R359" s="72" t="str">
        <f t="shared" si="58"/>
        <v/>
      </c>
      <c r="S359" s="72" t="str">
        <f t="shared" si="59"/>
        <v/>
      </c>
      <c r="T359" s="72" t="str">
        <f t="shared" si="60"/>
        <v/>
      </c>
      <c r="AD359" s="72" t="s">
        <v>1411</v>
      </c>
      <c r="AE359" s="72" t="s">
        <v>1412</v>
      </c>
      <c r="AF359" s="72" t="str">
        <f t="shared" si="61"/>
        <v>A679077</v>
      </c>
      <c r="AG359" s="72" t="str">
        <f>VLOOKUP(AF359,AKT!$C$4:$E$324,3,FALSE)</f>
        <v>0942</v>
      </c>
    </row>
    <row r="360" spans="1:33">
      <c r="A360" s="82"/>
      <c r="B360" s="77" t="str">
        <f t="shared" si="57"/>
        <v/>
      </c>
      <c r="C360" s="82"/>
      <c r="D360" s="77" t="str">
        <f t="shared" si="54"/>
        <v/>
      </c>
      <c r="E360" s="114"/>
      <c r="F360" s="77" t="str">
        <f t="shared" si="55"/>
        <v/>
      </c>
      <c r="G360" s="77" t="str">
        <f t="shared" si="56"/>
        <v/>
      </c>
      <c r="H360" s="113"/>
      <c r="I360" s="113"/>
      <c r="J360" s="113"/>
      <c r="K360" s="126"/>
      <c r="L360" s="125"/>
      <c r="M360" s="125"/>
      <c r="N360" s="126"/>
      <c r="O360" s="303"/>
      <c r="P360" s="81"/>
      <c r="R360" s="72" t="str">
        <f t="shared" si="58"/>
        <v/>
      </c>
      <c r="S360" s="72" t="str">
        <f t="shared" si="59"/>
        <v/>
      </c>
      <c r="T360" s="72" t="str">
        <f t="shared" si="60"/>
        <v/>
      </c>
      <c r="AD360" s="72" t="s">
        <v>1413</v>
      </c>
      <c r="AE360" s="72" t="s">
        <v>1414</v>
      </c>
      <c r="AF360" s="72" t="str">
        <f t="shared" si="61"/>
        <v>A679077</v>
      </c>
      <c r="AG360" s="72" t="str">
        <f>VLOOKUP(AF360,AKT!$C$4:$E$324,3,FALSE)</f>
        <v>0942</v>
      </c>
    </row>
    <row r="361" spans="1:33">
      <c r="A361" s="82"/>
      <c r="B361" s="77" t="str">
        <f t="shared" si="57"/>
        <v/>
      </c>
      <c r="C361" s="82"/>
      <c r="D361" s="77" t="str">
        <f t="shared" si="54"/>
        <v/>
      </c>
      <c r="E361" s="114"/>
      <c r="F361" s="77" t="str">
        <f t="shared" si="55"/>
        <v/>
      </c>
      <c r="G361" s="77" t="str">
        <f t="shared" si="56"/>
        <v/>
      </c>
      <c r="H361" s="113"/>
      <c r="I361" s="113"/>
      <c r="J361" s="113"/>
      <c r="K361" s="126"/>
      <c r="L361" s="125"/>
      <c r="M361" s="125"/>
      <c r="N361" s="126"/>
      <c r="O361" s="303"/>
      <c r="P361" s="81"/>
      <c r="R361" s="72" t="str">
        <f t="shared" si="58"/>
        <v/>
      </c>
      <c r="S361" s="72" t="str">
        <f t="shared" si="59"/>
        <v/>
      </c>
      <c r="T361" s="72" t="str">
        <f t="shared" si="60"/>
        <v/>
      </c>
      <c r="AD361" s="72" t="s">
        <v>2245</v>
      </c>
      <c r="AE361" s="72" t="s">
        <v>2246</v>
      </c>
      <c r="AF361" s="72" t="str">
        <f t="shared" si="61"/>
        <v>A679077</v>
      </c>
      <c r="AG361" s="72" t="str">
        <f>VLOOKUP(AF361,AKT!$C$4:$E$324,3,FALSE)</f>
        <v>0942</v>
      </c>
    </row>
    <row r="362" spans="1:33">
      <c r="A362" s="82"/>
      <c r="B362" s="77" t="str">
        <f t="shared" si="57"/>
        <v/>
      </c>
      <c r="C362" s="82"/>
      <c r="D362" s="77" t="str">
        <f t="shared" si="54"/>
        <v/>
      </c>
      <c r="E362" s="114"/>
      <c r="F362" s="77" t="str">
        <f t="shared" si="55"/>
        <v/>
      </c>
      <c r="G362" s="77" t="str">
        <f t="shared" si="56"/>
        <v/>
      </c>
      <c r="H362" s="113"/>
      <c r="I362" s="113"/>
      <c r="J362" s="113"/>
      <c r="K362" s="126"/>
      <c r="L362" s="125"/>
      <c r="M362" s="125"/>
      <c r="N362" s="126"/>
      <c r="O362" s="303"/>
      <c r="P362" s="81"/>
      <c r="R362" s="72" t="str">
        <f t="shared" si="58"/>
        <v/>
      </c>
      <c r="S362" s="72" t="str">
        <f t="shared" si="59"/>
        <v/>
      </c>
      <c r="T362" s="72" t="str">
        <f t="shared" si="60"/>
        <v/>
      </c>
      <c r="AD362" s="72" t="s">
        <v>2247</v>
      </c>
      <c r="AE362" s="72" t="s">
        <v>2248</v>
      </c>
      <c r="AF362" s="72" t="str">
        <f t="shared" si="61"/>
        <v>A679077</v>
      </c>
      <c r="AG362" s="72" t="str">
        <f>VLOOKUP(AF362,AKT!$C$4:$E$324,3,FALSE)</f>
        <v>0942</v>
      </c>
    </row>
    <row r="363" spans="1:33">
      <c r="A363" s="82"/>
      <c r="B363" s="77" t="str">
        <f t="shared" si="57"/>
        <v/>
      </c>
      <c r="C363" s="82"/>
      <c r="D363" s="77" t="str">
        <f t="shared" si="54"/>
        <v/>
      </c>
      <c r="E363" s="114"/>
      <c r="F363" s="77" t="str">
        <f t="shared" si="55"/>
        <v/>
      </c>
      <c r="G363" s="77" t="str">
        <f t="shared" si="56"/>
        <v/>
      </c>
      <c r="H363" s="113"/>
      <c r="I363" s="113"/>
      <c r="J363" s="113"/>
      <c r="K363" s="126"/>
      <c r="L363" s="125"/>
      <c r="M363" s="125"/>
      <c r="N363" s="126"/>
      <c r="O363" s="303"/>
      <c r="P363" s="81"/>
      <c r="R363" s="72" t="str">
        <f t="shared" si="58"/>
        <v/>
      </c>
      <c r="S363" s="72" t="str">
        <f t="shared" si="59"/>
        <v/>
      </c>
      <c r="T363" s="72" t="str">
        <f t="shared" si="60"/>
        <v/>
      </c>
      <c r="AD363" s="72" t="s">
        <v>2249</v>
      </c>
      <c r="AE363" s="72" t="s">
        <v>2250</v>
      </c>
      <c r="AF363" s="72" t="str">
        <f t="shared" si="61"/>
        <v>A679077</v>
      </c>
      <c r="AG363" s="72" t="str">
        <f>VLOOKUP(AF363,AKT!$C$4:$E$324,3,FALSE)</f>
        <v>0942</v>
      </c>
    </row>
    <row r="364" spans="1:33">
      <c r="A364" s="82"/>
      <c r="B364" s="77" t="str">
        <f t="shared" si="57"/>
        <v/>
      </c>
      <c r="C364" s="82"/>
      <c r="D364" s="77" t="str">
        <f t="shared" si="54"/>
        <v/>
      </c>
      <c r="E364" s="114"/>
      <c r="F364" s="77" t="str">
        <f t="shared" si="55"/>
        <v/>
      </c>
      <c r="G364" s="77" t="str">
        <f t="shared" si="56"/>
        <v/>
      </c>
      <c r="H364" s="113"/>
      <c r="I364" s="113"/>
      <c r="J364" s="113"/>
      <c r="K364" s="126"/>
      <c r="L364" s="125"/>
      <c r="M364" s="125"/>
      <c r="N364" s="126"/>
      <c r="O364" s="303"/>
      <c r="P364" s="81"/>
      <c r="R364" s="72" t="str">
        <f t="shared" si="58"/>
        <v/>
      </c>
      <c r="S364" s="72" t="str">
        <f t="shared" si="59"/>
        <v/>
      </c>
      <c r="T364" s="72" t="str">
        <f t="shared" si="60"/>
        <v/>
      </c>
      <c r="AD364" s="72" t="s">
        <v>2251</v>
      </c>
      <c r="AE364" s="72" t="s">
        <v>2252</v>
      </c>
      <c r="AF364" s="72" t="str">
        <f t="shared" si="61"/>
        <v>A679077</v>
      </c>
      <c r="AG364" s="72" t="str">
        <f>VLOOKUP(AF364,AKT!$C$4:$E$324,3,FALSE)</f>
        <v>0942</v>
      </c>
    </row>
    <row r="365" spans="1:33">
      <c r="A365" s="82"/>
      <c r="B365" s="77" t="str">
        <f t="shared" si="57"/>
        <v/>
      </c>
      <c r="C365" s="82"/>
      <c r="D365" s="77" t="str">
        <f t="shared" si="54"/>
        <v/>
      </c>
      <c r="E365" s="114"/>
      <c r="F365" s="77" t="str">
        <f t="shared" si="55"/>
        <v/>
      </c>
      <c r="G365" s="77" t="str">
        <f t="shared" si="56"/>
        <v/>
      </c>
      <c r="H365" s="113"/>
      <c r="I365" s="113"/>
      <c r="J365" s="113"/>
      <c r="K365" s="126"/>
      <c r="L365" s="125"/>
      <c r="M365" s="125"/>
      <c r="N365" s="126"/>
      <c r="O365" s="303"/>
      <c r="P365" s="81"/>
      <c r="R365" s="72" t="str">
        <f t="shared" si="58"/>
        <v/>
      </c>
      <c r="S365" s="72" t="str">
        <f t="shared" si="59"/>
        <v/>
      </c>
      <c r="T365" s="72" t="str">
        <f t="shared" si="60"/>
        <v/>
      </c>
      <c r="AD365" s="72" t="s">
        <v>2253</v>
      </c>
      <c r="AE365" s="72" t="s">
        <v>2254</v>
      </c>
      <c r="AF365" s="72" t="str">
        <f t="shared" si="61"/>
        <v>A679077</v>
      </c>
      <c r="AG365" s="72" t="str">
        <f>VLOOKUP(AF365,AKT!$C$4:$E$324,3,FALSE)</f>
        <v>0942</v>
      </c>
    </row>
    <row r="366" spans="1:33">
      <c r="A366" s="82"/>
      <c r="B366" s="77" t="str">
        <f t="shared" si="57"/>
        <v/>
      </c>
      <c r="C366" s="82"/>
      <c r="D366" s="77" t="str">
        <f t="shared" si="54"/>
        <v/>
      </c>
      <c r="E366" s="114"/>
      <c r="F366" s="77" t="str">
        <f t="shared" si="55"/>
        <v/>
      </c>
      <c r="G366" s="77" t="str">
        <f t="shared" si="56"/>
        <v/>
      </c>
      <c r="H366" s="113"/>
      <c r="I366" s="113"/>
      <c r="J366" s="113"/>
      <c r="K366" s="126"/>
      <c r="L366" s="125"/>
      <c r="M366" s="125"/>
      <c r="N366" s="126"/>
      <c r="O366" s="303"/>
      <c r="P366" s="81"/>
      <c r="R366" s="72" t="str">
        <f t="shared" si="58"/>
        <v/>
      </c>
      <c r="S366" s="72" t="str">
        <f t="shared" si="59"/>
        <v/>
      </c>
      <c r="T366" s="72" t="str">
        <f t="shared" si="60"/>
        <v/>
      </c>
      <c r="AD366" s="72" t="s">
        <v>2255</v>
      </c>
      <c r="AE366" s="72" t="s">
        <v>2256</v>
      </c>
      <c r="AF366" s="72" t="str">
        <f t="shared" si="61"/>
        <v>A679077</v>
      </c>
      <c r="AG366" s="72" t="str">
        <f>VLOOKUP(AF366,AKT!$C$4:$E$324,3,FALSE)</f>
        <v>0942</v>
      </c>
    </row>
    <row r="367" spans="1:33">
      <c r="A367" s="82"/>
      <c r="B367" s="77" t="str">
        <f t="shared" si="57"/>
        <v/>
      </c>
      <c r="C367" s="82"/>
      <c r="D367" s="77" t="str">
        <f t="shared" si="54"/>
        <v/>
      </c>
      <c r="E367" s="114"/>
      <c r="F367" s="77" t="str">
        <f t="shared" si="55"/>
        <v/>
      </c>
      <c r="G367" s="77" t="str">
        <f t="shared" si="56"/>
        <v/>
      </c>
      <c r="H367" s="113"/>
      <c r="I367" s="113"/>
      <c r="J367" s="113"/>
      <c r="K367" s="126"/>
      <c r="L367" s="125"/>
      <c r="M367" s="125"/>
      <c r="N367" s="126"/>
      <c r="O367" s="303"/>
      <c r="P367" s="81"/>
      <c r="R367" s="72" t="str">
        <f t="shared" si="58"/>
        <v/>
      </c>
      <c r="S367" s="72" t="str">
        <f t="shared" si="59"/>
        <v/>
      </c>
      <c r="T367" s="72" t="str">
        <f t="shared" si="60"/>
        <v/>
      </c>
      <c r="AD367" s="72" t="s">
        <v>2257</v>
      </c>
      <c r="AE367" s="72" t="s">
        <v>2258</v>
      </c>
      <c r="AF367" s="72" t="str">
        <f t="shared" si="61"/>
        <v>A679077</v>
      </c>
      <c r="AG367" s="72" t="str">
        <f>VLOOKUP(AF367,AKT!$C$4:$E$324,3,FALSE)</f>
        <v>0942</v>
      </c>
    </row>
    <row r="368" spans="1:33">
      <c r="A368" s="82"/>
      <c r="B368" s="77" t="str">
        <f t="shared" si="57"/>
        <v/>
      </c>
      <c r="C368" s="82"/>
      <c r="D368" s="77" t="str">
        <f t="shared" si="54"/>
        <v/>
      </c>
      <c r="E368" s="114"/>
      <c r="F368" s="77" t="str">
        <f t="shared" si="55"/>
        <v/>
      </c>
      <c r="G368" s="77" t="str">
        <f t="shared" si="56"/>
        <v/>
      </c>
      <c r="H368" s="113"/>
      <c r="I368" s="113"/>
      <c r="J368" s="113"/>
      <c r="K368" s="126"/>
      <c r="L368" s="125"/>
      <c r="M368" s="125"/>
      <c r="N368" s="126"/>
      <c r="O368" s="303"/>
      <c r="P368" s="81"/>
      <c r="R368" s="72" t="str">
        <f t="shared" si="58"/>
        <v/>
      </c>
      <c r="S368" s="72" t="str">
        <f t="shared" si="59"/>
        <v/>
      </c>
      <c r="T368" s="72" t="str">
        <f t="shared" si="60"/>
        <v/>
      </c>
      <c r="AD368" s="72" t="s">
        <v>2259</v>
      </c>
      <c r="AE368" s="72" t="s">
        <v>2260</v>
      </c>
      <c r="AF368" s="72" t="str">
        <f t="shared" si="61"/>
        <v>A679077</v>
      </c>
      <c r="AG368" s="72" t="str">
        <f>VLOOKUP(AF368,AKT!$C$4:$E$324,3,FALSE)</f>
        <v>0942</v>
      </c>
    </row>
    <row r="369" spans="1:33">
      <c r="A369" s="82"/>
      <c r="B369" s="77" t="str">
        <f t="shared" si="57"/>
        <v/>
      </c>
      <c r="C369" s="82"/>
      <c r="D369" s="77" t="str">
        <f t="shared" si="54"/>
        <v/>
      </c>
      <c r="E369" s="114"/>
      <c r="F369" s="77" t="str">
        <f t="shared" si="55"/>
        <v/>
      </c>
      <c r="G369" s="77" t="str">
        <f t="shared" si="56"/>
        <v/>
      </c>
      <c r="H369" s="113"/>
      <c r="I369" s="113"/>
      <c r="J369" s="113"/>
      <c r="K369" s="126"/>
      <c r="L369" s="125"/>
      <c r="M369" s="125"/>
      <c r="N369" s="126"/>
      <c r="O369" s="303"/>
      <c r="P369" s="81"/>
      <c r="R369" s="72" t="str">
        <f t="shared" si="58"/>
        <v/>
      </c>
      <c r="S369" s="72" t="str">
        <f t="shared" si="59"/>
        <v/>
      </c>
      <c r="T369" s="72" t="str">
        <f t="shared" si="60"/>
        <v/>
      </c>
      <c r="AD369" s="72" t="s">
        <v>2261</v>
      </c>
      <c r="AE369" s="72" t="s">
        <v>2262</v>
      </c>
      <c r="AF369" s="72" t="str">
        <f t="shared" si="61"/>
        <v>A679077</v>
      </c>
      <c r="AG369" s="72" t="str">
        <f>VLOOKUP(AF369,AKT!$C$4:$E$324,3,FALSE)</f>
        <v>0942</v>
      </c>
    </row>
    <row r="370" spans="1:33">
      <c r="A370" s="82"/>
      <c r="B370" s="77" t="str">
        <f t="shared" si="57"/>
        <v/>
      </c>
      <c r="C370" s="82"/>
      <c r="D370" s="77" t="str">
        <f t="shared" si="54"/>
        <v/>
      </c>
      <c r="E370" s="114"/>
      <c r="F370" s="77" t="str">
        <f t="shared" si="55"/>
        <v/>
      </c>
      <c r="G370" s="77" t="str">
        <f t="shared" si="56"/>
        <v/>
      </c>
      <c r="H370" s="113"/>
      <c r="I370" s="113"/>
      <c r="J370" s="113"/>
      <c r="K370" s="126"/>
      <c r="L370" s="125"/>
      <c r="M370" s="125"/>
      <c r="N370" s="126"/>
      <c r="O370" s="303"/>
      <c r="P370" s="81"/>
      <c r="R370" s="72" t="str">
        <f t="shared" si="58"/>
        <v/>
      </c>
      <c r="S370" s="72" t="str">
        <f t="shared" si="59"/>
        <v/>
      </c>
      <c r="T370" s="72" t="str">
        <f t="shared" si="60"/>
        <v/>
      </c>
      <c r="AD370" s="72" t="s">
        <v>2263</v>
      </c>
      <c r="AE370" s="72" t="s">
        <v>2264</v>
      </c>
      <c r="AF370" s="72" t="str">
        <f t="shared" si="61"/>
        <v>A679077</v>
      </c>
      <c r="AG370" s="72" t="str">
        <f>VLOOKUP(AF370,AKT!$C$4:$E$324,3,FALSE)</f>
        <v>0942</v>
      </c>
    </row>
    <row r="371" spans="1:33">
      <c r="A371" s="82"/>
      <c r="B371" s="77" t="str">
        <f t="shared" si="57"/>
        <v/>
      </c>
      <c r="C371" s="82"/>
      <c r="D371" s="77" t="str">
        <f t="shared" si="54"/>
        <v/>
      </c>
      <c r="E371" s="114"/>
      <c r="F371" s="77" t="str">
        <f t="shared" si="55"/>
        <v/>
      </c>
      <c r="G371" s="77" t="str">
        <f t="shared" si="56"/>
        <v/>
      </c>
      <c r="H371" s="113"/>
      <c r="I371" s="113"/>
      <c r="J371" s="113"/>
      <c r="K371" s="126"/>
      <c r="L371" s="125"/>
      <c r="M371" s="125"/>
      <c r="N371" s="126"/>
      <c r="O371" s="303"/>
      <c r="P371" s="81"/>
      <c r="R371" s="72" t="str">
        <f t="shared" si="58"/>
        <v/>
      </c>
      <c r="S371" s="72" t="str">
        <f t="shared" si="59"/>
        <v/>
      </c>
      <c r="T371" s="72" t="str">
        <f t="shared" si="60"/>
        <v/>
      </c>
      <c r="AD371" s="72" t="s">
        <v>2265</v>
      </c>
      <c r="AE371" s="72" t="s">
        <v>2266</v>
      </c>
      <c r="AF371" s="72" t="str">
        <f t="shared" si="61"/>
        <v>A679077</v>
      </c>
      <c r="AG371" s="72" t="str">
        <f>VLOOKUP(AF371,AKT!$C$4:$E$324,3,FALSE)</f>
        <v>0942</v>
      </c>
    </row>
    <row r="372" spans="1:33">
      <c r="A372" s="82"/>
      <c r="B372" s="77" t="str">
        <f t="shared" si="57"/>
        <v/>
      </c>
      <c r="C372" s="82"/>
      <c r="D372" s="77" t="str">
        <f t="shared" si="54"/>
        <v/>
      </c>
      <c r="E372" s="114"/>
      <c r="F372" s="77" t="str">
        <f t="shared" si="55"/>
        <v/>
      </c>
      <c r="G372" s="77" t="str">
        <f t="shared" si="56"/>
        <v/>
      </c>
      <c r="H372" s="113"/>
      <c r="I372" s="113"/>
      <c r="J372" s="113"/>
      <c r="K372" s="126"/>
      <c r="L372" s="125"/>
      <c r="M372" s="125"/>
      <c r="N372" s="126"/>
      <c r="O372" s="303"/>
      <c r="P372" s="81"/>
      <c r="R372" s="72" t="str">
        <f t="shared" si="58"/>
        <v/>
      </c>
      <c r="S372" s="72" t="str">
        <f t="shared" si="59"/>
        <v/>
      </c>
      <c r="T372" s="72" t="str">
        <f t="shared" si="60"/>
        <v/>
      </c>
      <c r="AD372" s="72" t="s">
        <v>2267</v>
      </c>
      <c r="AE372" s="72" t="s">
        <v>2268</v>
      </c>
      <c r="AF372" s="72" t="str">
        <f t="shared" si="61"/>
        <v>A679077</v>
      </c>
      <c r="AG372" s="72" t="str">
        <f>VLOOKUP(AF372,AKT!$C$4:$E$324,3,FALSE)</f>
        <v>0942</v>
      </c>
    </row>
    <row r="373" spans="1:33">
      <c r="A373" s="82"/>
      <c r="B373" s="77" t="str">
        <f t="shared" si="57"/>
        <v/>
      </c>
      <c r="C373" s="82"/>
      <c r="D373" s="77" t="str">
        <f t="shared" si="54"/>
        <v/>
      </c>
      <c r="E373" s="114"/>
      <c r="F373" s="77" t="str">
        <f t="shared" si="55"/>
        <v/>
      </c>
      <c r="G373" s="77" t="str">
        <f t="shared" si="56"/>
        <v/>
      </c>
      <c r="H373" s="113"/>
      <c r="I373" s="113"/>
      <c r="J373" s="113"/>
      <c r="K373" s="126"/>
      <c r="L373" s="125"/>
      <c r="M373" s="125"/>
      <c r="N373" s="126"/>
      <c r="O373" s="303"/>
      <c r="P373" s="81"/>
      <c r="R373" s="72" t="str">
        <f t="shared" si="58"/>
        <v/>
      </c>
      <c r="S373" s="72" t="str">
        <f t="shared" si="59"/>
        <v/>
      </c>
      <c r="T373" s="72" t="str">
        <f t="shared" si="60"/>
        <v/>
      </c>
      <c r="AD373" s="72" t="s">
        <v>2269</v>
      </c>
      <c r="AE373" s="72" t="s">
        <v>2270</v>
      </c>
      <c r="AF373" s="72" t="str">
        <f t="shared" si="61"/>
        <v>A679077</v>
      </c>
      <c r="AG373" s="72" t="str">
        <f>VLOOKUP(AF373,AKT!$C$4:$E$324,3,FALSE)</f>
        <v>0942</v>
      </c>
    </row>
    <row r="374" spans="1:33">
      <c r="A374" s="82"/>
      <c r="B374" s="77" t="str">
        <f t="shared" si="57"/>
        <v/>
      </c>
      <c r="C374" s="82"/>
      <c r="D374" s="77" t="str">
        <f t="shared" si="54"/>
        <v/>
      </c>
      <c r="E374" s="114"/>
      <c r="F374" s="77" t="str">
        <f t="shared" si="55"/>
        <v/>
      </c>
      <c r="G374" s="77" t="str">
        <f t="shared" si="56"/>
        <v/>
      </c>
      <c r="H374" s="113"/>
      <c r="I374" s="113"/>
      <c r="J374" s="113"/>
      <c r="K374" s="126"/>
      <c r="L374" s="125"/>
      <c r="M374" s="125"/>
      <c r="N374" s="126"/>
      <c r="O374" s="303"/>
      <c r="P374" s="81"/>
      <c r="R374" s="72" t="str">
        <f t="shared" si="58"/>
        <v/>
      </c>
      <c r="S374" s="72" t="str">
        <f t="shared" si="59"/>
        <v/>
      </c>
      <c r="T374" s="72" t="str">
        <f t="shared" si="60"/>
        <v/>
      </c>
      <c r="AD374" s="72" t="s">
        <v>2271</v>
      </c>
      <c r="AE374" s="72" t="s">
        <v>2272</v>
      </c>
      <c r="AF374" s="72" t="str">
        <f t="shared" si="61"/>
        <v>A679077</v>
      </c>
      <c r="AG374" s="72" t="str">
        <f>VLOOKUP(AF374,AKT!$C$4:$E$324,3,FALSE)</f>
        <v>0942</v>
      </c>
    </row>
    <row r="375" spans="1:33">
      <c r="A375" s="82"/>
      <c r="B375" s="77" t="str">
        <f t="shared" si="57"/>
        <v/>
      </c>
      <c r="C375" s="82"/>
      <c r="D375" s="77" t="str">
        <f t="shared" si="54"/>
        <v/>
      </c>
      <c r="E375" s="114"/>
      <c r="F375" s="77" t="str">
        <f t="shared" si="55"/>
        <v/>
      </c>
      <c r="G375" s="77" t="str">
        <f t="shared" si="56"/>
        <v/>
      </c>
      <c r="H375" s="113"/>
      <c r="I375" s="113"/>
      <c r="J375" s="113"/>
      <c r="K375" s="126"/>
      <c r="L375" s="125"/>
      <c r="M375" s="125"/>
      <c r="N375" s="126"/>
      <c r="O375" s="303"/>
      <c r="P375" s="81"/>
      <c r="R375" s="72" t="str">
        <f t="shared" si="58"/>
        <v/>
      </c>
      <c r="S375" s="72" t="str">
        <f t="shared" si="59"/>
        <v/>
      </c>
      <c r="T375" s="72" t="str">
        <f t="shared" si="60"/>
        <v/>
      </c>
      <c r="AD375" s="72" t="s">
        <v>2273</v>
      </c>
      <c r="AE375" s="72" t="s">
        <v>2274</v>
      </c>
      <c r="AF375" s="72" t="str">
        <f t="shared" si="61"/>
        <v>A679077</v>
      </c>
      <c r="AG375" s="72" t="str">
        <f>VLOOKUP(AF375,AKT!$C$4:$E$324,3,FALSE)</f>
        <v>0942</v>
      </c>
    </row>
    <row r="376" spans="1:33">
      <c r="A376" s="82"/>
      <c r="B376" s="77" t="str">
        <f t="shared" si="57"/>
        <v/>
      </c>
      <c r="C376" s="82"/>
      <c r="D376" s="77" t="str">
        <f t="shared" si="54"/>
        <v/>
      </c>
      <c r="E376" s="114"/>
      <c r="F376" s="77" t="str">
        <f t="shared" si="55"/>
        <v/>
      </c>
      <c r="G376" s="77" t="str">
        <f t="shared" si="56"/>
        <v/>
      </c>
      <c r="H376" s="113"/>
      <c r="I376" s="113"/>
      <c r="J376" s="113"/>
      <c r="K376" s="126"/>
      <c r="L376" s="125"/>
      <c r="M376" s="125"/>
      <c r="N376" s="126"/>
      <c r="O376" s="303"/>
      <c r="P376" s="81"/>
      <c r="R376" s="72" t="str">
        <f t="shared" si="58"/>
        <v/>
      </c>
      <c r="S376" s="72" t="str">
        <f t="shared" si="59"/>
        <v/>
      </c>
      <c r="T376" s="72" t="str">
        <f t="shared" si="60"/>
        <v/>
      </c>
      <c r="AD376" s="72" t="s">
        <v>2275</v>
      </c>
      <c r="AE376" s="72" t="s">
        <v>2276</v>
      </c>
      <c r="AF376" s="72" t="str">
        <f t="shared" si="61"/>
        <v>A679077</v>
      </c>
      <c r="AG376" s="72" t="str">
        <f>VLOOKUP(AF376,AKT!$C$4:$E$324,3,FALSE)</f>
        <v>0942</v>
      </c>
    </row>
    <row r="377" spans="1:33">
      <c r="A377" s="82"/>
      <c r="B377" s="77" t="str">
        <f t="shared" si="57"/>
        <v/>
      </c>
      <c r="C377" s="82"/>
      <c r="D377" s="77" t="str">
        <f t="shared" si="54"/>
        <v/>
      </c>
      <c r="E377" s="114"/>
      <c r="F377" s="77" t="str">
        <f t="shared" si="55"/>
        <v/>
      </c>
      <c r="G377" s="77" t="str">
        <f t="shared" si="56"/>
        <v/>
      </c>
      <c r="H377" s="113"/>
      <c r="I377" s="113"/>
      <c r="J377" s="113"/>
      <c r="K377" s="126"/>
      <c r="L377" s="125"/>
      <c r="M377" s="125"/>
      <c r="N377" s="126"/>
      <c r="O377" s="303"/>
      <c r="P377" s="81"/>
      <c r="R377" s="72" t="str">
        <f t="shared" si="58"/>
        <v/>
      </c>
      <c r="S377" s="72" t="str">
        <f t="shared" si="59"/>
        <v/>
      </c>
      <c r="T377" s="72" t="str">
        <f t="shared" si="60"/>
        <v/>
      </c>
      <c r="AD377" s="72" t="s">
        <v>2277</v>
      </c>
      <c r="AE377" s="72" t="s">
        <v>2278</v>
      </c>
      <c r="AF377" s="72" t="str">
        <f t="shared" si="61"/>
        <v>A679077</v>
      </c>
      <c r="AG377" s="72" t="str">
        <f>VLOOKUP(AF377,AKT!$C$4:$E$324,3,FALSE)</f>
        <v>0942</v>
      </c>
    </row>
    <row r="378" spans="1:33">
      <c r="A378" s="82"/>
      <c r="B378" s="77" t="str">
        <f t="shared" si="57"/>
        <v/>
      </c>
      <c r="C378" s="82"/>
      <c r="D378" s="77" t="str">
        <f t="shared" si="54"/>
        <v/>
      </c>
      <c r="E378" s="114"/>
      <c r="F378" s="77" t="str">
        <f t="shared" si="55"/>
        <v/>
      </c>
      <c r="G378" s="77" t="str">
        <f t="shared" si="56"/>
        <v/>
      </c>
      <c r="H378" s="113"/>
      <c r="I378" s="113"/>
      <c r="J378" s="113"/>
      <c r="K378" s="126"/>
      <c r="L378" s="125"/>
      <c r="M378" s="125"/>
      <c r="N378" s="126"/>
      <c r="O378" s="303"/>
      <c r="P378" s="81"/>
      <c r="R378" s="72" t="str">
        <f t="shared" si="58"/>
        <v/>
      </c>
      <c r="S378" s="72" t="str">
        <f t="shared" si="59"/>
        <v/>
      </c>
      <c r="T378" s="72" t="str">
        <f t="shared" si="60"/>
        <v/>
      </c>
      <c r="AD378" s="72" t="s">
        <v>2279</v>
      </c>
      <c r="AE378" s="72" t="s">
        <v>2280</v>
      </c>
      <c r="AF378" s="72" t="str">
        <f t="shared" si="61"/>
        <v>A679077</v>
      </c>
      <c r="AG378" s="72" t="str">
        <f>VLOOKUP(AF378,AKT!$C$4:$E$324,3,FALSE)</f>
        <v>0942</v>
      </c>
    </row>
    <row r="379" spans="1:33">
      <c r="A379" s="82"/>
      <c r="B379" s="77" t="str">
        <f t="shared" si="57"/>
        <v/>
      </c>
      <c r="C379" s="82"/>
      <c r="D379" s="77" t="str">
        <f t="shared" si="54"/>
        <v/>
      </c>
      <c r="E379" s="114"/>
      <c r="F379" s="77" t="str">
        <f t="shared" si="55"/>
        <v/>
      </c>
      <c r="G379" s="77" t="str">
        <f t="shared" si="56"/>
        <v/>
      </c>
      <c r="H379" s="113"/>
      <c r="I379" s="113"/>
      <c r="J379" s="113"/>
      <c r="K379" s="126"/>
      <c r="L379" s="125"/>
      <c r="M379" s="125"/>
      <c r="N379" s="126"/>
      <c r="O379" s="303"/>
      <c r="P379" s="81"/>
      <c r="R379" s="72" t="str">
        <f t="shared" si="58"/>
        <v/>
      </c>
      <c r="S379" s="72" t="str">
        <f t="shared" si="59"/>
        <v/>
      </c>
      <c r="T379" s="72" t="str">
        <f t="shared" si="60"/>
        <v/>
      </c>
      <c r="AD379" s="72" t="s">
        <v>2281</v>
      </c>
      <c r="AE379" s="72" t="s">
        <v>2282</v>
      </c>
      <c r="AF379" s="72" t="str">
        <f t="shared" si="61"/>
        <v>A679077</v>
      </c>
      <c r="AG379" s="72" t="str">
        <f>VLOOKUP(AF379,AKT!$C$4:$E$324,3,FALSE)</f>
        <v>0942</v>
      </c>
    </row>
    <row r="380" spans="1:33">
      <c r="A380" s="82"/>
      <c r="B380" s="77" t="str">
        <f t="shared" si="57"/>
        <v/>
      </c>
      <c r="C380" s="82"/>
      <c r="D380" s="77" t="str">
        <f t="shared" si="54"/>
        <v/>
      </c>
      <c r="E380" s="114"/>
      <c r="F380" s="77" t="str">
        <f t="shared" si="55"/>
        <v/>
      </c>
      <c r="G380" s="77" t="str">
        <f t="shared" si="56"/>
        <v/>
      </c>
      <c r="H380" s="113"/>
      <c r="I380" s="113"/>
      <c r="J380" s="113"/>
      <c r="K380" s="126"/>
      <c r="L380" s="125"/>
      <c r="M380" s="125"/>
      <c r="N380" s="126"/>
      <c r="O380" s="303"/>
      <c r="P380" s="81"/>
      <c r="R380" s="72" t="str">
        <f t="shared" si="58"/>
        <v/>
      </c>
      <c r="S380" s="72" t="str">
        <f t="shared" si="59"/>
        <v/>
      </c>
      <c r="T380" s="72" t="str">
        <f t="shared" si="60"/>
        <v/>
      </c>
      <c r="AD380" s="72" t="s">
        <v>2283</v>
      </c>
      <c r="AE380" s="72" t="s">
        <v>2284</v>
      </c>
      <c r="AF380" s="72" t="str">
        <f t="shared" si="61"/>
        <v>A679077</v>
      </c>
      <c r="AG380" s="72" t="str">
        <f>VLOOKUP(AF380,AKT!$C$4:$E$324,3,FALSE)</f>
        <v>0942</v>
      </c>
    </row>
    <row r="381" spans="1:33">
      <c r="A381" s="82"/>
      <c r="B381" s="77" t="str">
        <f t="shared" si="57"/>
        <v/>
      </c>
      <c r="C381" s="82"/>
      <c r="D381" s="77" t="str">
        <f t="shared" si="54"/>
        <v/>
      </c>
      <c r="E381" s="114"/>
      <c r="F381" s="77" t="str">
        <f t="shared" si="55"/>
        <v/>
      </c>
      <c r="G381" s="77" t="str">
        <f t="shared" si="56"/>
        <v/>
      </c>
      <c r="H381" s="113"/>
      <c r="I381" s="113"/>
      <c r="J381" s="113"/>
      <c r="K381" s="126"/>
      <c r="L381" s="125"/>
      <c r="M381" s="125"/>
      <c r="N381" s="126"/>
      <c r="O381" s="303"/>
      <c r="P381" s="81"/>
      <c r="R381" s="72" t="str">
        <f t="shared" si="58"/>
        <v/>
      </c>
      <c r="S381" s="72" t="str">
        <f t="shared" si="59"/>
        <v/>
      </c>
      <c r="T381" s="72" t="str">
        <f t="shared" si="60"/>
        <v/>
      </c>
      <c r="AD381" s="72" t="s">
        <v>2285</v>
      </c>
      <c r="AE381" s="72" t="s">
        <v>2286</v>
      </c>
      <c r="AF381" s="72" t="str">
        <f t="shared" si="61"/>
        <v>A679077</v>
      </c>
      <c r="AG381" s="72" t="str">
        <f>VLOOKUP(AF381,AKT!$C$4:$E$324,3,FALSE)</f>
        <v>0942</v>
      </c>
    </row>
    <row r="382" spans="1:33">
      <c r="A382" s="82"/>
      <c r="B382" s="77" t="str">
        <f t="shared" si="57"/>
        <v/>
      </c>
      <c r="C382" s="82"/>
      <c r="D382" s="77" t="str">
        <f t="shared" si="54"/>
        <v/>
      </c>
      <c r="E382" s="114"/>
      <c r="F382" s="77" t="str">
        <f t="shared" si="55"/>
        <v/>
      </c>
      <c r="G382" s="77" t="str">
        <f t="shared" si="56"/>
        <v/>
      </c>
      <c r="H382" s="113"/>
      <c r="I382" s="113"/>
      <c r="J382" s="113"/>
      <c r="K382" s="126"/>
      <c r="L382" s="125"/>
      <c r="M382" s="125"/>
      <c r="N382" s="126"/>
      <c r="O382" s="303"/>
      <c r="P382" s="81"/>
      <c r="R382" s="72" t="str">
        <f t="shared" si="58"/>
        <v/>
      </c>
      <c r="S382" s="72" t="str">
        <f t="shared" si="59"/>
        <v/>
      </c>
      <c r="T382" s="72" t="str">
        <f t="shared" si="60"/>
        <v/>
      </c>
      <c r="AD382" s="72" t="s">
        <v>2287</v>
      </c>
      <c r="AE382" s="72" t="s">
        <v>2288</v>
      </c>
      <c r="AF382" s="72" t="str">
        <f t="shared" si="61"/>
        <v>A679077</v>
      </c>
      <c r="AG382" s="72" t="str">
        <f>VLOOKUP(AF382,AKT!$C$4:$E$324,3,FALSE)</f>
        <v>0942</v>
      </c>
    </row>
    <row r="383" spans="1:33">
      <c r="A383" s="82"/>
      <c r="B383" s="77" t="str">
        <f t="shared" si="57"/>
        <v/>
      </c>
      <c r="C383" s="82"/>
      <c r="D383" s="77" t="str">
        <f t="shared" si="54"/>
        <v/>
      </c>
      <c r="E383" s="114"/>
      <c r="F383" s="77" t="str">
        <f t="shared" si="55"/>
        <v/>
      </c>
      <c r="G383" s="77" t="str">
        <f t="shared" si="56"/>
        <v/>
      </c>
      <c r="H383" s="113"/>
      <c r="I383" s="113"/>
      <c r="J383" s="113"/>
      <c r="K383" s="126"/>
      <c r="L383" s="125"/>
      <c r="M383" s="125"/>
      <c r="N383" s="126"/>
      <c r="O383" s="303"/>
      <c r="P383" s="81"/>
      <c r="R383" s="72" t="str">
        <f t="shared" si="58"/>
        <v/>
      </c>
      <c r="S383" s="72" t="str">
        <f t="shared" si="59"/>
        <v/>
      </c>
      <c r="T383" s="72" t="str">
        <f t="shared" si="60"/>
        <v/>
      </c>
      <c r="AD383" s="72" t="s">
        <v>2289</v>
      </c>
      <c r="AE383" s="72" t="s">
        <v>2290</v>
      </c>
      <c r="AF383" s="72" t="str">
        <f t="shared" si="61"/>
        <v>A679077</v>
      </c>
      <c r="AG383" s="72" t="str">
        <f>VLOOKUP(AF383,AKT!$C$4:$E$324,3,FALSE)</f>
        <v>0942</v>
      </c>
    </row>
    <row r="384" spans="1:33">
      <c r="A384" s="82"/>
      <c r="B384" s="77" t="str">
        <f t="shared" si="57"/>
        <v/>
      </c>
      <c r="C384" s="82"/>
      <c r="D384" s="77" t="str">
        <f t="shared" si="54"/>
        <v/>
      </c>
      <c r="E384" s="114"/>
      <c r="F384" s="77" t="str">
        <f t="shared" si="55"/>
        <v/>
      </c>
      <c r="G384" s="77" t="str">
        <f t="shared" si="56"/>
        <v/>
      </c>
      <c r="H384" s="113"/>
      <c r="I384" s="113"/>
      <c r="J384" s="113"/>
      <c r="K384" s="126"/>
      <c r="L384" s="125"/>
      <c r="M384" s="125"/>
      <c r="N384" s="126"/>
      <c r="O384" s="303"/>
      <c r="P384" s="81"/>
      <c r="R384" s="72" t="str">
        <f t="shared" si="58"/>
        <v/>
      </c>
      <c r="S384" s="72" t="str">
        <f t="shared" si="59"/>
        <v/>
      </c>
      <c r="T384" s="72" t="str">
        <f t="shared" si="60"/>
        <v/>
      </c>
      <c r="AD384" s="72" t="s">
        <v>2291</v>
      </c>
      <c r="AE384" s="72" t="s">
        <v>2292</v>
      </c>
      <c r="AF384" s="72" t="str">
        <f t="shared" si="61"/>
        <v>A679077</v>
      </c>
      <c r="AG384" s="72" t="str">
        <f>VLOOKUP(AF384,AKT!$C$4:$E$324,3,FALSE)</f>
        <v>0942</v>
      </c>
    </row>
    <row r="385" spans="1:33">
      <c r="A385" s="82"/>
      <c r="B385" s="77" t="str">
        <f t="shared" si="57"/>
        <v/>
      </c>
      <c r="C385" s="82"/>
      <c r="D385" s="77" t="str">
        <f t="shared" si="54"/>
        <v/>
      </c>
      <c r="E385" s="114"/>
      <c r="F385" s="77" t="str">
        <f t="shared" si="55"/>
        <v/>
      </c>
      <c r="G385" s="77" t="str">
        <f t="shared" si="56"/>
        <v/>
      </c>
      <c r="H385" s="113"/>
      <c r="I385" s="113"/>
      <c r="J385" s="113"/>
      <c r="K385" s="126"/>
      <c r="L385" s="125"/>
      <c r="M385" s="125"/>
      <c r="N385" s="126"/>
      <c r="O385" s="303"/>
      <c r="P385" s="81"/>
      <c r="R385" s="72" t="str">
        <f t="shared" si="58"/>
        <v/>
      </c>
      <c r="S385" s="72" t="str">
        <f t="shared" si="59"/>
        <v/>
      </c>
      <c r="T385" s="72" t="str">
        <f t="shared" si="60"/>
        <v/>
      </c>
      <c r="AD385" s="72" t="s">
        <v>2293</v>
      </c>
      <c r="AE385" s="72" t="s">
        <v>2294</v>
      </c>
      <c r="AF385" s="72" t="str">
        <f t="shared" si="61"/>
        <v>A679077</v>
      </c>
      <c r="AG385" s="72" t="str">
        <f>VLOOKUP(AF385,AKT!$C$4:$E$324,3,FALSE)</f>
        <v>0942</v>
      </c>
    </row>
    <row r="386" spans="1:33">
      <c r="A386" s="82"/>
      <c r="B386" s="77" t="str">
        <f t="shared" si="57"/>
        <v/>
      </c>
      <c r="C386" s="82"/>
      <c r="D386" s="77" t="str">
        <f t="shared" si="54"/>
        <v/>
      </c>
      <c r="E386" s="114"/>
      <c r="F386" s="77" t="str">
        <f t="shared" si="55"/>
        <v/>
      </c>
      <c r="G386" s="77" t="str">
        <f t="shared" si="56"/>
        <v/>
      </c>
      <c r="H386" s="113"/>
      <c r="I386" s="113"/>
      <c r="J386" s="113"/>
      <c r="K386" s="126"/>
      <c r="L386" s="125"/>
      <c r="M386" s="125"/>
      <c r="N386" s="126"/>
      <c r="O386" s="303"/>
      <c r="P386" s="81"/>
      <c r="R386" s="72" t="str">
        <f t="shared" si="58"/>
        <v/>
      </c>
      <c r="S386" s="72" t="str">
        <f t="shared" si="59"/>
        <v/>
      </c>
      <c r="T386" s="72" t="str">
        <f t="shared" si="60"/>
        <v/>
      </c>
      <c r="AD386" s="72" t="s">
        <v>2295</v>
      </c>
      <c r="AE386" s="72" t="s">
        <v>2296</v>
      </c>
      <c r="AF386" s="72" t="str">
        <f t="shared" si="61"/>
        <v>A679077</v>
      </c>
      <c r="AG386" s="72" t="str">
        <f>VLOOKUP(AF386,AKT!$C$4:$E$324,3,FALSE)</f>
        <v>0942</v>
      </c>
    </row>
    <row r="387" spans="1:33">
      <c r="A387" s="82"/>
      <c r="B387" s="77" t="str">
        <f t="shared" si="57"/>
        <v/>
      </c>
      <c r="C387" s="82"/>
      <c r="D387" s="77" t="str">
        <f t="shared" ref="D387:D450" si="62">IFERROR(VLOOKUP(C387,$X$5:$Z$140,2,FALSE),"")</f>
        <v/>
      </c>
      <c r="E387" s="114"/>
      <c r="F387" s="77" t="str">
        <f t="shared" ref="F387:F450" si="63">IFERROR(VLOOKUP(E387,$AD$6:$AE$1101,2,FALSE),"")</f>
        <v/>
      </c>
      <c r="G387" s="77" t="str">
        <f t="shared" si="56"/>
        <v/>
      </c>
      <c r="H387" s="113"/>
      <c r="I387" s="113"/>
      <c r="J387" s="113"/>
      <c r="K387" s="126"/>
      <c r="L387" s="125"/>
      <c r="M387" s="125"/>
      <c r="N387" s="126"/>
      <c r="O387" s="303"/>
      <c r="P387" s="81"/>
      <c r="R387" s="72" t="str">
        <f t="shared" si="58"/>
        <v/>
      </c>
      <c r="S387" s="72" t="str">
        <f t="shared" si="59"/>
        <v/>
      </c>
      <c r="T387" s="72" t="str">
        <f t="shared" si="60"/>
        <v/>
      </c>
      <c r="AD387" s="72" t="s">
        <v>2297</v>
      </c>
      <c r="AE387" s="72" t="s">
        <v>2298</v>
      </c>
      <c r="AF387" s="72" t="str">
        <f t="shared" si="61"/>
        <v>A679077</v>
      </c>
      <c r="AG387" s="72" t="str">
        <f>VLOOKUP(AF387,AKT!$C$4:$E$324,3,FALSE)</f>
        <v>0942</v>
      </c>
    </row>
    <row r="388" spans="1:33">
      <c r="A388" s="82"/>
      <c r="B388" s="77" t="str">
        <f t="shared" si="57"/>
        <v/>
      </c>
      <c r="C388" s="82"/>
      <c r="D388" s="77" t="str">
        <f t="shared" si="62"/>
        <v/>
      </c>
      <c r="E388" s="114"/>
      <c r="F388" s="77" t="str">
        <f t="shared" si="63"/>
        <v/>
      </c>
      <c r="G388" s="77" t="str">
        <f t="shared" ref="G388:G451" si="64">IFERROR(VLOOKUP(E388,$AD$6:$AG$1101,4,FALSE),"")</f>
        <v/>
      </c>
      <c r="H388" s="113"/>
      <c r="I388" s="113"/>
      <c r="J388" s="113"/>
      <c r="K388" s="126"/>
      <c r="L388" s="125"/>
      <c r="M388" s="125"/>
      <c r="N388" s="126"/>
      <c r="O388" s="303"/>
      <c r="P388" s="81"/>
      <c r="R388" s="72" t="str">
        <f t="shared" si="58"/>
        <v/>
      </c>
      <c r="S388" s="72" t="str">
        <f t="shared" si="59"/>
        <v/>
      </c>
      <c r="T388" s="72" t="str">
        <f t="shared" si="60"/>
        <v/>
      </c>
      <c r="AD388" s="72" t="s">
        <v>2299</v>
      </c>
      <c r="AE388" s="72" t="s">
        <v>2300</v>
      </c>
      <c r="AF388" s="72" t="str">
        <f t="shared" si="61"/>
        <v>A679077</v>
      </c>
      <c r="AG388" s="72" t="str">
        <f>VLOOKUP(AF388,AKT!$C$4:$E$324,3,FALSE)</f>
        <v>0942</v>
      </c>
    </row>
    <row r="389" spans="1:33">
      <c r="A389" s="82"/>
      <c r="B389" s="77" t="str">
        <f t="shared" si="57"/>
        <v/>
      </c>
      <c r="C389" s="82"/>
      <c r="D389" s="77" t="str">
        <f t="shared" si="62"/>
        <v/>
      </c>
      <c r="E389" s="114"/>
      <c r="F389" s="77" t="str">
        <f t="shared" si="63"/>
        <v/>
      </c>
      <c r="G389" s="77" t="str">
        <f t="shared" si="64"/>
        <v/>
      </c>
      <c r="H389" s="113"/>
      <c r="I389" s="113"/>
      <c r="J389" s="113"/>
      <c r="K389" s="126"/>
      <c r="L389" s="125"/>
      <c r="M389" s="125"/>
      <c r="N389" s="126"/>
      <c r="O389" s="303"/>
      <c r="P389" s="81"/>
      <c r="R389" s="72" t="str">
        <f t="shared" si="58"/>
        <v/>
      </c>
      <c r="S389" s="72" t="str">
        <f t="shared" si="59"/>
        <v/>
      </c>
      <c r="T389" s="72" t="str">
        <f t="shared" si="60"/>
        <v/>
      </c>
      <c r="AD389" s="72" t="s">
        <v>2301</v>
      </c>
      <c r="AE389" s="72" t="s">
        <v>2302</v>
      </c>
      <c r="AF389" s="72" t="str">
        <f t="shared" si="61"/>
        <v>A679077</v>
      </c>
      <c r="AG389" s="72" t="str">
        <f>VLOOKUP(AF389,AKT!$C$4:$E$324,3,FALSE)</f>
        <v>0942</v>
      </c>
    </row>
    <row r="390" spans="1:33">
      <c r="A390" s="82"/>
      <c r="B390" s="77" t="str">
        <f t="shared" si="57"/>
        <v/>
      </c>
      <c r="C390" s="82"/>
      <c r="D390" s="77" t="str">
        <f t="shared" si="62"/>
        <v/>
      </c>
      <c r="E390" s="114"/>
      <c r="F390" s="77" t="str">
        <f t="shared" si="63"/>
        <v/>
      </c>
      <c r="G390" s="77" t="str">
        <f t="shared" si="64"/>
        <v/>
      </c>
      <c r="H390" s="113"/>
      <c r="I390" s="113"/>
      <c r="J390" s="113"/>
      <c r="K390" s="126"/>
      <c r="L390" s="125"/>
      <c r="M390" s="125"/>
      <c r="N390" s="126"/>
      <c r="O390" s="303"/>
      <c r="P390" s="81"/>
      <c r="R390" s="72" t="str">
        <f t="shared" si="58"/>
        <v/>
      </c>
      <c r="S390" s="72" t="str">
        <f t="shared" si="59"/>
        <v/>
      </c>
      <c r="T390" s="72" t="str">
        <f t="shared" si="60"/>
        <v/>
      </c>
      <c r="AD390" s="72" t="s">
        <v>2303</v>
      </c>
      <c r="AE390" s="72" t="s">
        <v>874</v>
      </c>
      <c r="AF390" s="72" t="str">
        <f t="shared" si="61"/>
        <v>A679077</v>
      </c>
      <c r="AG390" s="72" t="str">
        <f>VLOOKUP(AF390,AKT!$C$4:$E$324,3,FALSE)</f>
        <v>0942</v>
      </c>
    </row>
    <row r="391" spans="1:33">
      <c r="A391" s="82"/>
      <c r="B391" s="77" t="str">
        <f t="shared" si="57"/>
        <v/>
      </c>
      <c r="C391" s="82"/>
      <c r="D391" s="77" t="str">
        <f t="shared" si="62"/>
        <v/>
      </c>
      <c r="E391" s="114"/>
      <c r="F391" s="77" t="str">
        <f t="shared" si="63"/>
        <v/>
      </c>
      <c r="G391" s="77" t="str">
        <f t="shared" si="64"/>
        <v/>
      </c>
      <c r="H391" s="113"/>
      <c r="I391" s="113"/>
      <c r="J391" s="113"/>
      <c r="K391" s="126"/>
      <c r="L391" s="125"/>
      <c r="M391" s="125"/>
      <c r="N391" s="126"/>
      <c r="O391" s="303"/>
      <c r="P391" s="81"/>
      <c r="R391" s="72" t="str">
        <f t="shared" si="58"/>
        <v/>
      </c>
      <c r="S391" s="72" t="str">
        <f t="shared" si="59"/>
        <v/>
      </c>
      <c r="T391" s="72" t="str">
        <f t="shared" si="60"/>
        <v/>
      </c>
      <c r="AD391" s="72" t="s">
        <v>2304</v>
      </c>
      <c r="AE391" s="72" t="s">
        <v>1147</v>
      </c>
      <c r="AF391" s="72" t="str">
        <f t="shared" si="61"/>
        <v>A679077</v>
      </c>
      <c r="AG391" s="72" t="str">
        <f>VLOOKUP(AF391,AKT!$C$4:$E$324,3,FALSE)</f>
        <v>0942</v>
      </c>
    </row>
    <row r="392" spans="1:33">
      <c r="A392" s="82"/>
      <c r="B392" s="77" t="str">
        <f t="shared" si="57"/>
        <v/>
      </c>
      <c r="C392" s="82"/>
      <c r="D392" s="77" t="str">
        <f t="shared" si="62"/>
        <v/>
      </c>
      <c r="E392" s="114"/>
      <c r="F392" s="77" t="str">
        <f t="shared" si="63"/>
        <v/>
      </c>
      <c r="G392" s="77" t="str">
        <f t="shared" si="64"/>
        <v/>
      </c>
      <c r="H392" s="113"/>
      <c r="I392" s="113"/>
      <c r="J392" s="113"/>
      <c r="K392" s="126"/>
      <c r="L392" s="125"/>
      <c r="M392" s="125"/>
      <c r="N392" s="126"/>
      <c r="O392" s="303"/>
      <c r="P392" s="81"/>
      <c r="R392" s="72" t="str">
        <f t="shared" si="58"/>
        <v/>
      </c>
      <c r="S392" s="72" t="str">
        <f t="shared" si="59"/>
        <v/>
      </c>
      <c r="T392" s="72" t="str">
        <f t="shared" si="60"/>
        <v/>
      </c>
      <c r="AD392" s="72" t="s">
        <v>2305</v>
      </c>
      <c r="AE392" s="72" t="s">
        <v>2306</v>
      </c>
      <c r="AF392" s="72" t="str">
        <f t="shared" si="61"/>
        <v>A679077</v>
      </c>
      <c r="AG392" s="72" t="str">
        <f>VLOOKUP(AF392,AKT!$C$4:$E$324,3,FALSE)</f>
        <v>0942</v>
      </c>
    </row>
    <row r="393" spans="1:33">
      <c r="A393" s="82"/>
      <c r="B393" s="77" t="str">
        <f t="shared" si="57"/>
        <v/>
      </c>
      <c r="C393" s="82"/>
      <c r="D393" s="77" t="str">
        <f t="shared" si="62"/>
        <v/>
      </c>
      <c r="E393" s="114"/>
      <c r="F393" s="77" t="str">
        <f t="shared" si="63"/>
        <v/>
      </c>
      <c r="G393" s="77" t="str">
        <f t="shared" si="64"/>
        <v/>
      </c>
      <c r="H393" s="113"/>
      <c r="I393" s="113"/>
      <c r="J393" s="113"/>
      <c r="K393" s="126"/>
      <c r="L393" s="125"/>
      <c r="M393" s="125"/>
      <c r="N393" s="126"/>
      <c r="O393" s="303"/>
      <c r="P393" s="81"/>
      <c r="R393" s="72" t="str">
        <f t="shared" si="58"/>
        <v/>
      </c>
      <c r="S393" s="72" t="str">
        <f t="shared" si="59"/>
        <v/>
      </c>
      <c r="T393" s="72" t="str">
        <f t="shared" si="60"/>
        <v/>
      </c>
      <c r="AD393" s="72" t="s">
        <v>2307</v>
      </c>
      <c r="AE393" s="72" t="s">
        <v>2308</v>
      </c>
      <c r="AF393" s="72" t="str">
        <f t="shared" si="61"/>
        <v>A679077</v>
      </c>
      <c r="AG393" s="72" t="str">
        <f>VLOOKUP(AF393,AKT!$C$4:$E$324,3,FALSE)</f>
        <v>0942</v>
      </c>
    </row>
    <row r="394" spans="1:33">
      <c r="A394" s="82"/>
      <c r="B394" s="77" t="str">
        <f t="shared" si="57"/>
        <v/>
      </c>
      <c r="C394" s="82"/>
      <c r="D394" s="77" t="str">
        <f t="shared" si="62"/>
        <v/>
      </c>
      <c r="E394" s="114"/>
      <c r="F394" s="77" t="str">
        <f t="shared" si="63"/>
        <v/>
      </c>
      <c r="G394" s="77" t="str">
        <f t="shared" si="64"/>
        <v/>
      </c>
      <c r="H394" s="113"/>
      <c r="I394" s="113"/>
      <c r="J394" s="113"/>
      <c r="K394" s="126"/>
      <c r="L394" s="125"/>
      <c r="M394" s="125"/>
      <c r="N394" s="126"/>
      <c r="O394" s="303"/>
      <c r="P394" s="81"/>
      <c r="R394" s="72" t="str">
        <f t="shared" si="58"/>
        <v/>
      </c>
      <c r="S394" s="72" t="str">
        <f t="shared" si="59"/>
        <v/>
      </c>
      <c r="T394" s="72" t="str">
        <f t="shared" si="60"/>
        <v/>
      </c>
      <c r="AD394" s="72" t="s">
        <v>2309</v>
      </c>
      <c r="AE394" s="72" t="s">
        <v>2310</v>
      </c>
      <c r="AF394" s="72" t="str">
        <f t="shared" si="61"/>
        <v>A679077</v>
      </c>
      <c r="AG394" s="72" t="str">
        <f>VLOOKUP(AF394,AKT!$C$4:$E$324,3,FALSE)</f>
        <v>0942</v>
      </c>
    </row>
    <row r="395" spans="1:33">
      <c r="A395" s="82"/>
      <c r="B395" s="77" t="str">
        <f t="shared" si="57"/>
        <v/>
      </c>
      <c r="C395" s="82"/>
      <c r="D395" s="77" t="str">
        <f t="shared" si="62"/>
        <v/>
      </c>
      <c r="E395" s="114"/>
      <c r="F395" s="77" t="str">
        <f t="shared" si="63"/>
        <v/>
      </c>
      <c r="G395" s="77" t="str">
        <f t="shared" si="64"/>
        <v/>
      </c>
      <c r="H395" s="113"/>
      <c r="I395" s="113"/>
      <c r="J395" s="113"/>
      <c r="K395" s="126"/>
      <c r="L395" s="125"/>
      <c r="M395" s="125"/>
      <c r="N395" s="126"/>
      <c r="O395" s="303"/>
      <c r="P395" s="81"/>
      <c r="R395" s="72" t="str">
        <f t="shared" si="58"/>
        <v/>
      </c>
      <c r="S395" s="72" t="str">
        <f t="shared" si="59"/>
        <v/>
      </c>
      <c r="T395" s="72" t="str">
        <f t="shared" si="60"/>
        <v/>
      </c>
      <c r="AD395" s="72" t="s">
        <v>2311</v>
      </c>
      <c r="AE395" s="72" t="s">
        <v>2312</v>
      </c>
      <c r="AF395" s="72" t="str">
        <f t="shared" si="61"/>
        <v>A679077</v>
      </c>
      <c r="AG395" s="72" t="str">
        <f>VLOOKUP(AF395,AKT!$C$4:$E$324,3,FALSE)</f>
        <v>0942</v>
      </c>
    </row>
    <row r="396" spans="1:33">
      <c r="A396" s="82"/>
      <c r="B396" s="77" t="str">
        <f t="shared" ref="B396:B459" si="65">IFERROR(VLOOKUP(A396,$U$6:$V$34,2,FALSE),"")</f>
        <v/>
      </c>
      <c r="C396" s="82"/>
      <c r="D396" s="77" t="str">
        <f t="shared" si="62"/>
        <v/>
      </c>
      <c r="E396" s="114"/>
      <c r="F396" s="77" t="str">
        <f t="shared" si="63"/>
        <v/>
      </c>
      <c r="G396" s="77" t="str">
        <f t="shared" si="64"/>
        <v/>
      </c>
      <c r="H396" s="113"/>
      <c r="I396" s="113"/>
      <c r="J396" s="113"/>
      <c r="K396" s="126"/>
      <c r="L396" s="125"/>
      <c r="M396" s="125"/>
      <c r="N396" s="126"/>
      <c r="O396" s="303"/>
      <c r="P396" s="81"/>
      <c r="R396" s="72" t="str">
        <f t="shared" si="58"/>
        <v/>
      </c>
      <c r="S396" s="72" t="str">
        <f t="shared" si="59"/>
        <v/>
      </c>
      <c r="T396" s="72" t="str">
        <f t="shared" si="60"/>
        <v/>
      </c>
      <c r="AD396" s="72" t="s">
        <v>2313</v>
      </c>
      <c r="AE396" s="72" t="s">
        <v>2314</v>
      </c>
      <c r="AF396" s="72" t="str">
        <f t="shared" si="61"/>
        <v>A679077</v>
      </c>
      <c r="AG396" s="72" t="str">
        <f>VLOOKUP(AF396,AKT!$C$4:$E$324,3,FALSE)</f>
        <v>0942</v>
      </c>
    </row>
    <row r="397" spans="1:33">
      <c r="A397" s="82"/>
      <c r="B397" s="77" t="str">
        <f t="shared" si="65"/>
        <v/>
      </c>
      <c r="C397" s="82"/>
      <c r="D397" s="77" t="str">
        <f t="shared" si="62"/>
        <v/>
      </c>
      <c r="E397" s="114"/>
      <c r="F397" s="77" t="str">
        <f t="shared" si="63"/>
        <v/>
      </c>
      <c r="G397" s="77" t="str">
        <f t="shared" si="64"/>
        <v/>
      </c>
      <c r="H397" s="113"/>
      <c r="I397" s="113"/>
      <c r="J397" s="113"/>
      <c r="K397" s="126"/>
      <c r="L397" s="125"/>
      <c r="M397" s="125"/>
      <c r="N397" s="126"/>
      <c r="O397" s="303"/>
      <c r="P397" s="81"/>
      <c r="R397" s="72" t="str">
        <f t="shared" si="58"/>
        <v/>
      </c>
      <c r="S397" s="72" t="str">
        <f t="shared" si="59"/>
        <v/>
      </c>
      <c r="T397" s="72" t="str">
        <f t="shared" si="60"/>
        <v/>
      </c>
      <c r="AD397" s="72" t="s">
        <v>2315</v>
      </c>
      <c r="AE397" s="72" t="s">
        <v>2316</v>
      </c>
      <c r="AF397" s="72" t="str">
        <f t="shared" si="61"/>
        <v>A679077</v>
      </c>
      <c r="AG397" s="72" t="str">
        <f>VLOOKUP(AF397,AKT!$C$4:$E$324,3,FALSE)</f>
        <v>0942</v>
      </c>
    </row>
    <row r="398" spans="1:33">
      <c r="A398" s="82"/>
      <c r="B398" s="77" t="str">
        <f t="shared" si="65"/>
        <v/>
      </c>
      <c r="C398" s="82"/>
      <c r="D398" s="77" t="str">
        <f t="shared" si="62"/>
        <v/>
      </c>
      <c r="E398" s="114"/>
      <c r="F398" s="77" t="str">
        <f t="shared" si="63"/>
        <v/>
      </c>
      <c r="G398" s="77" t="str">
        <f t="shared" si="64"/>
        <v/>
      </c>
      <c r="H398" s="113"/>
      <c r="I398" s="113"/>
      <c r="J398" s="113"/>
      <c r="K398" s="126"/>
      <c r="L398" s="125"/>
      <c r="M398" s="125"/>
      <c r="N398" s="126"/>
      <c r="O398" s="303"/>
      <c r="P398" s="81"/>
      <c r="R398" s="72" t="str">
        <f t="shared" si="58"/>
        <v/>
      </c>
      <c r="S398" s="72" t="str">
        <f t="shared" si="59"/>
        <v/>
      </c>
      <c r="T398" s="72" t="str">
        <f t="shared" si="60"/>
        <v/>
      </c>
      <c r="AD398" s="72" t="s">
        <v>2317</v>
      </c>
      <c r="AE398" s="72" t="s">
        <v>2318</v>
      </c>
      <c r="AF398" s="72" t="str">
        <f t="shared" si="61"/>
        <v>A679077</v>
      </c>
      <c r="AG398" s="72" t="str">
        <f>VLOOKUP(AF398,AKT!$C$4:$E$324,3,FALSE)</f>
        <v>0942</v>
      </c>
    </row>
    <row r="399" spans="1:33">
      <c r="A399" s="82"/>
      <c r="B399" s="77" t="str">
        <f t="shared" si="65"/>
        <v/>
      </c>
      <c r="C399" s="82"/>
      <c r="D399" s="77" t="str">
        <f t="shared" si="62"/>
        <v/>
      </c>
      <c r="E399" s="114"/>
      <c r="F399" s="77" t="str">
        <f t="shared" si="63"/>
        <v/>
      </c>
      <c r="G399" s="77" t="str">
        <f t="shared" si="64"/>
        <v/>
      </c>
      <c r="H399" s="113"/>
      <c r="I399" s="113"/>
      <c r="J399" s="113"/>
      <c r="K399" s="126"/>
      <c r="L399" s="125"/>
      <c r="M399" s="125"/>
      <c r="N399" s="126"/>
      <c r="O399" s="303"/>
      <c r="P399" s="81"/>
      <c r="R399" s="72" t="str">
        <f t="shared" ref="R399:R462" si="66">LEFT(C399,3)</f>
        <v/>
      </c>
      <c r="S399" s="72" t="str">
        <f t="shared" ref="S399:S462" si="67">LEFT(C399,2)</f>
        <v/>
      </c>
      <c r="T399" s="72" t="str">
        <f t="shared" ref="T399:T462" si="68">MID(G399,2,2)</f>
        <v/>
      </c>
      <c r="AD399" s="72" t="s">
        <v>2319</v>
      </c>
      <c r="AE399" s="72" t="s">
        <v>2320</v>
      </c>
      <c r="AF399" s="72" t="str">
        <f t="shared" si="61"/>
        <v>A679077</v>
      </c>
      <c r="AG399" s="72" t="str">
        <f>VLOOKUP(AF399,AKT!$C$4:$E$324,3,FALSE)</f>
        <v>0942</v>
      </c>
    </row>
    <row r="400" spans="1:33">
      <c r="A400" s="82"/>
      <c r="B400" s="77" t="str">
        <f t="shared" si="65"/>
        <v/>
      </c>
      <c r="C400" s="82"/>
      <c r="D400" s="77" t="str">
        <f t="shared" si="62"/>
        <v/>
      </c>
      <c r="E400" s="114"/>
      <c r="F400" s="77" t="str">
        <f t="shared" si="63"/>
        <v/>
      </c>
      <c r="G400" s="77" t="str">
        <f t="shared" si="64"/>
        <v/>
      </c>
      <c r="H400" s="113"/>
      <c r="I400" s="113"/>
      <c r="J400" s="113"/>
      <c r="K400" s="126"/>
      <c r="L400" s="125"/>
      <c r="M400" s="125"/>
      <c r="N400" s="126"/>
      <c r="O400" s="303"/>
      <c r="P400" s="81"/>
      <c r="R400" s="72" t="str">
        <f t="shared" si="66"/>
        <v/>
      </c>
      <c r="S400" s="72" t="str">
        <f t="shared" si="67"/>
        <v/>
      </c>
      <c r="T400" s="72" t="str">
        <f t="shared" si="68"/>
        <v/>
      </c>
      <c r="AD400" s="72" t="s">
        <v>2321</v>
      </c>
      <c r="AE400" s="72" t="s">
        <v>2322</v>
      </c>
      <c r="AF400" s="72" t="str">
        <f t="shared" si="61"/>
        <v>A679077</v>
      </c>
      <c r="AG400" s="72" t="str">
        <f>VLOOKUP(AF400,AKT!$C$4:$E$324,3,FALSE)</f>
        <v>0942</v>
      </c>
    </row>
    <row r="401" spans="1:33">
      <c r="A401" s="82"/>
      <c r="B401" s="77" t="str">
        <f t="shared" si="65"/>
        <v/>
      </c>
      <c r="C401" s="82"/>
      <c r="D401" s="77" t="str">
        <f t="shared" si="62"/>
        <v/>
      </c>
      <c r="E401" s="114"/>
      <c r="F401" s="77" t="str">
        <f t="shared" si="63"/>
        <v/>
      </c>
      <c r="G401" s="77" t="str">
        <f t="shared" si="64"/>
        <v/>
      </c>
      <c r="H401" s="113"/>
      <c r="I401" s="113"/>
      <c r="J401" s="113"/>
      <c r="K401" s="126"/>
      <c r="L401" s="125"/>
      <c r="M401" s="125"/>
      <c r="N401" s="126"/>
      <c r="O401" s="303"/>
      <c r="P401" s="81"/>
      <c r="R401" s="72" t="str">
        <f t="shared" si="66"/>
        <v/>
      </c>
      <c r="S401" s="72" t="str">
        <f t="shared" si="67"/>
        <v/>
      </c>
      <c r="T401" s="72" t="str">
        <f t="shared" si="68"/>
        <v/>
      </c>
      <c r="AD401" s="72" t="s">
        <v>2323</v>
      </c>
      <c r="AE401" s="72" t="s">
        <v>2324</v>
      </c>
      <c r="AF401" s="72" t="str">
        <f t="shared" si="61"/>
        <v>A679077</v>
      </c>
      <c r="AG401" s="72" t="str">
        <f>VLOOKUP(AF401,AKT!$C$4:$E$324,3,FALSE)</f>
        <v>0942</v>
      </c>
    </row>
    <row r="402" spans="1:33">
      <c r="A402" s="82"/>
      <c r="B402" s="77" t="str">
        <f t="shared" si="65"/>
        <v/>
      </c>
      <c r="C402" s="82"/>
      <c r="D402" s="77" t="str">
        <f t="shared" si="62"/>
        <v/>
      </c>
      <c r="E402" s="114"/>
      <c r="F402" s="77" t="str">
        <f t="shared" si="63"/>
        <v/>
      </c>
      <c r="G402" s="77" t="str">
        <f t="shared" si="64"/>
        <v/>
      </c>
      <c r="H402" s="113"/>
      <c r="I402" s="113"/>
      <c r="J402" s="113"/>
      <c r="K402" s="126"/>
      <c r="L402" s="125"/>
      <c r="M402" s="125"/>
      <c r="N402" s="126"/>
      <c r="O402" s="303"/>
      <c r="P402" s="81"/>
      <c r="R402" s="72" t="str">
        <f t="shared" si="66"/>
        <v/>
      </c>
      <c r="S402" s="72" t="str">
        <f t="shared" si="67"/>
        <v/>
      </c>
      <c r="T402" s="72" t="str">
        <f t="shared" si="68"/>
        <v/>
      </c>
      <c r="AD402" s="72" t="s">
        <v>3138</v>
      </c>
      <c r="AE402" s="72" t="s">
        <v>3139</v>
      </c>
      <c r="AF402" s="72" t="str">
        <f t="shared" si="61"/>
        <v>A679077</v>
      </c>
      <c r="AG402" s="72" t="str">
        <f>VLOOKUP(AF402,AKT!$C$4:$E$324,3,FALSE)</f>
        <v>0942</v>
      </c>
    </row>
    <row r="403" spans="1:33">
      <c r="A403" s="82"/>
      <c r="B403" s="77" t="str">
        <f t="shared" si="65"/>
        <v/>
      </c>
      <c r="C403" s="82"/>
      <c r="D403" s="77" t="str">
        <f t="shared" si="62"/>
        <v/>
      </c>
      <c r="E403" s="114"/>
      <c r="F403" s="77" t="str">
        <f t="shared" si="63"/>
        <v/>
      </c>
      <c r="G403" s="77" t="str">
        <f t="shared" si="64"/>
        <v/>
      </c>
      <c r="H403" s="113"/>
      <c r="I403" s="113"/>
      <c r="J403" s="113"/>
      <c r="K403" s="126"/>
      <c r="L403" s="125"/>
      <c r="M403" s="125"/>
      <c r="N403" s="126"/>
      <c r="O403" s="303"/>
      <c r="P403" s="81"/>
      <c r="R403" s="72" t="str">
        <f t="shared" si="66"/>
        <v/>
      </c>
      <c r="S403" s="72" t="str">
        <f t="shared" si="67"/>
        <v/>
      </c>
      <c r="T403" s="72" t="str">
        <f t="shared" si="68"/>
        <v/>
      </c>
      <c r="AD403" s="72" t="s">
        <v>3140</v>
      </c>
      <c r="AE403" s="72" t="s">
        <v>3141</v>
      </c>
      <c r="AF403" s="72" t="str">
        <f t="shared" ref="AF403:AF466" si="69">LEFT(AD403,7)</f>
        <v>A679077</v>
      </c>
      <c r="AG403" s="72" t="str">
        <f>VLOOKUP(AF403,AKT!$C$4:$E$324,3,FALSE)</f>
        <v>0942</v>
      </c>
    </row>
    <row r="404" spans="1:33">
      <c r="A404" s="82"/>
      <c r="B404" s="77" t="str">
        <f t="shared" si="65"/>
        <v/>
      </c>
      <c r="C404" s="82"/>
      <c r="D404" s="77" t="str">
        <f t="shared" si="62"/>
        <v/>
      </c>
      <c r="E404" s="114"/>
      <c r="F404" s="77" t="str">
        <f t="shared" si="63"/>
        <v/>
      </c>
      <c r="G404" s="77" t="str">
        <f t="shared" si="64"/>
        <v/>
      </c>
      <c r="H404" s="113"/>
      <c r="I404" s="113"/>
      <c r="J404" s="113"/>
      <c r="K404" s="126"/>
      <c r="L404" s="125"/>
      <c r="M404" s="125"/>
      <c r="N404" s="126"/>
      <c r="O404" s="303"/>
      <c r="P404" s="81"/>
      <c r="R404" s="72" t="str">
        <f t="shared" si="66"/>
        <v/>
      </c>
      <c r="S404" s="72" t="str">
        <f t="shared" si="67"/>
        <v/>
      </c>
      <c r="T404" s="72" t="str">
        <f t="shared" si="68"/>
        <v/>
      </c>
      <c r="AD404" s="72" t="s">
        <v>3142</v>
      </c>
      <c r="AE404" s="72" t="s">
        <v>3143</v>
      </c>
      <c r="AF404" s="72" t="str">
        <f t="shared" si="69"/>
        <v>A679077</v>
      </c>
      <c r="AG404" s="72" t="str">
        <f>VLOOKUP(AF404,AKT!$C$4:$E$324,3,FALSE)</f>
        <v>0942</v>
      </c>
    </row>
    <row r="405" spans="1:33">
      <c r="A405" s="82"/>
      <c r="B405" s="77" t="str">
        <f t="shared" si="65"/>
        <v/>
      </c>
      <c r="C405" s="82"/>
      <c r="D405" s="77" t="str">
        <f t="shared" si="62"/>
        <v/>
      </c>
      <c r="E405" s="114"/>
      <c r="F405" s="77" t="str">
        <f t="shared" si="63"/>
        <v/>
      </c>
      <c r="G405" s="77" t="str">
        <f t="shared" si="64"/>
        <v/>
      </c>
      <c r="H405" s="113"/>
      <c r="I405" s="113"/>
      <c r="J405" s="113"/>
      <c r="K405" s="126"/>
      <c r="L405" s="125"/>
      <c r="M405" s="125"/>
      <c r="N405" s="126"/>
      <c r="O405" s="303"/>
      <c r="P405" s="81"/>
      <c r="R405" s="72" t="str">
        <f t="shared" si="66"/>
        <v/>
      </c>
      <c r="S405" s="72" t="str">
        <f t="shared" si="67"/>
        <v/>
      </c>
      <c r="T405" s="72" t="str">
        <f t="shared" si="68"/>
        <v/>
      </c>
      <c r="AD405" s="72" t="s">
        <v>3144</v>
      </c>
      <c r="AE405" s="72" t="s">
        <v>3145</v>
      </c>
      <c r="AF405" s="72" t="str">
        <f t="shared" si="69"/>
        <v>A679077</v>
      </c>
      <c r="AG405" s="72" t="str">
        <f>VLOOKUP(AF405,AKT!$C$4:$E$324,3,FALSE)</f>
        <v>0942</v>
      </c>
    </row>
    <row r="406" spans="1:33">
      <c r="A406" s="82"/>
      <c r="B406" s="77" t="str">
        <f t="shared" si="65"/>
        <v/>
      </c>
      <c r="C406" s="82"/>
      <c r="D406" s="77" t="str">
        <f t="shared" si="62"/>
        <v/>
      </c>
      <c r="E406" s="114"/>
      <c r="F406" s="77" t="str">
        <f t="shared" si="63"/>
        <v/>
      </c>
      <c r="G406" s="77" t="str">
        <f t="shared" si="64"/>
        <v/>
      </c>
      <c r="H406" s="113"/>
      <c r="I406" s="113"/>
      <c r="J406" s="113"/>
      <c r="K406" s="126"/>
      <c r="L406" s="125"/>
      <c r="M406" s="125"/>
      <c r="N406" s="126"/>
      <c r="O406" s="303"/>
      <c r="P406" s="81"/>
      <c r="R406" s="72" t="str">
        <f t="shared" si="66"/>
        <v/>
      </c>
      <c r="S406" s="72" t="str">
        <f t="shared" si="67"/>
        <v/>
      </c>
      <c r="T406" s="72" t="str">
        <f t="shared" si="68"/>
        <v/>
      </c>
      <c r="AD406" s="72" t="s">
        <v>3146</v>
      </c>
      <c r="AE406" s="72" t="s">
        <v>3147</v>
      </c>
      <c r="AF406" s="72" t="str">
        <f t="shared" si="69"/>
        <v>A679077</v>
      </c>
      <c r="AG406" s="72" t="str">
        <f>VLOOKUP(AF406,AKT!$C$4:$E$324,3,FALSE)</f>
        <v>0942</v>
      </c>
    </row>
    <row r="407" spans="1:33">
      <c r="A407" s="82"/>
      <c r="B407" s="77" t="str">
        <f t="shared" si="65"/>
        <v/>
      </c>
      <c r="C407" s="82"/>
      <c r="D407" s="77" t="str">
        <f t="shared" si="62"/>
        <v/>
      </c>
      <c r="E407" s="114"/>
      <c r="F407" s="77" t="str">
        <f t="shared" si="63"/>
        <v/>
      </c>
      <c r="G407" s="77" t="str">
        <f t="shared" si="64"/>
        <v/>
      </c>
      <c r="H407" s="113"/>
      <c r="I407" s="113"/>
      <c r="J407" s="113"/>
      <c r="K407" s="126"/>
      <c r="L407" s="125"/>
      <c r="M407" s="125"/>
      <c r="N407" s="126"/>
      <c r="O407" s="303"/>
      <c r="P407" s="81"/>
      <c r="R407" s="72" t="str">
        <f t="shared" si="66"/>
        <v/>
      </c>
      <c r="S407" s="72" t="str">
        <f t="shared" si="67"/>
        <v/>
      </c>
      <c r="T407" s="72" t="str">
        <f t="shared" si="68"/>
        <v/>
      </c>
      <c r="AD407" s="72" t="s">
        <v>3148</v>
      </c>
      <c r="AE407" s="72" t="s">
        <v>3149</v>
      </c>
      <c r="AF407" s="72" t="str">
        <f t="shared" si="69"/>
        <v>A679077</v>
      </c>
      <c r="AG407" s="72" t="str">
        <f>VLOOKUP(AF407,AKT!$C$4:$E$324,3,FALSE)</f>
        <v>0942</v>
      </c>
    </row>
    <row r="408" spans="1:33">
      <c r="A408" s="82"/>
      <c r="B408" s="77" t="str">
        <f t="shared" si="65"/>
        <v/>
      </c>
      <c r="C408" s="82"/>
      <c r="D408" s="77" t="str">
        <f t="shared" si="62"/>
        <v/>
      </c>
      <c r="E408" s="114"/>
      <c r="F408" s="77" t="str">
        <f t="shared" si="63"/>
        <v/>
      </c>
      <c r="G408" s="77" t="str">
        <f t="shared" si="64"/>
        <v/>
      </c>
      <c r="H408" s="113"/>
      <c r="I408" s="113"/>
      <c r="J408" s="113"/>
      <c r="K408" s="126"/>
      <c r="L408" s="125"/>
      <c r="M408" s="125"/>
      <c r="N408" s="126"/>
      <c r="O408" s="303"/>
      <c r="P408" s="81"/>
      <c r="R408" s="72" t="str">
        <f t="shared" si="66"/>
        <v/>
      </c>
      <c r="S408" s="72" t="str">
        <f t="shared" si="67"/>
        <v/>
      </c>
      <c r="T408" s="72" t="str">
        <f t="shared" si="68"/>
        <v/>
      </c>
      <c r="AD408" s="72" t="s">
        <v>3150</v>
      </c>
      <c r="AE408" s="72" t="s">
        <v>3151</v>
      </c>
      <c r="AF408" s="72" t="str">
        <f t="shared" si="69"/>
        <v>A679077</v>
      </c>
      <c r="AG408" s="72" t="str">
        <f>VLOOKUP(AF408,AKT!$C$4:$E$324,3,FALSE)</f>
        <v>0942</v>
      </c>
    </row>
    <row r="409" spans="1:33">
      <c r="A409" s="82"/>
      <c r="B409" s="77" t="str">
        <f t="shared" si="65"/>
        <v/>
      </c>
      <c r="C409" s="82"/>
      <c r="D409" s="77" t="str">
        <f t="shared" si="62"/>
        <v/>
      </c>
      <c r="E409" s="114"/>
      <c r="F409" s="77" t="str">
        <f t="shared" si="63"/>
        <v/>
      </c>
      <c r="G409" s="77" t="str">
        <f t="shared" si="64"/>
        <v/>
      </c>
      <c r="H409" s="113"/>
      <c r="I409" s="113"/>
      <c r="J409" s="113"/>
      <c r="K409" s="126"/>
      <c r="L409" s="125"/>
      <c r="M409" s="125"/>
      <c r="N409" s="126"/>
      <c r="O409" s="303"/>
      <c r="P409" s="81"/>
      <c r="R409" s="72" t="str">
        <f t="shared" si="66"/>
        <v/>
      </c>
      <c r="S409" s="72" t="str">
        <f t="shared" si="67"/>
        <v/>
      </c>
      <c r="T409" s="72" t="str">
        <f t="shared" si="68"/>
        <v/>
      </c>
      <c r="AD409" s="72" t="s">
        <v>3152</v>
      </c>
      <c r="AE409" s="72" t="s">
        <v>3153</v>
      </c>
      <c r="AF409" s="72" t="str">
        <f t="shared" si="69"/>
        <v>A679077</v>
      </c>
      <c r="AG409" s="72" t="str">
        <f>VLOOKUP(AF409,AKT!$C$4:$E$324,3,FALSE)</f>
        <v>0942</v>
      </c>
    </row>
    <row r="410" spans="1:33">
      <c r="A410" s="82"/>
      <c r="B410" s="77" t="str">
        <f t="shared" si="65"/>
        <v/>
      </c>
      <c r="C410" s="82"/>
      <c r="D410" s="77" t="str">
        <f t="shared" si="62"/>
        <v/>
      </c>
      <c r="E410" s="114"/>
      <c r="F410" s="77" t="str">
        <f t="shared" si="63"/>
        <v/>
      </c>
      <c r="G410" s="77" t="str">
        <f t="shared" si="64"/>
        <v/>
      </c>
      <c r="H410" s="113"/>
      <c r="I410" s="113"/>
      <c r="J410" s="113"/>
      <c r="K410" s="126"/>
      <c r="L410" s="125"/>
      <c r="M410" s="125"/>
      <c r="N410" s="126"/>
      <c r="O410" s="303"/>
      <c r="P410" s="81"/>
      <c r="R410" s="72" t="str">
        <f t="shared" si="66"/>
        <v/>
      </c>
      <c r="S410" s="72" t="str">
        <f t="shared" si="67"/>
        <v/>
      </c>
      <c r="T410" s="72" t="str">
        <f t="shared" si="68"/>
        <v/>
      </c>
      <c r="AD410" s="72" t="s">
        <v>3154</v>
      </c>
      <c r="AE410" s="72" t="s">
        <v>3155</v>
      </c>
      <c r="AF410" s="72" t="str">
        <f t="shared" si="69"/>
        <v>A679077</v>
      </c>
      <c r="AG410" s="72" t="str">
        <f>VLOOKUP(AF410,AKT!$C$4:$E$324,3,FALSE)</f>
        <v>0942</v>
      </c>
    </row>
    <row r="411" spans="1:33">
      <c r="A411" s="82"/>
      <c r="B411" s="77" t="str">
        <f t="shared" si="65"/>
        <v/>
      </c>
      <c r="C411" s="82"/>
      <c r="D411" s="77" t="str">
        <f t="shared" si="62"/>
        <v/>
      </c>
      <c r="E411" s="114"/>
      <c r="F411" s="77" t="str">
        <f t="shared" si="63"/>
        <v/>
      </c>
      <c r="G411" s="77" t="str">
        <f t="shared" si="64"/>
        <v/>
      </c>
      <c r="H411" s="113"/>
      <c r="I411" s="113"/>
      <c r="J411" s="113"/>
      <c r="K411" s="126"/>
      <c r="L411" s="125"/>
      <c r="M411" s="125"/>
      <c r="N411" s="126"/>
      <c r="O411" s="303"/>
      <c r="P411" s="81"/>
      <c r="R411" s="72" t="str">
        <f t="shared" si="66"/>
        <v/>
      </c>
      <c r="S411" s="72" t="str">
        <f t="shared" si="67"/>
        <v/>
      </c>
      <c r="T411" s="72" t="str">
        <f t="shared" si="68"/>
        <v/>
      </c>
      <c r="AD411" s="72" t="s">
        <v>3156</v>
      </c>
      <c r="AE411" s="72" t="s">
        <v>3157</v>
      </c>
      <c r="AF411" s="72" t="str">
        <f t="shared" si="69"/>
        <v>A679077</v>
      </c>
      <c r="AG411" s="72" t="str">
        <f>VLOOKUP(AF411,AKT!$C$4:$E$324,3,FALSE)</f>
        <v>0942</v>
      </c>
    </row>
    <row r="412" spans="1:33">
      <c r="A412" s="82"/>
      <c r="B412" s="77" t="str">
        <f t="shared" si="65"/>
        <v/>
      </c>
      <c r="C412" s="82"/>
      <c r="D412" s="77" t="str">
        <f t="shared" si="62"/>
        <v/>
      </c>
      <c r="E412" s="114"/>
      <c r="F412" s="77" t="str">
        <f t="shared" si="63"/>
        <v/>
      </c>
      <c r="G412" s="77" t="str">
        <f t="shared" si="64"/>
        <v/>
      </c>
      <c r="H412" s="113"/>
      <c r="I412" s="113"/>
      <c r="J412" s="113"/>
      <c r="K412" s="126"/>
      <c r="L412" s="125"/>
      <c r="M412" s="125"/>
      <c r="N412" s="126"/>
      <c r="O412" s="303"/>
      <c r="P412" s="81"/>
      <c r="R412" s="72" t="str">
        <f t="shared" si="66"/>
        <v/>
      </c>
      <c r="S412" s="72" t="str">
        <f t="shared" si="67"/>
        <v/>
      </c>
      <c r="T412" s="72" t="str">
        <f t="shared" si="68"/>
        <v/>
      </c>
      <c r="AD412" s="72" t="s">
        <v>3158</v>
      </c>
      <c r="AE412" s="72" t="s">
        <v>3159</v>
      </c>
      <c r="AF412" s="72" t="str">
        <f t="shared" si="69"/>
        <v>A679077</v>
      </c>
      <c r="AG412" s="72" t="str">
        <f>VLOOKUP(AF412,AKT!$C$4:$E$324,3,FALSE)</f>
        <v>0942</v>
      </c>
    </row>
    <row r="413" spans="1:33">
      <c r="A413" s="82"/>
      <c r="B413" s="77" t="str">
        <f t="shared" si="65"/>
        <v/>
      </c>
      <c r="C413" s="82"/>
      <c r="D413" s="77" t="str">
        <f t="shared" si="62"/>
        <v/>
      </c>
      <c r="E413" s="114"/>
      <c r="F413" s="77" t="str">
        <f t="shared" si="63"/>
        <v/>
      </c>
      <c r="G413" s="77" t="str">
        <f t="shared" si="64"/>
        <v/>
      </c>
      <c r="H413" s="113"/>
      <c r="I413" s="113"/>
      <c r="J413" s="113"/>
      <c r="K413" s="126"/>
      <c r="L413" s="125"/>
      <c r="M413" s="125"/>
      <c r="N413" s="126"/>
      <c r="O413" s="303"/>
      <c r="P413" s="81"/>
      <c r="R413" s="72" t="str">
        <f t="shared" si="66"/>
        <v/>
      </c>
      <c r="S413" s="72" t="str">
        <f t="shared" si="67"/>
        <v/>
      </c>
      <c r="T413" s="72" t="str">
        <f t="shared" si="68"/>
        <v/>
      </c>
      <c r="AD413" s="72" t="s">
        <v>3160</v>
      </c>
      <c r="AE413" s="72" t="s">
        <v>3161</v>
      </c>
      <c r="AF413" s="72" t="str">
        <f t="shared" si="69"/>
        <v>A679077</v>
      </c>
      <c r="AG413" s="72" t="str">
        <f>VLOOKUP(AF413,AKT!$C$4:$E$324,3,FALSE)</f>
        <v>0942</v>
      </c>
    </row>
    <row r="414" spans="1:33">
      <c r="A414" s="82"/>
      <c r="B414" s="77" t="str">
        <f t="shared" si="65"/>
        <v/>
      </c>
      <c r="C414" s="82"/>
      <c r="D414" s="77" t="str">
        <f t="shared" si="62"/>
        <v/>
      </c>
      <c r="E414" s="114"/>
      <c r="F414" s="77" t="str">
        <f t="shared" si="63"/>
        <v/>
      </c>
      <c r="G414" s="77" t="str">
        <f t="shared" si="64"/>
        <v/>
      </c>
      <c r="H414" s="113"/>
      <c r="I414" s="113"/>
      <c r="J414" s="113"/>
      <c r="K414" s="126"/>
      <c r="L414" s="125"/>
      <c r="M414" s="125"/>
      <c r="N414" s="126"/>
      <c r="O414" s="303"/>
      <c r="P414" s="81"/>
      <c r="R414" s="72" t="str">
        <f t="shared" si="66"/>
        <v/>
      </c>
      <c r="S414" s="72" t="str">
        <f t="shared" si="67"/>
        <v/>
      </c>
      <c r="T414" s="72" t="str">
        <f t="shared" si="68"/>
        <v/>
      </c>
      <c r="AD414" s="72" t="s">
        <v>3162</v>
      </c>
      <c r="AE414" s="72" t="s">
        <v>3163</v>
      </c>
      <c r="AF414" s="72" t="str">
        <f t="shared" si="69"/>
        <v>A679077</v>
      </c>
      <c r="AG414" s="72" t="str">
        <f>VLOOKUP(AF414,AKT!$C$4:$E$324,3,FALSE)</f>
        <v>0942</v>
      </c>
    </row>
    <row r="415" spans="1:33">
      <c r="A415" s="82"/>
      <c r="B415" s="77" t="str">
        <f t="shared" si="65"/>
        <v/>
      </c>
      <c r="C415" s="82"/>
      <c r="D415" s="77" t="str">
        <f t="shared" si="62"/>
        <v/>
      </c>
      <c r="E415" s="114"/>
      <c r="F415" s="77" t="str">
        <f t="shared" si="63"/>
        <v/>
      </c>
      <c r="G415" s="77" t="str">
        <f t="shared" si="64"/>
        <v/>
      </c>
      <c r="H415" s="113"/>
      <c r="I415" s="113"/>
      <c r="J415" s="113"/>
      <c r="K415" s="126"/>
      <c r="L415" s="125"/>
      <c r="M415" s="125"/>
      <c r="N415" s="126"/>
      <c r="O415" s="303"/>
      <c r="P415" s="81"/>
      <c r="R415" s="72" t="str">
        <f t="shared" si="66"/>
        <v/>
      </c>
      <c r="S415" s="72" t="str">
        <f t="shared" si="67"/>
        <v/>
      </c>
      <c r="T415" s="72" t="str">
        <f t="shared" si="68"/>
        <v/>
      </c>
      <c r="AD415" s="72" t="s">
        <v>3164</v>
      </c>
      <c r="AE415" s="72" t="s">
        <v>3165</v>
      </c>
      <c r="AF415" s="72" t="str">
        <f t="shared" si="69"/>
        <v>A679077</v>
      </c>
      <c r="AG415" s="72" t="str">
        <f>VLOOKUP(AF415,AKT!$C$4:$E$324,3,FALSE)</f>
        <v>0942</v>
      </c>
    </row>
    <row r="416" spans="1:33">
      <c r="A416" s="82"/>
      <c r="B416" s="77" t="str">
        <f t="shared" si="65"/>
        <v/>
      </c>
      <c r="C416" s="82"/>
      <c r="D416" s="77" t="str">
        <f t="shared" si="62"/>
        <v/>
      </c>
      <c r="E416" s="114"/>
      <c r="F416" s="77" t="str">
        <f t="shared" si="63"/>
        <v/>
      </c>
      <c r="G416" s="77" t="str">
        <f t="shared" si="64"/>
        <v/>
      </c>
      <c r="H416" s="113"/>
      <c r="I416" s="113"/>
      <c r="J416" s="113"/>
      <c r="K416" s="126"/>
      <c r="L416" s="125"/>
      <c r="M416" s="125"/>
      <c r="N416" s="126"/>
      <c r="O416" s="303"/>
      <c r="P416" s="81"/>
      <c r="R416" s="72" t="str">
        <f t="shared" si="66"/>
        <v/>
      </c>
      <c r="S416" s="72" t="str">
        <f t="shared" si="67"/>
        <v/>
      </c>
      <c r="T416" s="72" t="str">
        <f t="shared" si="68"/>
        <v/>
      </c>
      <c r="AD416" s="72" t="s">
        <v>3166</v>
      </c>
      <c r="AE416" s="72" t="s">
        <v>3167</v>
      </c>
      <c r="AF416" s="72" t="str">
        <f t="shared" si="69"/>
        <v>A679077</v>
      </c>
      <c r="AG416" s="72" t="str">
        <f>VLOOKUP(AF416,AKT!$C$4:$E$324,3,FALSE)</f>
        <v>0942</v>
      </c>
    </row>
    <row r="417" spans="1:33">
      <c r="A417" s="82"/>
      <c r="B417" s="77" t="str">
        <f t="shared" si="65"/>
        <v/>
      </c>
      <c r="C417" s="82"/>
      <c r="D417" s="77" t="str">
        <f t="shared" si="62"/>
        <v/>
      </c>
      <c r="E417" s="114"/>
      <c r="F417" s="77" t="str">
        <f t="shared" si="63"/>
        <v/>
      </c>
      <c r="G417" s="77" t="str">
        <f t="shared" si="64"/>
        <v/>
      </c>
      <c r="H417" s="113"/>
      <c r="I417" s="113"/>
      <c r="J417" s="113"/>
      <c r="K417" s="126"/>
      <c r="L417" s="125"/>
      <c r="M417" s="125"/>
      <c r="N417" s="126"/>
      <c r="O417" s="303"/>
      <c r="P417" s="81"/>
      <c r="R417" s="72" t="str">
        <f t="shared" si="66"/>
        <v/>
      </c>
      <c r="S417" s="72" t="str">
        <f t="shared" si="67"/>
        <v/>
      </c>
      <c r="T417" s="72" t="str">
        <f t="shared" si="68"/>
        <v/>
      </c>
      <c r="AD417" s="72" t="s">
        <v>3168</v>
      </c>
      <c r="AE417" s="72" t="s">
        <v>3169</v>
      </c>
      <c r="AF417" s="72" t="str">
        <f t="shared" si="69"/>
        <v>A679077</v>
      </c>
      <c r="AG417" s="72" t="str">
        <f>VLOOKUP(AF417,AKT!$C$4:$E$324,3,FALSE)</f>
        <v>0942</v>
      </c>
    </row>
    <row r="418" spans="1:33">
      <c r="A418" s="82"/>
      <c r="B418" s="77" t="str">
        <f t="shared" si="65"/>
        <v/>
      </c>
      <c r="C418" s="82"/>
      <c r="D418" s="77" t="str">
        <f t="shared" si="62"/>
        <v/>
      </c>
      <c r="E418" s="114"/>
      <c r="F418" s="77" t="str">
        <f t="shared" si="63"/>
        <v/>
      </c>
      <c r="G418" s="77" t="str">
        <f t="shared" si="64"/>
        <v/>
      </c>
      <c r="H418" s="113"/>
      <c r="I418" s="113"/>
      <c r="J418" s="113"/>
      <c r="K418" s="126"/>
      <c r="L418" s="125"/>
      <c r="M418" s="125"/>
      <c r="N418" s="126"/>
      <c r="O418" s="303"/>
      <c r="P418" s="81"/>
      <c r="R418" s="72" t="str">
        <f t="shared" si="66"/>
        <v/>
      </c>
      <c r="S418" s="72" t="str">
        <f t="shared" si="67"/>
        <v/>
      </c>
      <c r="T418" s="72" t="str">
        <f t="shared" si="68"/>
        <v/>
      </c>
      <c r="AD418" s="72" t="s">
        <v>3170</v>
      </c>
      <c r="AE418" s="72" t="s">
        <v>3171</v>
      </c>
      <c r="AF418" s="72" t="str">
        <f t="shared" si="69"/>
        <v>A679077</v>
      </c>
      <c r="AG418" s="72" t="str">
        <f>VLOOKUP(AF418,AKT!$C$4:$E$324,3,FALSE)</f>
        <v>0942</v>
      </c>
    </row>
    <row r="419" spans="1:33">
      <c r="A419" s="82"/>
      <c r="B419" s="77" t="str">
        <f t="shared" si="65"/>
        <v/>
      </c>
      <c r="C419" s="82"/>
      <c r="D419" s="77" t="str">
        <f t="shared" si="62"/>
        <v/>
      </c>
      <c r="E419" s="114"/>
      <c r="F419" s="77" t="str">
        <f t="shared" si="63"/>
        <v/>
      </c>
      <c r="G419" s="77" t="str">
        <f t="shared" si="64"/>
        <v/>
      </c>
      <c r="H419" s="113"/>
      <c r="I419" s="113"/>
      <c r="J419" s="113"/>
      <c r="K419" s="126"/>
      <c r="L419" s="125"/>
      <c r="M419" s="125"/>
      <c r="N419" s="126"/>
      <c r="O419" s="303"/>
      <c r="P419" s="81"/>
      <c r="R419" s="72" t="str">
        <f t="shared" si="66"/>
        <v/>
      </c>
      <c r="S419" s="72" t="str">
        <f t="shared" si="67"/>
        <v/>
      </c>
      <c r="T419" s="72" t="str">
        <f t="shared" si="68"/>
        <v/>
      </c>
      <c r="AD419" s="72" t="s">
        <v>3172</v>
      </c>
      <c r="AE419" s="72" t="s">
        <v>3173</v>
      </c>
      <c r="AF419" s="72" t="str">
        <f t="shared" si="69"/>
        <v>A679077</v>
      </c>
      <c r="AG419" s="72" t="str">
        <f>VLOOKUP(AF419,AKT!$C$4:$E$324,3,FALSE)</f>
        <v>0942</v>
      </c>
    </row>
    <row r="420" spans="1:33">
      <c r="A420" s="82"/>
      <c r="B420" s="77" t="str">
        <f t="shared" si="65"/>
        <v/>
      </c>
      <c r="C420" s="82"/>
      <c r="D420" s="77" t="str">
        <f t="shared" si="62"/>
        <v/>
      </c>
      <c r="E420" s="114"/>
      <c r="F420" s="77" t="str">
        <f t="shared" si="63"/>
        <v/>
      </c>
      <c r="G420" s="77" t="str">
        <f t="shared" si="64"/>
        <v/>
      </c>
      <c r="H420" s="113"/>
      <c r="I420" s="113"/>
      <c r="J420" s="113"/>
      <c r="K420" s="126"/>
      <c r="L420" s="125"/>
      <c r="M420" s="125"/>
      <c r="N420" s="126"/>
      <c r="O420" s="303"/>
      <c r="P420" s="81"/>
      <c r="R420" s="72" t="str">
        <f t="shared" si="66"/>
        <v/>
      </c>
      <c r="S420" s="72" t="str">
        <f t="shared" si="67"/>
        <v/>
      </c>
      <c r="T420" s="72" t="str">
        <f t="shared" si="68"/>
        <v/>
      </c>
      <c r="AD420" s="72" t="s">
        <v>3174</v>
      </c>
      <c r="AE420" s="72" t="s">
        <v>3175</v>
      </c>
      <c r="AF420" s="72" t="str">
        <f t="shared" si="69"/>
        <v>A679077</v>
      </c>
      <c r="AG420" s="72" t="str">
        <f>VLOOKUP(AF420,AKT!$C$4:$E$324,3,FALSE)</f>
        <v>0942</v>
      </c>
    </row>
    <row r="421" spans="1:33">
      <c r="A421" s="82"/>
      <c r="B421" s="77" t="str">
        <f t="shared" si="65"/>
        <v/>
      </c>
      <c r="C421" s="82"/>
      <c r="D421" s="77" t="str">
        <f t="shared" si="62"/>
        <v/>
      </c>
      <c r="E421" s="114"/>
      <c r="F421" s="77" t="str">
        <f t="shared" si="63"/>
        <v/>
      </c>
      <c r="G421" s="77" t="str">
        <f t="shared" si="64"/>
        <v/>
      </c>
      <c r="H421" s="113"/>
      <c r="I421" s="113"/>
      <c r="J421" s="113"/>
      <c r="K421" s="126"/>
      <c r="L421" s="125"/>
      <c r="M421" s="125"/>
      <c r="N421" s="126"/>
      <c r="O421" s="303"/>
      <c r="P421" s="81"/>
      <c r="R421" s="72" t="str">
        <f t="shared" si="66"/>
        <v/>
      </c>
      <c r="S421" s="72" t="str">
        <f t="shared" si="67"/>
        <v/>
      </c>
      <c r="T421" s="72" t="str">
        <f t="shared" si="68"/>
        <v/>
      </c>
      <c r="AD421" s="72" t="s">
        <v>3176</v>
      </c>
      <c r="AE421" s="72" t="s">
        <v>3177</v>
      </c>
      <c r="AF421" s="72" t="str">
        <f t="shared" si="69"/>
        <v>A679077</v>
      </c>
      <c r="AG421" s="72" t="str">
        <f>VLOOKUP(AF421,AKT!$C$4:$E$324,3,FALSE)</f>
        <v>0942</v>
      </c>
    </row>
    <row r="422" spans="1:33">
      <c r="A422" s="82"/>
      <c r="B422" s="77" t="str">
        <f t="shared" si="65"/>
        <v/>
      </c>
      <c r="C422" s="82"/>
      <c r="D422" s="77" t="str">
        <f t="shared" si="62"/>
        <v/>
      </c>
      <c r="E422" s="114"/>
      <c r="F422" s="77" t="str">
        <f t="shared" si="63"/>
        <v/>
      </c>
      <c r="G422" s="77" t="str">
        <f t="shared" si="64"/>
        <v/>
      </c>
      <c r="H422" s="113"/>
      <c r="I422" s="113"/>
      <c r="J422" s="113"/>
      <c r="K422" s="126"/>
      <c r="L422" s="125"/>
      <c r="M422" s="125"/>
      <c r="N422" s="126"/>
      <c r="O422" s="303"/>
      <c r="P422" s="81"/>
      <c r="R422" s="72" t="str">
        <f t="shared" si="66"/>
        <v/>
      </c>
      <c r="S422" s="72" t="str">
        <f t="shared" si="67"/>
        <v/>
      </c>
      <c r="T422" s="72" t="str">
        <f t="shared" si="68"/>
        <v/>
      </c>
      <c r="AD422" s="72" t="s">
        <v>3178</v>
      </c>
      <c r="AE422" s="72" t="s">
        <v>3179</v>
      </c>
      <c r="AF422" s="72" t="str">
        <f t="shared" si="69"/>
        <v>A679077</v>
      </c>
      <c r="AG422" s="72" t="str">
        <f>VLOOKUP(AF422,AKT!$C$4:$E$324,3,FALSE)</f>
        <v>0942</v>
      </c>
    </row>
    <row r="423" spans="1:33">
      <c r="A423" s="82"/>
      <c r="B423" s="77" t="str">
        <f t="shared" si="65"/>
        <v/>
      </c>
      <c r="C423" s="82"/>
      <c r="D423" s="77" t="str">
        <f t="shared" si="62"/>
        <v/>
      </c>
      <c r="E423" s="114"/>
      <c r="F423" s="77" t="str">
        <f t="shared" si="63"/>
        <v/>
      </c>
      <c r="G423" s="77" t="str">
        <f t="shared" si="64"/>
        <v/>
      </c>
      <c r="H423" s="113"/>
      <c r="I423" s="113"/>
      <c r="J423" s="113"/>
      <c r="K423" s="126"/>
      <c r="L423" s="125"/>
      <c r="M423" s="125"/>
      <c r="N423" s="126"/>
      <c r="O423" s="303"/>
      <c r="P423" s="81"/>
      <c r="R423" s="72" t="str">
        <f t="shared" si="66"/>
        <v/>
      </c>
      <c r="S423" s="72" t="str">
        <f t="shared" si="67"/>
        <v/>
      </c>
      <c r="T423" s="72" t="str">
        <f t="shared" si="68"/>
        <v/>
      </c>
      <c r="AD423" s="72" t="s">
        <v>3180</v>
      </c>
      <c r="AE423" s="72" t="s">
        <v>3181</v>
      </c>
      <c r="AF423" s="72" t="str">
        <f t="shared" si="69"/>
        <v>A679077</v>
      </c>
      <c r="AG423" s="72" t="str">
        <f>VLOOKUP(AF423,AKT!$C$4:$E$324,3,FALSE)</f>
        <v>0942</v>
      </c>
    </row>
    <row r="424" spans="1:33">
      <c r="A424" s="82"/>
      <c r="B424" s="77" t="str">
        <f t="shared" si="65"/>
        <v/>
      </c>
      <c r="C424" s="82"/>
      <c r="D424" s="77" t="str">
        <f t="shared" si="62"/>
        <v/>
      </c>
      <c r="E424" s="114"/>
      <c r="F424" s="77" t="str">
        <f t="shared" si="63"/>
        <v/>
      </c>
      <c r="G424" s="77" t="str">
        <f t="shared" si="64"/>
        <v/>
      </c>
      <c r="H424" s="113"/>
      <c r="I424" s="113"/>
      <c r="J424" s="113"/>
      <c r="K424" s="126"/>
      <c r="L424" s="125"/>
      <c r="M424" s="125"/>
      <c r="N424" s="126"/>
      <c r="O424" s="303"/>
      <c r="P424" s="81"/>
      <c r="R424" s="72" t="str">
        <f t="shared" si="66"/>
        <v/>
      </c>
      <c r="S424" s="72" t="str">
        <f t="shared" si="67"/>
        <v/>
      </c>
      <c r="T424" s="72" t="str">
        <f t="shared" si="68"/>
        <v/>
      </c>
      <c r="AD424" s="72" t="s">
        <v>3182</v>
      </c>
      <c r="AE424" s="72" t="s">
        <v>3183</v>
      </c>
      <c r="AF424" s="72" t="str">
        <f t="shared" si="69"/>
        <v>A679077</v>
      </c>
      <c r="AG424" s="72" t="str">
        <f>VLOOKUP(AF424,AKT!$C$4:$E$324,3,FALSE)</f>
        <v>0942</v>
      </c>
    </row>
    <row r="425" spans="1:33">
      <c r="A425" s="82"/>
      <c r="B425" s="77" t="str">
        <f t="shared" si="65"/>
        <v/>
      </c>
      <c r="C425" s="82"/>
      <c r="D425" s="77" t="str">
        <f t="shared" si="62"/>
        <v/>
      </c>
      <c r="E425" s="114"/>
      <c r="F425" s="77" t="str">
        <f t="shared" si="63"/>
        <v/>
      </c>
      <c r="G425" s="77" t="str">
        <f t="shared" si="64"/>
        <v/>
      </c>
      <c r="H425" s="113"/>
      <c r="I425" s="113"/>
      <c r="J425" s="113"/>
      <c r="K425" s="126"/>
      <c r="L425" s="125"/>
      <c r="M425" s="125"/>
      <c r="N425" s="126"/>
      <c r="O425" s="303"/>
      <c r="P425" s="81"/>
      <c r="R425" s="72" t="str">
        <f t="shared" si="66"/>
        <v/>
      </c>
      <c r="S425" s="72" t="str">
        <f t="shared" si="67"/>
        <v/>
      </c>
      <c r="T425" s="72" t="str">
        <f t="shared" si="68"/>
        <v/>
      </c>
      <c r="AD425" s="72" t="s">
        <v>3184</v>
      </c>
      <c r="AE425" s="72" t="s">
        <v>3185</v>
      </c>
      <c r="AF425" s="72" t="str">
        <f t="shared" si="69"/>
        <v>A679077</v>
      </c>
      <c r="AG425" s="72" t="str">
        <f>VLOOKUP(AF425,AKT!$C$4:$E$324,3,FALSE)</f>
        <v>0942</v>
      </c>
    </row>
    <row r="426" spans="1:33">
      <c r="A426" s="82"/>
      <c r="B426" s="77" t="str">
        <f t="shared" si="65"/>
        <v/>
      </c>
      <c r="C426" s="82"/>
      <c r="D426" s="77" t="str">
        <f t="shared" si="62"/>
        <v/>
      </c>
      <c r="E426" s="114"/>
      <c r="F426" s="77" t="str">
        <f t="shared" si="63"/>
        <v/>
      </c>
      <c r="G426" s="77" t="str">
        <f t="shared" si="64"/>
        <v/>
      </c>
      <c r="H426" s="113"/>
      <c r="I426" s="113"/>
      <c r="J426" s="113"/>
      <c r="K426" s="126"/>
      <c r="L426" s="125"/>
      <c r="M426" s="125"/>
      <c r="N426" s="126"/>
      <c r="O426" s="303"/>
      <c r="P426" s="81"/>
      <c r="R426" s="72" t="str">
        <f t="shared" si="66"/>
        <v/>
      </c>
      <c r="S426" s="72" t="str">
        <f t="shared" si="67"/>
        <v/>
      </c>
      <c r="T426" s="72" t="str">
        <f t="shared" si="68"/>
        <v/>
      </c>
      <c r="AD426" s="72" t="s">
        <v>803</v>
      </c>
      <c r="AE426" s="72" t="s">
        <v>804</v>
      </c>
      <c r="AF426" s="72" t="str">
        <f t="shared" si="69"/>
        <v>A679078</v>
      </c>
      <c r="AG426" s="72" t="str">
        <f>VLOOKUP(AF426,AKT!$C$4:$E$324,3,FALSE)</f>
        <v>0942</v>
      </c>
    </row>
    <row r="427" spans="1:33">
      <c r="A427" s="82"/>
      <c r="B427" s="77" t="str">
        <f t="shared" si="65"/>
        <v/>
      </c>
      <c r="C427" s="82"/>
      <c r="D427" s="77" t="str">
        <f t="shared" si="62"/>
        <v/>
      </c>
      <c r="E427" s="114"/>
      <c r="F427" s="77" t="str">
        <f t="shared" si="63"/>
        <v/>
      </c>
      <c r="G427" s="77" t="str">
        <f t="shared" si="64"/>
        <v/>
      </c>
      <c r="H427" s="113"/>
      <c r="I427" s="113"/>
      <c r="J427" s="113"/>
      <c r="K427" s="126"/>
      <c r="L427" s="125"/>
      <c r="M427" s="125"/>
      <c r="N427" s="126"/>
      <c r="O427" s="303"/>
      <c r="P427" s="81"/>
      <c r="R427" s="72" t="str">
        <f t="shared" si="66"/>
        <v/>
      </c>
      <c r="S427" s="72" t="str">
        <f t="shared" si="67"/>
        <v/>
      </c>
      <c r="T427" s="72" t="str">
        <f t="shared" si="68"/>
        <v/>
      </c>
      <c r="AD427" s="72" t="s">
        <v>805</v>
      </c>
      <c r="AE427" s="72" t="s">
        <v>806</v>
      </c>
      <c r="AF427" s="72" t="str">
        <f t="shared" si="69"/>
        <v>A679078</v>
      </c>
      <c r="AG427" s="72" t="str">
        <f>VLOOKUP(AF427,AKT!$C$4:$E$324,3,FALSE)</f>
        <v>0942</v>
      </c>
    </row>
    <row r="428" spans="1:33">
      <c r="A428" s="82"/>
      <c r="B428" s="77" t="str">
        <f t="shared" si="65"/>
        <v/>
      </c>
      <c r="C428" s="82"/>
      <c r="D428" s="77" t="str">
        <f t="shared" si="62"/>
        <v/>
      </c>
      <c r="E428" s="114"/>
      <c r="F428" s="77" t="str">
        <f t="shared" si="63"/>
        <v/>
      </c>
      <c r="G428" s="77" t="str">
        <f t="shared" si="64"/>
        <v/>
      </c>
      <c r="H428" s="113"/>
      <c r="I428" s="113"/>
      <c r="J428" s="113"/>
      <c r="K428" s="126"/>
      <c r="L428" s="125"/>
      <c r="M428" s="125"/>
      <c r="N428" s="126"/>
      <c r="O428" s="303"/>
      <c r="P428" s="81"/>
      <c r="R428" s="72" t="str">
        <f t="shared" si="66"/>
        <v/>
      </c>
      <c r="S428" s="72" t="str">
        <f t="shared" si="67"/>
        <v/>
      </c>
      <c r="T428" s="72" t="str">
        <f t="shared" si="68"/>
        <v/>
      </c>
      <c r="AD428" s="72" t="s">
        <v>807</v>
      </c>
      <c r="AE428" s="72" t="s">
        <v>808</v>
      </c>
      <c r="AF428" s="72" t="str">
        <f t="shared" si="69"/>
        <v>A679078</v>
      </c>
      <c r="AG428" s="72" t="str">
        <f>VLOOKUP(AF428,AKT!$C$4:$E$324,3,FALSE)</f>
        <v>0942</v>
      </c>
    </row>
    <row r="429" spans="1:33">
      <c r="A429" s="82"/>
      <c r="B429" s="77" t="str">
        <f t="shared" si="65"/>
        <v/>
      </c>
      <c r="C429" s="82"/>
      <c r="D429" s="77" t="str">
        <f t="shared" si="62"/>
        <v/>
      </c>
      <c r="E429" s="114"/>
      <c r="F429" s="77" t="str">
        <f t="shared" si="63"/>
        <v/>
      </c>
      <c r="G429" s="77" t="str">
        <f t="shared" si="64"/>
        <v/>
      </c>
      <c r="H429" s="113"/>
      <c r="I429" s="113"/>
      <c r="J429" s="113"/>
      <c r="K429" s="126"/>
      <c r="L429" s="125"/>
      <c r="M429" s="125"/>
      <c r="N429" s="126"/>
      <c r="O429" s="303"/>
      <c r="P429" s="81"/>
      <c r="R429" s="72" t="str">
        <f t="shared" si="66"/>
        <v/>
      </c>
      <c r="S429" s="72" t="str">
        <f t="shared" si="67"/>
        <v/>
      </c>
      <c r="T429" s="72" t="str">
        <f t="shared" si="68"/>
        <v/>
      </c>
      <c r="AD429" s="72" t="s">
        <v>3186</v>
      </c>
      <c r="AE429" s="72" t="s">
        <v>3187</v>
      </c>
      <c r="AF429" s="72" t="str">
        <f t="shared" si="69"/>
        <v>A679078</v>
      </c>
      <c r="AG429" s="72" t="str">
        <f>VLOOKUP(AF429,AKT!$C$4:$E$324,3,FALSE)</f>
        <v>0942</v>
      </c>
    </row>
    <row r="430" spans="1:33">
      <c r="A430" s="82"/>
      <c r="B430" s="77" t="str">
        <f t="shared" si="65"/>
        <v/>
      </c>
      <c r="C430" s="82"/>
      <c r="D430" s="77" t="str">
        <f t="shared" si="62"/>
        <v/>
      </c>
      <c r="E430" s="114"/>
      <c r="F430" s="77" t="str">
        <f t="shared" si="63"/>
        <v/>
      </c>
      <c r="G430" s="77" t="str">
        <f t="shared" si="64"/>
        <v/>
      </c>
      <c r="H430" s="113"/>
      <c r="I430" s="113"/>
      <c r="J430" s="113"/>
      <c r="K430" s="126"/>
      <c r="L430" s="125"/>
      <c r="M430" s="125"/>
      <c r="N430" s="126"/>
      <c r="O430" s="303"/>
      <c r="P430" s="81"/>
      <c r="R430" s="72" t="str">
        <f t="shared" si="66"/>
        <v/>
      </c>
      <c r="S430" s="72" t="str">
        <f t="shared" si="67"/>
        <v/>
      </c>
      <c r="T430" s="72" t="str">
        <f t="shared" si="68"/>
        <v/>
      </c>
      <c r="AD430" s="72" t="s">
        <v>3188</v>
      </c>
      <c r="AE430" s="72" t="s">
        <v>3189</v>
      </c>
      <c r="AF430" s="72" t="str">
        <f t="shared" si="69"/>
        <v>A679078</v>
      </c>
      <c r="AG430" s="72" t="str">
        <f>VLOOKUP(AF430,AKT!$C$4:$E$324,3,FALSE)</f>
        <v>0942</v>
      </c>
    </row>
    <row r="431" spans="1:33">
      <c r="A431" s="82"/>
      <c r="B431" s="77" t="str">
        <f t="shared" si="65"/>
        <v/>
      </c>
      <c r="C431" s="82"/>
      <c r="D431" s="77" t="str">
        <f t="shared" si="62"/>
        <v/>
      </c>
      <c r="E431" s="114"/>
      <c r="F431" s="77" t="str">
        <f t="shared" si="63"/>
        <v/>
      </c>
      <c r="G431" s="77" t="str">
        <f t="shared" si="64"/>
        <v/>
      </c>
      <c r="H431" s="113"/>
      <c r="I431" s="113"/>
      <c r="J431" s="113"/>
      <c r="K431" s="126"/>
      <c r="L431" s="125"/>
      <c r="M431" s="125"/>
      <c r="N431" s="126"/>
      <c r="O431" s="303"/>
      <c r="P431" s="81"/>
      <c r="R431" s="72" t="str">
        <f t="shared" si="66"/>
        <v/>
      </c>
      <c r="S431" s="72" t="str">
        <f t="shared" si="67"/>
        <v/>
      </c>
      <c r="T431" s="72" t="str">
        <f t="shared" si="68"/>
        <v/>
      </c>
      <c r="AD431" s="72" t="s">
        <v>3190</v>
      </c>
      <c r="AE431" s="72" t="s">
        <v>3191</v>
      </c>
      <c r="AF431" s="72" t="str">
        <f t="shared" si="69"/>
        <v>A679078</v>
      </c>
      <c r="AG431" s="72" t="str">
        <f>VLOOKUP(AF431,AKT!$C$4:$E$324,3,FALSE)</f>
        <v>0942</v>
      </c>
    </row>
    <row r="432" spans="1:33">
      <c r="A432" s="82"/>
      <c r="B432" s="77" t="str">
        <f t="shared" si="65"/>
        <v/>
      </c>
      <c r="C432" s="82"/>
      <c r="D432" s="77" t="str">
        <f t="shared" si="62"/>
        <v/>
      </c>
      <c r="E432" s="114"/>
      <c r="F432" s="77" t="str">
        <f t="shared" si="63"/>
        <v/>
      </c>
      <c r="G432" s="77" t="str">
        <f t="shared" si="64"/>
        <v/>
      </c>
      <c r="H432" s="113"/>
      <c r="I432" s="113"/>
      <c r="J432" s="113"/>
      <c r="K432" s="126"/>
      <c r="L432" s="125"/>
      <c r="M432" s="125"/>
      <c r="N432" s="126"/>
      <c r="O432" s="303"/>
      <c r="P432" s="81"/>
      <c r="R432" s="72" t="str">
        <f t="shared" si="66"/>
        <v/>
      </c>
      <c r="S432" s="72" t="str">
        <f t="shared" si="67"/>
        <v/>
      </c>
      <c r="T432" s="72" t="str">
        <f t="shared" si="68"/>
        <v/>
      </c>
      <c r="AD432" s="72" t="s">
        <v>3192</v>
      </c>
      <c r="AE432" s="72" t="s">
        <v>3193</v>
      </c>
      <c r="AF432" s="72" t="str">
        <f t="shared" si="69"/>
        <v>A679078</v>
      </c>
      <c r="AG432" s="72" t="str">
        <f>VLOOKUP(AF432,AKT!$C$4:$E$324,3,FALSE)</f>
        <v>0942</v>
      </c>
    </row>
    <row r="433" spans="1:33">
      <c r="A433" s="82"/>
      <c r="B433" s="77" t="str">
        <f t="shared" si="65"/>
        <v/>
      </c>
      <c r="C433" s="82"/>
      <c r="D433" s="77" t="str">
        <f t="shared" si="62"/>
        <v/>
      </c>
      <c r="E433" s="114"/>
      <c r="F433" s="77" t="str">
        <f t="shared" si="63"/>
        <v/>
      </c>
      <c r="G433" s="77" t="str">
        <f t="shared" si="64"/>
        <v/>
      </c>
      <c r="H433" s="113"/>
      <c r="I433" s="113"/>
      <c r="J433" s="113"/>
      <c r="K433" s="126"/>
      <c r="L433" s="125"/>
      <c r="M433" s="125"/>
      <c r="N433" s="126"/>
      <c r="O433" s="303"/>
      <c r="P433" s="81"/>
      <c r="R433" s="72" t="str">
        <f t="shared" si="66"/>
        <v/>
      </c>
      <c r="S433" s="72" t="str">
        <f t="shared" si="67"/>
        <v/>
      </c>
      <c r="T433" s="72" t="str">
        <f t="shared" si="68"/>
        <v/>
      </c>
      <c r="AD433" s="72" t="s">
        <v>809</v>
      </c>
      <c r="AE433" s="72" t="s">
        <v>810</v>
      </c>
      <c r="AF433" s="72" t="str">
        <f t="shared" si="69"/>
        <v>A679078</v>
      </c>
      <c r="AG433" s="72" t="str">
        <f>VLOOKUP(AF433,AKT!$C$4:$E$324,3,FALSE)</f>
        <v>0942</v>
      </c>
    </row>
    <row r="434" spans="1:33">
      <c r="A434" s="82"/>
      <c r="B434" s="77" t="str">
        <f t="shared" si="65"/>
        <v/>
      </c>
      <c r="C434" s="82"/>
      <c r="D434" s="77" t="str">
        <f t="shared" si="62"/>
        <v/>
      </c>
      <c r="E434" s="114"/>
      <c r="F434" s="77" t="str">
        <f t="shared" si="63"/>
        <v/>
      </c>
      <c r="G434" s="77" t="str">
        <f t="shared" si="64"/>
        <v/>
      </c>
      <c r="H434" s="113"/>
      <c r="I434" s="113"/>
      <c r="J434" s="113"/>
      <c r="K434" s="126"/>
      <c r="L434" s="125"/>
      <c r="M434" s="125"/>
      <c r="N434" s="126"/>
      <c r="O434" s="303"/>
      <c r="P434" s="81"/>
      <c r="R434" s="72" t="str">
        <f t="shared" si="66"/>
        <v/>
      </c>
      <c r="S434" s="72" t="str">
        <f t="shared" si="67"/>
        <v/>
      </c>
      <c r="T434" s="72" t="str">
        <f t="shared" si="68"/>
        <v/>
      </c>
      <c r="AD434" s="72" t="s">
        <v>811</v>
      </c>
      <c r="AE434" s="72" t="s">
        <v>812</v>
      </c>
      <c r="AF434" s="72" t="str">
        <f t="shared" si="69"/>
        <v>A679078</v>
      </c>
      <c r="AG434" s="72" t="str">
        <f>VLOOKUP(AF434,AKT!$C$4:$E$324,3,FALSE)</f>
        <v>0942</v>
      </c>
    </row>
    <row r="435" spans="1:33">
      <c r="A435" s="82"/>
      <c r="B435" s="77" t="str">
        <f t="shared" si="65"/>
        <v/>
      </c>
      <c r="C435" s="82"/>
      <c r="D435" s="77" t="str">
        <f t="shared" si="62"/>
        <v/>
      </c>
      <c r="E435" s="114"/>
      <c r="F435" s="77" t="str">
        <f t="shared" si="63"/>
        <v/>
      </c>
      <c r="G435" s="77" t="str">
        <f t="shared" si="64"/>
        <v/>
      </c>
      <c r="H435" s="113"/>
      <c r="I435" s="113"/>
      <c r="J435" s="113"/>
      <c r="K435" s="126"/>
      <c r="L435" s="125"/>
      <c r="M435" s="125"/>
      <c r="N435" s="126"/>
      <c r="O435" s="303"/>
      <c r="P435" s="81"/>
      <c r="R435" s="72" t="str">
        <f t="shared" si="66"/>
        <v/>
      </c>
      <c r="S435" s="72" t="str">
        <f t="shared" si="67"/>
        <v/>
      </c>
      <c r="T435" s="72" t="str">
        <f t="shared" si="68"/>
        <v/>
      </c>
      <c r="AD435" s="72" t="s">
        <v>813</v>
      </c>
      <c r="AE435" s="72" t="s">
        <v>814</v>
      </c>
      <c r="AF435" s="72" t="str">
        <f t="shared" si="69"/>
        <v>A679078</v>
      </c>
      <c r="AG435" s="72" t="str">
        <f>VLOOKUP(AF435,AKT!$C$4:$E$324,3,FALSE)</f>
        <v>0942</v>
      </c>
    </row>
    <row r="436" spans="1:33">
      <c r="A436" s="82"/>
      <c r="B436" s="77" t="str">
        <f t="shared" si="65"/>
        <v/>
      </c>
      <c r="C436" s="82"/>
      <c r="D436" s="77" t="str">
        <f t="shared" si="62"/>
        <v/>
      </c>
      <c r="E436" s="114"/>
      <c r="F436" s="77" t="str">
        <f t="shared" si="63"/>
        <v/>
      </c>
      <c r="G436" s="77" t="str">
        <f t="shared" si="64"/>
        <v/>
      </c>
      <c r="H436" s="113"/>
      <c r="I436" s="113"/>
      <c r="J436" s="113"/>
      <c r="K436" s="126"/>
      <c r="L436" s="125"/>
      <c r="M436" s="125"/>
      <c r="N436" s="126"/>
      <c r="O436" s="303"/>
      <c r="P436" s="81"/>
      <c r="R436" s="72" t="str">
        <f t="shared" si="66"/>
        <v/>
      </c>
      <c r="S436" s="72" t="str">
        <f t="shared" si="67"/>
        <v/>
      </c>
      <c r="T436" s="72" t="str">
        <f t="shared" si="68"/>
        <v/>
      </c>
      <c r="AD436" s="72" t="s">
        <v>815</v>
      </c>
      <c r="AE436" s="72" t="s">
        <v>816</v>
      </c>
      <c r="AF436" s="72" t="str">
        <f t="shared" si="69"/>
        <v>A679078</v>
      </c>
      <c r="AG436" s="72" t="str">
        <f>VLOOKUP(AF436,AKT!$C$4:$E$324,3,FALSE)</f>
        <v>0942</v>
      </c>
    </row>
    <row r="437" spans="1:33">
      <c r="A437" s="82"/>
      <c r="B437" s="77" t="str">
        <f t="shared" si="65"/>
        <v/>
      </c>
      <c r="C437" s="82"/>
      <c r="D437" s="77" t="str">
        <f t="shared" si="62"/>
        <v/>
      </c>
      <c r="E437" s="114"/>
      <c r="F437" s="77" t="str">
        <f t="shared" si="63"/>
        <v/>
      </c>
      <c r="G437" s="77" t="str">
        <f t="shared" si="64"/>
        <v/>
      </c>
      <c r="H437" s="113"/>
      <c r="I437" s="113"/>
      <c r="J437" s="113"/>
      <c r="K437" s="126"/>
      <c r="L437" s="125"/>
      <c r="M437" s="125"/>
      <c r="N437" s="126"/>
      <c r="O437" s="303"/>
      <c r="P437" s="81"/>
      <c r="R437" s="72" t="str">
        <f t="shared" si="66"/>
        <v/>
      </c>
      <c r="S437" s="72" t="str">
        <f t="shared" si="67"/>
        <v/>
      </c>
      <c r="T437" s="72" t="str">
        <f t="shared" si="68"/>
        <v/>
      </c>
      <c r="AD437" s="72" t="s">
        <v>817</v>
      </c>
      <c r="AE437" s="72" t="s">
        <v>818</v>
      </c>
      <c r="AF437" s="72" t="str">
        <f t="shared" si="69"/>
        <v>A679078</v>
      </c>
      <c r="AG437" s="72" t="str">
        <f>VLOOKUP(AF437,AKT!$C$4:$E$324,3,FALSE)</f>
        <v>0942</v>
      </c>
    </row>
    <row r="438" spans="1:33">
      <c r="A438" s="82"/>
      <c r="B438" s="77" t="str">
        <f t="shared" si="65"/>
        <v/>
      </c>
      <c r="C438" s="82"/>
      <c r="D438" s="77" t="str">
        <f t="shared" si="62"/>
        <v/>
      </c>
      <c r="E438" s="114"/>
      <c r="F438" s="77" t="str">
        <f t="shared" si="63"/>
        <v/>
      </c>
      <c r="G438" s="77" t="str">
        <f t="shared" si="64"/>
        <v/>
      </c>
      <c r="H438" s="113"/>
      <c r="I438" s="113"/>
      <c r="J438" s="113"/>
      <c r="K438" s="126"/>
      <c r="L438" s="125"/>
      <c r="M438" s="125"/>
      <c r="N438" s="126"/>
      <c r="O438" s="303"/>
      <c r="P438" s="81"/>
      <c r="R438" s="72" t="str">
        <f t="shared" si="66"/>
        <v/>
      </c>
      <c r="S438" s="72" t="str">
        <f t="shared" si="67"/>
        <v/>
      </c>
      <c r="T438" s="72" t="str">
        <f t="shared" si="68"/>
        <v/>
      </c>
      <c r="AD438" s="72" t="s">
        <v>819</v>
      </c>
      <c r="AE438" s="72" t="s">
        <v>820</v>
      </c>
      <c r="AF438" s="72" t="str">
        <f t="shared" si="69"/>
        <v>A679078</v>
      </c>
      <c r="AG438" s="72" t="str">
        <f>VLOOKUP(AF438,AKT!$C$4:$E$324,3,FALSE)</f>
        <v>0942</v>
      </c>
    </row>
    <row r="439" spans="1:33">
      <c r="A439" s="82"/>
      <c r="B439" s="77" t="str">
        <f t="shared" si="65"/>
        <v/>
      </c>
      <c r="C439" s="82"/>
      <c r="D439" s="77" t="str">
        <f t="shared" si="62"/>
        <v/>
      </c>
      <c r="E439" s="114"/>
      <c r="F439" s="77" t="str">
        <f t="shared" si="63"/>
        <v/>
      </c>
      <c r="G439" s="77" t="str">
        <f t="shared" si="64"/>
        <v/>
      </c>
      <c r="H439" s="113"/>
      <c r="I439" s="113"/>
      <c r="J439" s="113"/>
      <c r="K439" s="126"/>
      <c r="L439" s="125"/>
      <c r="M439" s="125"/>
      <c r="N439" s="126"/>
      <c r="O439" s="303"/>
      <c r="P439" s="81"/>
      <c r="R439" s="72" t="str">
        <f t="shared" si="66"/>
        <v/>
      </c>
      <c r="S439" s="72" t="str">
        <f t="shared" si="67"/>
        <v/>
      </c>
      <c r="T439" s="72" t="str">
        <f t="shared" si="68"/>
        <v/>
      </c>
      <c r="AD439" s="72" t="s">
        <v>821</v>
      </c>
      <c r="AE439" s="72" t="s">
        <v>822</v>
      </c>
      <c r="AF439" s="72" t="str">
        <f t="shared" si="69"/>
        <v>A679078</v>
      </c>
      <c r="AG439" s="72" t="str">
        <f>VLOOKUP(AF439,AKT!$C$4:$E$324,3,FALSE)</f>
        <v>0942</v>
      </c>
    </row>
    <row r="440" spans="1:33">
      <c r="A440" s="82"/>
      <c r="B440" s="77" t="str">
        <f t="shared" si="65"/>
        <v/>
      </c>
      <c r="C440" s="82"/>
      <c r="D440" s="77" t="str">
        <f t="shared" si="62"/>
        <v/>
      </c>
      <c r="E440" s="114"/>
      <c r="F440" s="77" t="str">
        <f t="shared" si="63"/>
        <v/>
      </c>
      <c r="G440" s="77" t="str">
        <f t="shared" si="64"/>
        <v/>
      </c>
      <c r="H440" s="113"/>
      <c r="I440" s="113"/>
      <c r="J440" s="113"/>
      <c r="K440" s="126"/>
      <c r="L440" s="125"/>
      <c r="M440" s="125"/>
      <c r="N440" s="126"/>
      <c r="O440" s="303"/>
      <c r="P440" s="81"/>
      <c r="R440" s="72" t="str">
        <f t="shared" si="66"/>
        <v/>
      </c>
      <c r="S440" s="72" t="str">
        <f t="shared" si="67"/>
        <v/>
      </c>
      <c r="T440" s="72" t="str">
        <f t="shared" si="68"/>
        <v/>
      </c>
      <c r="AD440" s="72" t="s">
        <v>823</v>
      </c>
      <c r="AE440" s="72" t="s">
        <v>824</v>
      </c>
      <c r="AF440" s="72" t="str">
        <f t="shared" si="69"/>
        <v>A679078</v>
      </c>
      <c r="AG440" s="72" t="str">
        <f>VLOOKUP(AF440,AKT!$C$4:$E$324,3,FALSE)</f>
        <v>0942</v>
      </c>
    </row>
    <row r="441" spans="1:33">
      <c r="A441" s="82"/>
      <c r="B441" s="77" t="str">
        <f t="shared" si="65"/>
        <v/>
      </c>
      <c r="C441" s="82"/>
      <c r="D441" s="77" t="str">
        <f t="shared" si="62"/>
        <v/>
      </c>
      <c r="E441" s="114"/>
      <c r="F441" s="77" t="str">
        <f t="shared" si="63"/>
        <v/>
      </c>
      <c r="G441" s="77" t="str">
        <f t="shared" si="64"/>
        <v/>
      </c>
      <c r="H441" s="113"/>
      <c r="I441" s="113"/>
      <c r="J441" s="113"/>
      <c r="K441" s="126"/>
      <c r="L441" s="125"/>
      <c r="M441" s="125"/>
      <c r="N441" s="126"/>
      <c r="O441" s="303"/>
      <c r="P441" s="81"/>
      <c r="R441" s="72" t="str">
        <f t="shared" si="66"/>
        <v/>
      </c>
      <c r="S441" s="72" t="str">
        <f t="shared" si="67"/>
        <v/>
      </c>
      <c r="T441" s="72" t="str">
        <f t="shared" si="68"/>
        <v/>
      </c>
      <c r="AD441" s="72" t="s">
        <v>825</v>
      </c>
      <c r="AE441" s="72" t="s">
        <v>826</v>
      </c>
      <c r="AF441" s="72" t="str">
        <f t="shared" si="69"/>
        <v>A679078</v>
      </c>
      <c r="AG441" s="72" t="str">
        <f>VLOOKUP(AF441,AKT!$C$4:$E$324,3,FALSE)</f>
        <v>0942</v>
      </c>
    </row>
    <row r="442" spans="1:33">
      <c r="A442" s="82"/>
      <c r="B442" s="77" t="str">
        <f t="shared" si="65"/>
        <v/>
      </c>
      <c r="C442" s="82"/>
      <c r="D442" s="77" t="str">
        <f t="shared" si="62"/>
        <v/>
      </c>
      <c r="E442" s="114"/>
      <c r="F442" s="77" t="str">
        <f t="shared" si="63"/>
        <v/>
      </c>
      <c r="G442" s="77" t="str">
        <f t="shared" si="64"/>
        <v/>
      </c>
      <c r="H442" s="113"/>
      <c r="I442" s="113"/>
      <c r="J442" s="113"/>
      <c r="K442" s="126"/>
      <c r="L442" s="125"/>
      <c r="M442" s="125"/>
      <c r="N442" s="126"/>
      <c r="O442" s="303"/>
      <c r="P442" s="81"/>
      <c r="R442" s="72" t="str">
        <f t="shared" si="66"/>
        <v/>
      </c>
      <c r="S442" s="72" t="str">
        <f t="shared" si="67"/>
        <v/>
      </c>
      <c r="T442" s="72" t="str">
        <f t="shared" si="68"/>
        <v/>
      </c>
      <c r="AD442" s="72" t="s">
        <v>827</v>
      </c>
      <c r="AE442" s="72" t="s">
        <v>828</v>
      </c>
      <c r="AF442" s="72" t="str">
        <f t="shared" si="69"/>
        <v>A679078</v>
      </c>
      <c r="AG442" s="72" t="str">
        <f>VLOOKUP(AF442,AKT!$C$4:$E$324,3,FALSE)</f>
        <v>0942</v>
      </c>
    </row>
    <row r="443" spans="1:33">
      <c r="A443" s="82"/>
      <c r="B443" s="77" t="str">
        <f t="shared" si="65"/>
        <v/>
      </c>
      <c r="C443" s="82"/>
      <c r="D443" s="77" t="str">
        <f t="shared" si="62"/>
        <v/>
      </c>
      <c r="E443" s="114"/>
      <c r="F443" s="77" t="str">
        <f t="shared" si="63"/>
        <v/>
      </c>
      <c r="G443" s="77" t="str">
        <f t="shared" si="64"/>
        <v/>
      </c>
      <c r="H443" s="113"/>
      <c r="I443" s="113"/>
      <c r="J443" s="113"/>
      <c r="K443" s="126"/>
      <c r="L443" s="125"/>
      <c r="M443" s="125"/>
      <c r="N443" s="126"/>
      <c r="O443" s="303"/>
      <c r="P443" s="81"/>
      <c r="R443" s="72" t="str">
        <f t="shared" si="66"/>
        <v/>
      </c>
      <c r="S443" s="72" t="str">
        <f t="shared" si="67"/>
        <v/>
      </c>
      <c r="T443" s="72" t="str">
        <f t="shared" si="68"/>
        <v/>
      </c>
      <c r="AD443" s="72" t="s">
        <v>829</v>
      </c>
      <c r="AE443" s="72" t="s">
        <v>830</v>
      </c>
      <c r="AF443" s="72" t="str">
        <f t="shared" si="69"/>
        <v>A679078</v>
      </c>
      <c r="AG443" s="72" t="str">
        <f>VLOOKUP(AF443,AKT!$C$4:$E$324,3,FALSE)</f>
        <v>0942</v>
      </c>
    </row>
    <row r="444" spans="1:33">
      <c r="A444" s="82"/>
      <c r="B444" s="77" t="str">
        <f t="shared" si="65"/>
        <v/>
      </c>
      <c r="C444" s="82"/>
      <c r="D444" s="77" t="str">
        <f t="shared" si="62"/>
        <v/>
      </c>
      <c r="E444" s="114"/>
      <c r="F444" s="77" t="str">
        <f t="shared" si="63"/>
        <v/>
      </c>
      <c r="G444" s="77" t="str">
        <f t="shared" si="64"/>
        <v/>
      </c>
      <c r="H444" s="113"/>
      <c r="I444" s="113"/>
      <c r="J444" s="113"/>
      <c r="K444" s="126"/>
      <c r="L444" s="125"/>
      <c r="M444" s="125"/>
      <c r="N444" s="126"/>
      <c r="O444" s="303"/>
      <c r="P444" s="81"/>
      <c r="R444" s="72" t="str">
        <f t="shared" si="66"/>
        <v/>
      </c>
      <c r="S444" s="72" t="str">
        <f t="shared" si="67"/>
        <v/>
      </c>
      <c r="T444" s="72" t="str">
        <f t="shared" si="68"/>
        <v/>
      </c>
      <c r="AD444" s="72" t="s">
        <v>831</v>
      </c>
      <c r="AE444" s="72" t="s">
        <v>832</v>
      </c>
      <c r="AF444" s="72" t="str">
        <f t="shared" si="69"/>
        <v>A679078</v>
      </c>
      <c r="AG444" s="72" t="str">
        <f>VLOOKUP(AF444,AKT!$C$4:$E$324,3,FALSE)</f>
        <v>0942</v>
      </c>
    </row>
    <row r="445" spans="1:33">
      <c r="A445" s="82"/>
      <c r="B445" s="77" t="str">
        <f t="shared" si="65"/>
        <v/>
      </c>
      <c r="C445" s="82"/>
      <c r="D445" s="77" t="str">
        <f t="shared" si="62"/>
        <v/>
      </c>
      <c r="E445" s="114"/>
      <c r="F445" s="77" t="str">
        <f t="shared" si="63"/>
        <v/>
      </c>
      <c r="G445" s="77" t="str">
        <f t="shared" si="64"/>
        <v/>
      </c>
      <c r="H445" s="113"/>
      <c r="I445" s="113"/>
      <c r="J445" s="113"/>
      <c r="K445" s="126"/>
      <c r="L445" s="125"/>
      <c r="M445" s="125"/>
      <c r="N445" s="126"/>
      <c r="O445" s="303"/>
      <c r="P445" s="81"/>
      <c r="R445" s="72" t="str">
        <f t="shared" si="66"/>
        <v/>
      </c>
      <c r="S445" s="72" t="str">
        <f t="shared" si="67"/>
        <v/>
      </c>
      <c r="T445" s="72" t="str">
        <f t="shared" si="68"/>
        <v/>
      </c>
      <c r="AD445" s="72" t="s">
        <v>833</v>
      </c>
      <c r="AE445" s="72" t="s">
        <v>834</v>
      </c>
      <c r="AF445" s="72" t="str">
        <f t="shared" si="69"/>
        <v>A679078</v>
      </c>
      <c r="AG445" s="72" t="str">
        <f>VLOOKUP(AF445,AKT!$C$4:$E$324,3,FALSE)</f>
        <v>0942</v>
      </c>
    </row>
    <row r="446" spans="1:33">
      <c r="A446" s="82"/>
      <c r="B446" s="77" t="str">
        <f t="shared" si="65"/>
        <v/>
      </c>
      <c r="C446" s="82"/>
      <c r="D446" s="77" t="str">
        <f t="shared" si="62"/>
        <v/>
      </c>
      <c r="E446" s="114"/>
      <c r="F446" s="77" t="str">
        <f t="shared" si="63"/>
        <v/>
      </c>
      <c r="G446" s="77" t="str">
        <f t="shared" si="64"/>
        <v/>
      </c>
      <c r="H446" s="113"/>
      <c r="I446" s="113"/>
      <c r="J446" s="113"/>
      <c r="K446" s="126"/>
      <c r="L446" s="125"/>
      <c r="M446" s="125"/>
      <c r="N446" s="126"/>
      <c r="O446" s="303"/>
      <c r="P446" s="81"/>
      <c r="R446" s="72" t="str">
        <f t="shared" si="66"/>
        <v/>
      </c>
      <c r="S446" s="72" t="str">
        <f t="shared" si="67"/>
        <v/>
      </c>
      <c r="T446" s="72" t="str">
        <f t="shared" si="68"/>
        <v/>
      </c>
      <c r="AD446" s="72" t="s">
        <v>835</v>
      </c>
      <c r="AE446" s="72" t="s">
        <v>836</v>
      </c>
      <c r="AF446" s="72" t="str">
        <f t="shared" si="69"/>
        <v>A679078</v>
      </c>
      <c r="AG446" s="72" t="str">
        <f>VLOOKUP(AF446,AKT!$C$4:$E$324,3,FALSE)</f>
        <v>0942</v>
      </c>
    </row>
    <row r="447" spans="1:33">
      <c r="A447" s="82"/>
      <c r="B447" s="77" t="str">
        <f t="shared" si="65"/>
        <v/>
      </c>
      <c r="C447" s="82"/>
      <c r="D447" s="77" t="str">
        <f t="shared" si="62"/>
        <v/>
      </c>
      <c r="E447" s="114"/>
      <c r="F447" s="77" t="str">
        <f t="shared" si="63"/>
        <v/>
      </c>
      <c r="G447" s="77" t="str">
        <f t="shared" si="64"/>
        <v/>
      </c>
      <c r="H447" s="113"/>
      <c r="I447" s="113"/>
      <c r="J447" s="113"/>
      <c r="K447" s="126"/>
      <c r="L447" s="125"/>
      <c r="M447" s="125"/>
      <c r="N447" s="126"/>
      <c r="O447" s="303"/>
      <c r="P447" s="81"/>
      <c r="R447" s="72" t="str">
        <f t="shared" si="66"/>
        <v/>
      </c>
      <c r="S447" s="72" t="str">
        <f t="shared" si="67"/>
        <v/>
      </c>
      <c r="T447" s="72" t="str">
        <f t="shared" si="68"/>
        <v/>
      </c>
      <c r="AD447" s="72" t="s">
        <v>837</v>
      </c>
      <c r="AE447" s="72" t="s">
        <v>838</v>
      </c>
      <c r="AF447" s="72" t="str">
        <f t="shared" si="69"/>
        <v>A679078</v>
      </c>
      <c r="AG447" s="72" t="str">
        <f>VLOOKUP(AF447,AKT!$C$4:$E$324,3,FALSE)</f>
        <v>0942</v>
      </c>
    </row>
    <row r="448" spans="1:33">
      <c r="A448" s="82"/>
      <c r="B448" s="77" t="str">
        <f t="shared" si="65"/>
        <v/>
      </c>
      <c r="C448" s="82"/>
      <c r="D448" s="77" t="str">
        <f t="shared" si="62"/>
        <v/>
      </c>
      <c r="E448" s="114"/>
      <c r="F448" s="77" t="str">
        <f t="shared" si="63"/>
        <v/>
      </c>
      <c r="G448" s="77" t="str">
        <f t="shared" si="64"/>
        <v/>
      </c>
      <c r="H448" s="113"/>
      <c r="I448" s="113"/>
      <c r="J448" s="113"/>
      <c r="K448" s="126"/>
      <c r="L448" s="125"/>
      <c r="M448" s="125"/>
      <c r="N448" s="126"/>
      <c r="O448" s="303"/>
      <c r="P448" s="81"/>
      <c r="R448" s="72" t="str">
        <f t="shared" si="66"/>
        <v/>
      </c>
      <c r="S448" s="72" t="str">
        <f t="shared" si="67"/>
        <v/>
      </c>
      <c r="T448" s="72" t="str">
        <f t="shared" si="68"/>
        <v/>
      </c>
      <c r="AD448" s="72" t="s">
        <v>839</v>
      </c>
      <c r="AE448" s="72" t="s">
        <v>840</v>
      </c>
      <c r="AF448" s="72" t="str">
        <f t="shared" si="69"/>
        <v>A679078</v>
      </c>
      <c r="AG448" s="72" t="str">
        <f>VLOOKUP(AF448,AKT!$C$4:$E$324,3,FALSE)</f>
        <v>0942</v>
      </c>
    </row>
    <row r="449" spans="1:33">
      <c r="A449" s="82"/>
      <c r="B449" s="77" t="str">
        <f t="shared" si="65"/>
        <v/>
      </c>
      <c r="C449" s="82"/>
      <c r="D449" s="77" t="str">
        <f t="shared" si="62"/>
        <v/>
      </c>
      <c r="E449" s="114"/>
      <c r="F449" s="77" t="str">
        <f t="shared" si="63"/>
        <v/>
      </c>
      <c r="G449" s="77" t="str">
        <f t="shared" si="64"/>
        <v/>
      </c>
      <c r="H449" s="113"/>
      <c r="I449" s="113"/>
      <c r="J449" s="113"/>
      <c r="K449" s="126"/>
      <c r="L449" s="125"/>
      <c r="M449" s="125"/>
      <c r="N449" s="126"/>
      <c r="O449" s="303"/>
      <c r="P449" s="81"/>
      <c r="R449" s="72" t="str">
        <f t="shared" si="66"/>
        <v/>
      </c>
      <c r="S449" s="72" t="str">
        <f t="shared" si="67"/>
        <v/>
      </c>
      <c r="T449" s="72" t="str">
        <f t="shared" si="68"/>
        <v/>
      </c>
      <c r="AD449" s="72" t="s">
        <v>841</v>
      </c>
      <c r="AE449" s="72" t="s">
        <v>842</v>
      </c>
      <c r="AF449" s="72" t="str">
        <f t="shared" si="69"/>
        <v>A679078</v>
      </c>
      <c r="AG449" s="72" t="str">
        <f>VLOOKUP(AF449,AKT!$C$4:$E$324,3,FALSE)</f>
        <v>0942</v>
      </c>
    </row>
    <row r="450" spans="1:33">
      <c r="A450" s="82"/>
      <c r="B450" s="77" t="str">
        <f t="shared" si="65"/>
        <v/>
      </c>
      <c r="C450" s="82"/>
      <c r="D450" s="77" t="str">
        <f t="shared" si="62"/>
        <v/>
      </c>
      <c r="E450" s="114"/>
      <c r="F450" s="77" t="str">
        <f t="shared" si="63"/>
        <v/>
      </c>
      <c r="G450" s="77" t="str">
        <f t="shared" si="64"/>
        <v/>
      </c>
      <c r="H450" s="113"/>
      <c r="I450" s="113"/>
      <c r="J450" s="113"/>
      <c r="K450" s="126"/>
      <c r="L450" s="125"/>
      <c r="M450" s="125"/>
      <c r="N450" s="126"/>
      <c r="O450" s="303"/>
      <c r="P450" s="81"/>
      <c r="R450" s="72" t="str">
        <f t="shared" si="66"/>
        <v/>
      </c>
      <c r="S450" s="72" t="str">
        <f t="shared" si="67"/>
        <v/>
      </c>
      <c r="T450" s="72" t="str">
        <f t="shared" si="68"/>
        <v/>
      </c>
      <c r="AD450" s="72" t="s">
        <v>843</v>
      </c>
      <c r="AE450" s="72" t="s">
        <v>844</v>
      </c>
      <c r="AF450" s="72" t="str">
        <f t="shared" si="69"/>
        <v>A679078</v>
      </c>
      <c r="AG450" s="72" t="str">
        <f>VLOOKUP(AF450,AKT!$C$4:$E$324,3,FALSE)</f>
        <v>0942</v>
      </c>
    </row>
    <row r="451" spans="1:33">
      <c r="A451" s="82"/>
      <c r="B451" s="77" t="str">
        <f t="shared" si="65"/>
        <v/>
      </c>
      <c r="C451" s="82"/>
      <c r="D451" s="77" t="str">
        <f t="shared" ref="D451:D512" si="70">IFERROR(VLOOKUP(C451,$X$5:$Z$140,2,FALSE),"")</f>
        <v/>
      </c>
      <c r="E451" s="114"/>
      <c r="F451" s="77" t="str">
        <f t="shared" ref="F451:F512" si="71">IFERROR(VLOOKUP(E451,$AD$6:$AE$1101,2,FALSE),"")</f>
        <v/>
      </c>
      <c r="G451" s="77" t="str">
        <f t="shared" si="64"/>
        <v/>
      </c>
      <c r="H451" s="113"/>
      <c r="I451" s="113"/>
      <c r="J451" s="113"/>
      <c r="K451" s="126"/>
      <c r="L451" s="125"/>
      <c r="M451" s="125"/>
      <c r="N451" s="126"/>
      <c r="O451" s="303"/>
      <c r="P451" s="81"/>
      <c r="R451" s="72" t="str">
        <f t="shared" si="66"/>
        <v/>
      </c>
      <c r="S451" s="72" t="str">
        <f t="shared" si="67"/>
        <v/>
      </c>
      <c r="T451" s="72" t="str">
        <f t="shared" si="68"/>
        <v/>
      </c>
      <c r="AD451" s="72" t="s">
        <v>845</v>
      </c>
      <c r="AE451" s="72" t="s">
        <v>846</v>
      </c>
      <c r="AF451" s="72" t="str">
        <f t="shared" si="69"/>
        <v>A679078</v>
      </c>
      <c r="AG451" s="72" t="str">
        <f>VLOOKUP(AF451,AKT!$C$4:$E$324,3,FALSE)</f>
        <v>0942</v>
      </c>
    </row>
    <row r="452" spans="1:33">
      <c r="A452" s="82"/>
      <c r="B452" s="77" t="str">
        <f t="shared" si="65"/>
        <v/>
      </c>
      <c r="C452" s="82"/>
      <c r="D452" s="77" t="str">
        <f t="shared" si="70"/>
        <v/>
      </c>
      <c r="E452" s="114"/>
      <c r="F452" s="77" t="str">
        <f t="shared" si="71"/>
        <v/>
      </c>
      <c r="G452" s="77" t="str">
        <f t="shared" ref="G452:G512" si="72">IFERROR(VLOOKUP(E452,$AD$6:$AG$1101,4,FALSE),"")</f>
        <v/>
      </c>
      <c r="H452" s="113"/>
      <c r="I452" s="113"/>
      <c r="J452" s="113"/>
      <c r="K452" s="126"/>
      <c r="L452" s="125"/>
      <c r="M452" s="125"/>
      <c r="N452" s="126"/>
      <c r="O452" s="303"/>
      <c r="P452" s="81"/>
      <c r="R452" s="72" t="str">
        <f t="shared" si="66"/>
        <v/>
      </c>
      <c r="S452" s="72" t="str">
        <f t="shared" si="67"/>
        <v/>
      </c>
      <c r="T452" s="72" t="str">
        <f t="shared" si="68"/>
        <v/>
      </c>
      <c r="AD452" s="72" t="s">
        <v>847</v>
      </c>
      <c r="AE452" s="72" t="s">
        <v>848</v>
      </c>
      <c r="AF452" s="72" t="str">
        <f t="shared" si="69"/>
        <v>A679078</v>
      </c>
      <c r="AG452" s="72" t="str">
        <f>VLOOKUP(AF452,AKT!$C$4:$E$324,3,FALSE)</f>
        <v>0942</v>
      </c>
    </row>
    <row r="453" spans="1:33">
      <c r="A453" s="82"/>
      <c r="B453" s="77" t="str">
        <f t="shared" si="65"/>
        <v/>
      </c>
      <c r="C453" s="82"/>
      <c r="D453" s="77" t="str">
        <f t="shared" si="70"/>
        <v/>
      </c>
      <c r="E453" s="114"/>
      <c r="F453" s="77" t="str">
        <f t="shared" si="71"/>
        <v/>
      </c>
      <c r="G453" s="77" t="str">
        <f t="shared" si="72"/>
        <v/>
      </c>
      <c r="H453" s="113"/>
      <c r="I453" s="113"/>
      <c r="J453" s="113"/>
      <c r="K453" s="126"/>
      <c r="L453" s="125"/>
      <c r="M453" s="125"/>
      <c r="N453" s="126"/>
      <c r="O453" s="303"/>
      <c r="P453" s="81"/>
      <c r="R453" s="72" t="str">
        <f t="shared" si="66"/>
        <v/>
      </c>
      <c r="S453" s="72" t="str">
        <f t="shared" si="67"/>
        <v/>
      </c>
      <c r="T453" s="72" t="str">
        <f t="shared" si="68"/>
        <v/>
      </c>
      <c r="AD453" s="72" t="s">
        <v>849</v>
      </c>
      <c r="AE453" s="72" t="s">
        <v>850</v>
      </c>
      <c r="AF453" s="72" t="str">
        <f t="shared" si="69"/>
        <v>A679078</v>
      </c>
      <c r="AG453" s="72" t="str">
        <f>VLOOKUP(AF453,AKT!$C$4:$E$324,3,FALSE)</f>
        <v>0942</v>
      </c>
    </row>
    <row r="454" spans="1:33">
      <c r="A454" s="82"/>
      <c r="B454" s="77" t="str">
        <f t="shared" si="65"/>
        <v/>
      </c>
      <c r="C454" s="82"/>
      <c r="D454" s="77" t="str">
        <f t="shared" si="70"/>
        <v/>
      </c>
      <c r="E454" s="114"/>
      <c r="F454" s="77" t="str">
        <f t="shared" si="71"/>
        <v/>
      </c>
      <c r="G454" s="77" t="str">
        <f t="shared" si="72"/>
        <v/>
      </c>
      <c r="H454" s="113"/>
      <c r="I454" s="113"/>
      <c r="J454" s="113"/>
      <c r="K454" s="126"/>
      <c r="L454" s="125"/>
      <c r="M454" s="125"/>
      <c r="N454" s="126"/>
      <c r="O454" s="303"/>
      <c r="P454" s="81"/>
      <c r="R454" s="72" t="str">
        <f t="shared" si="66"/>
        <v/>
      </c>
      <c r="S454" s="72" t="str">
        <f t="shared" si="67"/>
        <v/>
      </c>
      <c r="T454" s="72" t="str">
        <f t="shared" si="68"/>
        <v/>
      </c>
      <c r="AD454" s="72" t="s">
        <v>851</v>
      </c>
      <c r="AE454" s="72" t="s">
        <v>852</v>
      </c>
      <c r="AF454" s="72" t="str">
        <f t="shared" si="69"/>
        <v>A679078</v>
      </c>
      <c r="AG454" s="72" t="str">
        <f>VLOOKUP(AF454,AKT!$C$4:$E$324,3,FALSE)</f>
        <v>0942</v>
      </c>
    </row>
    <row r="455" spans="1:33">
      <c r="A455" s="82"/>
      <c r="B455" s="77" t="str">
        <f t="shared" si="65"/>
        <v/>
      </c>
      <c r="C455" s="82"/>
      <c r="D455" s="77" t="str">
        <f t="shared" si="70"/>
        <v/>
      </c>
      <c r="E455" s="114"/>
      <c r="F455" s="77" t="str">
        <f t="shared" si="71"/>
        <v/>
      </c>
      <c r="G455" s="77" t="str">
        <f t="shared" si="72"/>
        <v/>
      </c>
      <c r="H455" s="113"/>
      <c r="I455" s="113"/>
      <c r="J455" s="113"/>
      <c r="K455" s="126"/>
      <c r="L455" s="125"/>
      <c r="M455" s="125"/>
      <c r="N455" s="126"/>
      <c r="O455" s="303"/>
      <c r="P455" s="81"/>
      <c r="R455" s="72" t="str">
        <f t="shared" si="66"/>
        <v/>
      </c>
      <c r="S455" s="72" t="str">
        <f t="shared" si="67"/>
        <v/>
      </c>
      <c r="T455" s="72" t="str">
        <f t="shared" si="68"/>
        <v/>
      </c>
      <c r="AD455" s="72" t="s">
        <v>853</v>
      </c>
      <c r="AE455" s="72" t="s">
        <v>854</v>
      </c>
      <c r="AF455" s="72" t="str">
        <f t="shared" si="69"/>
        <v>A679078</v>
      </c>
      <c r="AG455" s="72" t="str">
        <f>VLOOKUP(AF455,AKT!$C$4:$E$324,3,FALSE)</f>
        <v>0942</v>
      </c>
    </row>
    <row r="456" spans="1:33">
      <c r="A456" s="82"/>
      <c r="B456" s="77" t="str">
        <f t="shared" si="65"/>
        <v/>
      </c>
      <c r="C456" s="82"/>
      <c r="D456" s="77" t="str">
        <f t="shared" si="70"/>
        <v/>
      </c>
      <c r="E456" s="114"/>
      <c r="F456" s="77" t="str">
        <f t="shared" si="71"/>
        <v/>
      </c>
      <c r="G456" s="77" t="str">
        <f t="shared" si="72"/>
        <v/>
      </c>
      <c r="H456" s="113"/>
      <c r="I456" s="113"/>
      <c r="J456" s="113"/>
      <c r="K456" s="126"/>
      <c r="L456" s="125"/>
      <c r="M456" s="125"/>
      <c r="N456" s="126"/>
      <c r="O456" s="303"/>
      <c r="P456" s="81"/>
      <c r="R456" s="72" t="str">
        <f t="shared" si="66"/>
        <v/>
      </c>
      <c r="S456" s="72" t="str">
        <f t="shared" si="67"/>
        <v/>
      </c>
      <c r="T456" s="72" t="str">
        <f t="shared" si="68"/>
        <v/>
      </c>
      <c r="AD456" s="72" t="s">
        <v>855</v>
      </c>
      <c r="AE456" s="72" t="s">
        <v>856</v>
      </c>
      <c r="AF456" s="72" t="str">
        <f t="shared" si="69"/>
        <v>A679078</v>
      </c>
      <c r="AG456" s="72" t="str">
        <f>VLOOKUP(AF456,AKT!$C$4:$E$324,3,FALSE)</f>
        <v>0942</v>
      </c>
    </row>
    <row r="457" spans="1:33">
      <c r="A457" s="82"/>
      <c r="B457" s="77" t="str">
        <f t="shared" si="65"/>
        <v/>
      </c>
      <c r="C457" s="82"/>
      <c r="D457" s="77" t="str">
        <f t="shared" si="70"/>
        <v/>
      </c>
      <c r="E457" s="114"/>
      <c r="F457" s="77" t="str">
        <f t="shared" si="71"/>
        <v/>
      </c>
      <c r="G457" s="77" t="str">
        <f t="shared" si="72"/>
        <v/>
      </c>
      <c r="H457" s="113"/>
      <c r="I457" s="113"/>
      <c r="J457" s="113"/>
      <c r="K457" s="126"/>
      <c r="L457" s="125"/>
      <c r="M457" s="125"/>
      <c r="N457" s="126"/>
      <c r="O457" s="303"/>
      <c r="P457" s="81"/>
      <c r="R457" s="72" t="str">
        <f t="shared" si="66"/>
        <v/>
      </c>
      <c r="S457" s="72" t="str">
        <f t="shared" si="67"/>
        <v/>
      </c>
      <c r="T457" s="72" t="str">
        <f t="shared" si="68"/>
        <v/>
      </c>
      <c r="AD457" s="72" t="s">
        <v>857</v>
      </c>
      <c r="AE457" s="72" t="s">
        <v>858</v>
      </c>
      <c r="AF457" s="72" t="str">
        <f t="shared" si="69"/>
        <v>A679078</v>
      </c>
      <c r="AG457" s="72" t="str">
        <f>VLOOKUP(AF457,AKT!$C$4:$E$324,3,FALSE)</f>
        <v>0942</v>
      </c>
    </row>
    <row r="458" spans="1:33">
      <c r="A458" s="82"/>
      <c r="B458" s="77" t="str">
        <f t="shared" si="65"/>
        <v/>
      </c>
      <c r="C458" s="82"/>
      <c r="D458" s="77" t="str">
        <f t="shared" si="70"/>
        <v/>
      </c>
      <c r="E458" s="114"/>
      <c r="F458" s="77" t="str">
        <f t="shared" si="71"/>
        <v/>
      </c>
      <c r="G458" s="77" t="str">
        <f t="shared" si="72"/>
        <v/>
      </c>
      <c r="H458" s="113"/>
      <c r="I458" s="113"/>
      <c r="J458" s="113"/>
      <c r="K458" s="126"/>
      <c r="L458" s="125"/>
      <c r="M458" s="125"/>
      <c r="N458" s="126"/>
      <c r="O458" s="303"/>
      <c r="P458" s="81"/>
      <c r="R458" s="72" t="str">
        <f t="shared" si="66"/>
        <v/>
      </c>
      <c r="S458" s="72" t="str">
        <f t="shared" si="67"/>
        <v/>
      </c>
      <c r="T458" s="72" t="str">
        <f t="shared" si="68"/>
        <v/>
      </c>
      <c r="AD458" s="72" t="s">
        <v>1415</v>
      </c>
      <c r="AE458" s="72" t="s">
        <v>1416</v>
      </c>
      <c r="AF458" s="72" t="str">
        <f t="shared" si="69"/>
        <v>A679078</v>
      </c>
      <c r="AG458" s="72" t="str">
        <f>VLOOKUP(AF458,AKT!$C$4:$E$324,3,FALSE)</f>
        <v>0942</v>
      </c>
    </row>
    <row r="459" spans="1:33">
      <c r="A459" s="82"/>
      <c r="B459" s="77" t="str">
        <f t="shared" si="65"/>
        <v/>
      </c>
      <c r="C459" s="82"/>
      <c r="D459" s="77" t="str">
        <f t="shared" si="70"/>
        <v/>
      </c>
      <c r="E459" s="114"/>
      <c r="F459" s="77" t="str">
        <f t="shared" si="71"/>
        <v/>
      </c>
      <c r="G459" s="77" t="str">
        <f t="shared" si="72"/>
        <v/>
      </c>
      <c r="H459" s="113"/>
      <c r="I459" s="113"/>
      <c r="J459" s="113"/>
      <c r="K459" s="126"/>
      <c r="L459" s="125"/>
      <c r="M459" s="125"/>
      <c r="N459" s="126"/>
      <c r="O459" s="303"/>
      <c r="P459" s="81"/>
      <c r="R459" s="72" t="str">
        <f t="shared" si="66"/>
        <v/>
      </c>
      <c r="S459" s="72" t="str">
        <f t="shared" si="67"/>
        <v/>
      </c>
      <c r="T459" s="72" t="str">
        <f t="shared" si="68"/>
        <v/>
      </c>
      <c r="AD459" s="72" t="s">
        <v>1417</v>
      </c>
      <c r="AE459" s="72" t="s">
        <v>1418</v>
      </c>
      <c r="AF459" s="72" t="str">
        <f t="shared" si="69"/>
        <v>A679078</v>
      </c>
      <c r="AG459" s="72" t="str">
        <f>VLOOKUP(AF459,AKT!$C$4:$E$324,3,FALSE)</f>
        <v>0942</v>
      </c>
    </row>
    <row r="460" spans="1:33">
      <c r="A460" s="82"/>
      <c r="B460" s="77" t="str">
        <f t="shared" ref="B460:B512" si="73">IFERROR(VLOOKUP(A460,$U$6:$V$34,2,FALSE),"")</f>
        <v/>
      </c>
      <c r="C460" s="82"/>
      <c r="D460" s="77" t="str">
        <f t="shared" si="70"/>
        <v/>
      </c>
      <c r="E460" s="114"/>
      <c r="F460" s="77" t="str">
        <f t="shared" si="71"/>
        <v/>
      </c>
      <c r="G460" s="77" t="str">
        <f t="shared" si="72"/>
        <v/>
      </c>
      <c r="H460" s="113"/>
      <c r="I460" s="113"/>
      <c r="J460" s="113"/>
      <c r="K460" s="126"/>
      <c r="L460" s="125"/>
      <c r="M460" s="125"/>
      <c r="N460" s="126"/>
      <c r="O460" s="303"/>
      <c r="P460" s="81"/>
      <c r="R460" s="72" t="str">
        <f t="shared" si="66"/>
        <v/>
      </c>
      <c r="S460" s="72" t="str">
        <f t="shared" si="67"/>
        <v/>
      </c>
      <c r="T460" s="72" t="str">
        <f t="shared" si="68"/>
        <v/>
      </c>
      <c r="AD460" s="72" t="s">
        <v>1419</v>
      </c>
      <c r="AE460" s="72" t="s">
        <v>1420</v>
      </c>
      <c r="AF460" s="72" t="str">
        <f t="shared" si="69"/>
        <v>A679078</v>
      </c>
      <c r="AG460" s="72" t="str">
        <f>VLOOKUP(AF460,AKT!$C$4:$E$324,3,FALSE)</f>
        <v>0942</v>
      </c>
    </row>
    <row r="461" spans="1:33">
      <c r="A461" s="82"/>
      <c r="B461" s="77" t="str">
        <f t="shared" si="73"/>
        <v/>
      </c>
      <c r="C461" s="82"/>
      <c r="D461" s="77" t="str">
        <f t="shared" si="70"/>
        <v/>
      </c>
      <c r="E461" s="114"/>
      <c r="F461" s="77" t="str">
        <f t="shared" si="71"/>
        <v/>
      </c>
      <c r="G461" s="77" t="str">
        <f t="shared" si="72"/>
        <v/>
      </c>
      <c r="H461" s="113"/>
      <c r="I461" s="113"/>
      <c r="J461" s="113"/>
      <c r="K461" s="126"/>
      <c r="L461" s="125"/>
      <c r="M461" s="125"/>
      <c r="N461" s="126"/>
      <c r="O461" s="303"/>
      <c r="P461" s="81"/>
      <c r="R461" s="72" t="str">
        <f t="shared" si="66"/>
        <v/>
      </c>
      <c r="S461" s="72" t="str">
        <f t="shared" si="67"/>
        <v/>
      </c>
      <c r="T461" s="72" t="str">
        <f t="shared" si="68"/>
        <v/>
      </c>
      <c r="AD461" s="72" t="s">
        <v>1421</v>
      </c>
      <c r="AE461" s="72" t="s">
        <v>1422</v>
      </c>
      <c r="AF461" s="72" t="str">
        <f t="shared" si="69"/>
        <v>A679078</v>
      </c>
      <c r="AG461" s="72" t="str">
        <f>VLOOKUP(AF461,AKT!$C$4:$E$324,3,FALSE)</f>
        <v>0942</v>
      </c>
    </row>
    <row r="462" spans="1:33">
      <c r="A462" s="82"/>
      <c r="B462" s="77" t="str">
        <f t="shared" si="73"/>
        <v/>
      </c>
      <c r="C462" s="82"/>
      <c r="D462" s="77" t="str">
        <f t="shared" si="70"/>
        <v/>
      </c>
      <c r="E462" s="114"/>
      <c r="F462" s="77" t="str">
        <f t="shared" si="71"/>
        <v/>
      </c>
      <c r="G462" s="77" t="str">
        <f t="shared" si="72"/>
        <v/>
      </c>
      <c r="H462" s="113"/>
      <c r="I462" s="113"/>
      <c r="J462" s="113"/>
      <c r="K462" s="126"/>
      <c r="L462" s="125"/>
      <c r="M462" s="125"/>
      <c r="N462" s="126"/>
      <c r="O462" s="303"/>
      <c r="P462" s="81"/>
      <c r="R462" s="72" t="str">
        <f t="shared" si="66"/>
        <v/>
      </c>
      <c r="S462" s="72" t="str">
        <f t="shared" si="67"/>
        <v/>
      </c>
      <c r="T462" s="72" t="str">
        <f t="shared" si="68"/>
        <v/>
      </c>
      <c r="AD462" s="72" t="s">
        <v>1423</v>
      </c>
      <c r="AE462" s="72" t="s">
        <v>1424</v>
      </c>
      <c r="AF462" s="72" t="str">
        <f t="shared" si="69"/>
        <v>A679078</v>
      </c>
      <c r="AG462" s="72" t="str">
        <f>VLOOKUP(AF462,AKT!$C$4:$E$324,3,FALSE)</f>
        <v>0942</v>
      </c>
    </row>
    <row r="463" spans="1:33">
      <c r="A463" s="82"/>
      <c r="B463" s="77" t="str">
        <f t="shared" si="73"/>
        <v/>
      </c>
      <c r="C463" s="82"/>
      <c r="D463" s="77" t="str">
        <f t="shared" si="70"/>
        <v/>
      </c>
      <c r="E463" s="114"/>
      <c r="F463" s="77" t="str">
        <f t="shared" si="71"/>
        <v/>
      </c>
      <c r="G463" s="77" t="str">
        <f t="shared" si="72"/>
        <v/>
      </c>
      <c r="H463" s="113"/>
      <c r="I463" s="113"/>
      <c r="J463" s="113"/>
      <c r="K463" s="126"/>
      <c r="L463" s="125"/>
      <c r="M463" s="125"/>
      <c r="N463" s="126"/>
      <c r="O463" s="303"/>
      <c r="P463" s="81"/>
      <c r="R463" s="72" t="str">
        <f t="shared" ref="R463:R512" si="74">LEFT(C463,3)</f>
        <v/>
      </c>
      <c r="S463" s="72" t="str">
        <f t="shared" ref="S463:S512" si="75">LEFT(C463,2)</f>
        <v/>
      </c>
      <c r="T463" s="72" t="str">
        <f t="shared" ref="T463:T512" si="76">MID(G463,2,2)</f>
        <v/>
      </c>
      <c r="AD463" s="72" t="s">
        <v>1425</v>
      </c>
      <c r="AE463" s="72" t="s">
        <v>1426</v>
      </c>
      <c r="AF463" s="72" t="str">
        <f t="shared" si="69"/>
        <v>A679078</v>
      </c>
      <c r="AG463" s="72" t="str">
        <f>VLOOKUP(AF463,AKT!$C$4:$E$324,3,FALSE)</f>
        <v>0942</v>
      </c>
    </row>
    <row r="464" spans="1:33">
      <c r="A464" s="82"/>
      <c r="B464" s="77" t="str">
        <f t="shared" si="73"/>
        <v/>
      </c>
      <c r="C464" s="82"/>
      <c r="D464" s="77" t="str">
        <f t="shared" si="70"/>
        <v/>
      </c>
      <c r="E464" s="114"/>
      <c r="F464" s="77" t="str">
        <f t="shared" si="71"/>
        <v/>
      </c>
      <c r="G464" s="77" t="str">
        <f t="shared" si="72"/>
        <v/>
      </c>
      <c r="H464" s="113"/>
      <c r="I464" s="113"/>
      <c r="J464" s="113"/>
      <c r="K464" s="126"/>
      <c r="L464" s="125"/>
      <c r="M464" s="125"/>
      <c r="N464" s="126"/>
      <c r="O464" s="303"/>
      <c r="P464" s="81"/>
      <c r="R464" s="72" t="str">
        <f t="shared" si="74"/>
        <v/>
      </c>
      <c r="S464" s="72" t="str">
        <f t="shared" si="75"/>
        <v/>
      </c>
      <c r="T464" s="72" t="str">
        <f t="shared" si="76"/>
        <v/>
      </c>
      <c r="AD464" s="72" t="s">
        <v>1427</v>
      </c>
      <c r="AE464" s="72" t="s">
        <v>1428</v>
      </c>
      <c r="AF464" s="72" t="str">
        <f t="shared" si="69"/>
        <v>A679078</v>
      </c>
      <c r="AG464" s="72" t="str">
        <f>VLOOKUP(AF464,AKT!$C$4:$E$324,3,FALSE)</f>
        <v>0942</v>
      </c>
    </row>
    <row r="465" spans="1:33">
      <c r="A465" s="82"/>
      <c r="B465" s="77" t="str">
        <f t="shared" si="73"/>
        <v/>
      </c>
      <c r="C465" s="82"/>
      <c r="D465" s="77" t="str">
        <f t="shared" si="70"/>
        <v/>
      </c>
      <c r="E465" s="114"/>
      <c r="F465" s="77" t="str">
        <f t="shared" si="71"/>
        <v/>
      </c>
      <c r="G465" s="77" t="str">
        <f t="shared" si="72"/>
        <v/>
      </c>
      <c r="H465" s="113"/>
      <c r="I465" s="113"/>
      <c r="J465" s="113"/>
      <c r="K465" s="126"/>
      <c r="L465" s="125"/>
      <c r="M465" s="125"/>
      <c r="N465" s="126"/>
      <c r="O465" s="303"/>
      <c r="P465" s="81"/>
      <c r="R465" s="72" t="str">
        <f t="shared" si="74"/>
        <v/>
      </c>
      <c r="S465" s="72" t="str">
        <f t="shared" si="75"/>
        <v/>
      </c>
      <c r="T465" s="72" t="str">
        <f t="shared" si="76"/>
        <v/>
      </c>
      <c r="AD465" s="72" t="s">
        <v>1429</v>
      </c>
      <c r="AE465" s="72" t="s">
        <v>1430</v>
      </c>
      <c r="AF465" s="72" t="str">
        <f t="shared" si="69"/>
        <v>A679078</v>
      </c>
      <c r="AG465" s="72" t="str">
        <f>VLOOKUP(AF465,AKT!$C$4:$E$324,3,FALSE)</f>
        <v>0942</v>
      </c>
    </row>
    <row r="466" spans="1:33">
      <c r="A466" s="82"/>
      <c r="B466" s="77" t="str">
        <f t="shared" si="73"/>
        <v/>
      </c>
      <c r="C466" s="82"/>
      <c r="D466" s="77" t="str">
        <f t="shared" si="70"/>
        <v/>
      </c>
      <c r="E466" s="114"/>
      <c r="F466" s="77" t="str">
        <f t="shared" si="71"/>
        <v/>
      </c>
      <c r="G466" s="77" t="str">
        <f t="shared" si="72"/>
        <v/>
      </c>
      <c r="H466" s="113"/>
      <c r="I466" s="113"/>
      <c r="J466" s="113"/>
      <c r="K466" s="126"/>
      <c r="L466" s="125"/>
      <c r="M466" s="125"/>
      <c r="N466" s="126"/>
      <c r="O466" s="303"/>
      <c r="P466" s="81"/>
      <c r="R466" s="72" t="str">
        <f t="shared" si="74"/>
        <v/>
      </c>
      <c r="S466" s="72" t="str">
        <f t="shared" si="75"/>
        <v/>
      </c>
      <c r="T466" s="72" t="str">
        <f t="shared" si="76"/>
        <v/>
      </c>
      <c r="AD466" s="72" t="s">
        <v>1431</v>
      </c>
      <c r="AE466" s="72" t="s">
        <v>1432</v>
      </c>
      <c r="AF466" s="72" t="str">
        <f t="shared" si="69"/>
        <v>A679078</v>
      </c>
      <c r="AG466" s="72" t="str">
        <f>VLOOKUP(AF466,AKT!$C$4:$E$324,3,FALSE)</f>
        <v>0942</v>
      </c>
    </row>
    <row r="467" spans="1:33">
      <c r="A467" s="82"/>
      <c r="B467" s="77" t="str">
        <f t="shared" si="73"/>
        <v/>
      </c>
      <c r="C467" s="82"/>
      <c r="D467" s="77" t="str">
        <f t="shared" si="70"/>
        <v/>
      </c>
      <c r="E467" s="114"/>
      <c r="F467" s="77" t="str">
        <f t="shared" si="71"/>
        <v/>
      </c>
      <c r="G467" s="77" t="str">
        <f t="shared" si="72"/>
        <v/>
      </c>
      <c r="H467" s="113"/>
      <c r="I467" s="113"/>
      <c r="J467" s="113"/>
      <c r="K467" s="126"/>
      <c r="L467" s="125"/>
      <c r="M467" s="125"/>
      <c r="N467" s="126"/>
      <c r="O467" s="303"/>
      <c r="P467" s="81"/>
      <c r="R467" s="72" t="str">
        <f t="shared" si="74"/>
        <v/>
      </c>
      <c r="S467" s="72" t="str">
        <f t="shared" si="75"/>
        <v/>
      </c>
      <c r="T467" s="72" t="str">
        <f t="shared" si="76"/>
        <v/>
      </c>
      <c r="AD467" s="72" t="s">
        <v>1433</v>
      </c>
      <c r="AE467" s="72" t="s">
        <v>1434</v>
      </c>
      <c r="AF467" s="72" t="str">
        <f t="shared" ref="AF467:AF530" si="77">LEFT(AD467,7)</f>
        <v>A679078</v>
      </c>
      <c r="AG467" s="72" t="str">
        <f>VLOOKUP(AF467,AKT!$C$4:$E$324,3,FALSE)</f>
        <v>0942</v>
      </c>
    </row>
    <row r="468" spans="1:33">
      <c r="A468" s="82"/>
      <c r="B468" s="77" t="str">
        <f t="shared" si="73"/>
        <v/>
      </c>
      <c r="C468" s="82"/>
      <c r="D468" s="77" t="str">
        <f t="shared" si="70"/>
        <v/>
      </c>
      <c r="E468" s="114"/>
      <c r="F468" s="77" t="str">
        <f t="shared" si="71"/>
        <v/>
      </c>
      <c r="G468" s="77" t="str">
        <f t="shared" si="72"/>
        <v/>
      </c>
      <c r="H468" s="113"/>
      <c r="I468" s="113"/>
      <c r="J468" s="113"/>
      <c r="K468" s="126"/>
      <c r="L468" s="125"/>
      <c r="M468" s="125"/>
      <c r="N468" s="126"/>
      <c r="O468" s="303"/>
      <c r="P468" s="81"/>
      <c r="R468" s="72" t="str">
        <f t="shared" si="74"/>
        <v/>
      </c>
      <c r="S468" s="72" t="str">
        <f t="shared" si="75"/>
        <v/>
      </c>
      <c r="T468" s="72" t="str">
        <f t="shared" si="76"/>
        <v/>
      </c>
      <c r="AD468" s="72" t="s">
        <v>1435</v>
      </c>
      <c r="AE468" s="72" t="s">
        <v>1436</v>
      </c>
      <c r="AF468" s="72" t="str">
        <f t="shared" si="77"/>
        <v>A679078</v>
      </c>
      <c r="AG468" s="72" t="str">
        <f>VLOOKUP(AF468,AKT!$C$4:$E$324,3,FALSE)</f>
        <v>0942</v>
      </c>
    </row>
    <row r="469" spans="1:33">
      <c r="A469" s="82"/>
      <c r="B469" s="77" t="str">
        <f t="shared" si="73"/>
        <v/>
      </c>
      <c r="C469" s="82"/>
      <c r="D469" s="77" t="str">
        <f t="shared" si="70"/>
        <v/>
      </c>
      <c r="E469" s="114"/>
      <c r="F469" s="77" t="str">
        <f t="shared" si="71"/>
        <v/>
      </c>
      <c r="G469" s="77" t="str">
        <f t="shared" si="72"/>
        <v/>
      </c>
      <c r="H469" s="113"/>
      <c r="I469" s="113"/>
      <c r="J469" s="113"/>
      <c r="K469" s="126"/>
      <c r="L469" s="125"/>
      <c r="M469" s="125"/>
      <c r="N469" s="126"/>
      <c r="O469" s="303"/>
      <c r="P469" s="81"/>
      <c r="R469" s="72" t="str">
        <f t="shared" si="74"/>
        <v/>
      </c>
      <c r="S469" s="72" t="str">
        <f t="shared" si="75"/>
        <v/>
      </c>
      <c r="T469" s="72" t="str">
        <f t="shared" si="76"/>
        <v/>
      </c>
      <c r="AD469" s="72" t="s">
        <v>1437</v>
      </c>
      <c r="AE469" s="72" t="s">
        <v>1438</v>
      </c>
      <c r="AF469" s="72" t="str">
        <f t="shared" si="77"/>
        <v>A679078</v>
      </c>
      <c r="AG469" s="72" t="str">
        <f>VLOOKUP(AF469,AKT!$C$4:$E$324,3,FALSE)</f>
        <v>0942</v>
      </c>
    </row>
    <row r="470" spans="1:33">
      <c r="A470" s="82"/>
      <c r="B470" s="77" t="str">
        <f t="shared" si="73"/>
        <v/>
      </c>
      <c r="C470" s="82"/>
      <c r="D470" s="77" t="str">
        <f t="shared" si="70"/>
        <v/>
      </c>
      <c r="E470" s="114"/>
      <c r="F470" s="77" t="str">
        <f t="shared" si="71"/>
        <v/>
      </c>
      <c r="G470" s="77" t="str">
        <f t="shared" si="72"/>
        <v/>
      </c>
      <c r="H470" s="113"/>
      <c r="I470" s="113"/>
      <c r="J470" s="113"/>
      <c r="K470" s="126"/>
      <c r="L470" s="125"/>
      <c r="M470" s="125"/>
      <c r="N470" s="126"/>
      <c r="O470" s="303"/>
      <c r="P470" s="81"/>
      <c r="R470" s="72" t="str">
        <f t="shared" si="74"/>
        <v/>
      </c>
      <c r="S470" s="72" t="str">
        <f t="shared" si="75"/>
        <v/>
      </c>
      <c r="T470" s="72" t="str">
        <f t="shared" si="76"/>
        <v/>
      </c>
      <c r="AD470" s="72" t="s">
        <v>1439</v>
      </c>
      <c r="AE470" s="72" t="s">
        <v>1440</v>
      </c>
      <c r="AF470" s="72" t="str">
        <f t="shared" si="77"/>
        <v>A679078</v>
      </c>
      <c r="AG470" s="72" t="str">
        <f>VLOOKUP(AF470,AKT!$C$4:$E$324,3,FALSE)</f>
        <v>0942</v>
      </c>
    </row>
    <row r="471" spans="1:33">
      <c r="A471" s="82"/>
      <c r="B471" s="77" t="str">
        <f t="shared" si="73"/>
        <v/>
      </c>
      <c r="C471" s="82"/>
      <c r="D471" s="77" t="str">
        <f t="shared" si="70"/>
        <v/>
      </c>
      <c r="E471" s="114"/>
      <c r="F471" s="77" t="str">
        <f t="shared" si="71"/>
        <v/>
      </c>
      <c r="G471" s="77" t="str">
        <f t="shared" si="72"/>
        <v/>
      </c>
      <c r="H471" s="113"/>
      <c r="I471" s="113"/>
      <c r="J471" s="113"/>
      <c r="K471" s="126"/>
      <c r="L471" s="125"/>
      <c r="M471" s="125"/>
      <c r="N471" s="126"/>
      <c r="O471" s="303"/>
      <c r="P471" s="81"/>
      <c r="R471" s="72" t="str">
        <f t="shared" si="74"/>
        <v/>
      </c>
      <c r="S471" s="72" t="str">
        <f t="shared" si="75"/>
        <v/>
      </c>
      <c r="T471" s="72" t="str">
        <f t="shared" si="76"/>
        <v/>
      </c>
      <c r="AD471" s="72" t="s">
        <v>1441</v>
      </c>
      <c r="AE471" s="72" t="s">
        <v>1442</v>
      </c>
      <c r="AF471" s="72" t="str">
        <f t="shared" si="77"/>
        <v>A679078</v>
      </c>
      <c r="AG471" s="72" t="str">
        <f>VLOOKUP(AF471,AKT!$C$4:$E$324,3,FALSE)</f>
        <v>0942</v>
      </c>
    </row>
    <row r="472" spans="1:33">
      <c r="A472" s="82"/>
      <c r="B472" s="77" t="str">
        <f t="shared" si="73"/>
        <v/>
      </c>
      <c r="C472" s="82"/>
      <c r="D472" s="77" t="str">
        <f t="shared" si="70"/>
        <v/>
      </c>
      <c r="E472" s="114"/>
      <c r="F472" s="77" t="str">
        <f t="shared" si="71"/>
        <v/>
      </c>
      <c r="G472" s="77" t="str">
        <f t="shared" si="72"/>
        <v/>
      </c>
      <c r="H472" s="113"/>
      <c r="I472" s="113"/>
      <c r="J472" s="113"/>
      <c r="K472" s="126"/>
      <c r="L472" s="125"/>
      <c r="M472" s="125"/>
      <c r="N472" s="126"/>
      <c r="O472" s="303"/>
      <c r="P472" s="81"/>
      <c r="R472" s="72" t="str">
        <f t="shared" si="74"/>
        <v/>
      </c>
      <c r="S472" s="72" t="str">
        <f t="shared" si="75"/>
        <v/>
      </c>
      <c r="T472" s="72" t="str">
        <f t="shared" si="76"/>
        <v/>
      </c>
      <c r="AD472" s="72" t="s">
        <v>1443</v>
      </c>
      <c r="AE472" s="72" t="s">
        <v>1444</v>
      </c>
      <c r="AF472" s="72" t="str">
        <f t="shared" si="77"/>
        <v>A679078</v>
      </c>
      <c r="AG472" s="72" t="str">
        <f>VLOOKUP(AF472,AKT!$C$4:$E$324,3,FALSE)</f>
        <v>0942</v>
      </c>
    </row>
    <row r="473" spans="1:33">
      <c r="A473" s="82"/>
      <c r="B473" s="77" t="str">
        <f t="shared" si="73"/>
        <v/>
      </c>
      <c r="C473" s="82"/>
      <c r="D473" s="77" t="str">
        <f t="shared" si="70"/>
        <v/>
      </c>
      <c r="E473" s="114"/>
      <c r="F473" s="77" t="str">
        <f t="shared" si="71"/>
        <v/>
      </c>
      <c r="G473" s="77" t="str">
        <f t="shared" si="72"/>
        <v/>
      </c>
      <c r="H473" s="113"/>
      <c r="I473" s="113"/>
      <c r="J473" s="113"/>
      <c r="K473" s="126"/>
      <c r="L473" s="125"/>
      <c r="M473" s="125"/>
      <c r="N473" s="126"/>
      <c r="O473" s="303"/>
      <c r="P473" s="81"/>
      <c r="R473" s="72" t="str">
        <f t="shared" si="74"/>
        <v/>
      </c>
      <c r="S473" s="72" t="str">
        <f t="shared" si="75"/>
        <v/>
      </c>
      <c r="T473" s="72" t="str">
        <f t="shared" si="76"/>
        <v/>
      </c>
      <c r="AD473" s="72" t="s">
        <v>1445</v>
      </c>
      <c r="AE473" s="72" t="s">
        <v>1446</v>
      </c>
      <c r="AF473" s="72" t="str">
        <f t="shared" si="77"/>
        <v>A679078</v>
      </c>
      <c r="AG473" s="72" t="str">
        <f>VLOOKUP(AF473,AKT!$C$4:$E$324,3,FALSE)</f>
        <v>0942</v>
      </c>
    </row>
    <row r="474" spans="1:33">
      <c r="A474" s="82"/>
      <c r="B474" s="77" t="str">
        <f t="shared" si="73"/>
        <v/>
      </c>
      <c r="C474" s="82"/>
      <c r="D474" s="77" t="str">
        <f t="shared" si="70"/>
        <v/>
      </c>
      <c r="E474" s="114"/>
      <c r="F474" s="77" t="str">
        <f t="shared" si="71"/>
        <v/>
      </c>
      <c r="G474" s="77" t="str">
        <f t="shared" si="72"/>
        <v/>
      </c>
      <c r="H474" s="113"/>
      <c r="I474" s="113"/>
      <c r="J474" s="113"/>
      <c r="K474" s="126"/>
      <c r="L474" s="125"/>
      <c r="M474" s="125"/>
      <c r="N474" s="126"/>
      <c r="O474" s="303"/>
      <c r="P474" s="81"/>
      <c r="R474" s="72" t="str">
        <f t="shared" si="74"/>
        <v/>
      </c>
      <c r="S474" s="72" t="str">
        <f t="shared" si="75"/>
        <v/>
      </c>
      <c r="T474" s="72" t="str">
        <f t="shared" si="76"/>
        <v/>
      </c>
      <c r="AD474" s="72" t="s">
        <v>1447</v>
      </c>
      <c r="AE474" s="72" t="s">
        <v>1448</v>
      </c>
      <c r="AF474" s="72" t="str">
        <f t="shared" si="77"/>
        <v>A679078</v>
      </c>
      <c r="AG474" s="72" t="str">
        <f>VLOOKUP(AF474,AKT!$C$4:$E$324,3,FALSE)</f>
        <v>0942</v>
      </c>
    </row>
    <row r="475" spans="1:33">
      <c r="A475" s="82"/>
      <c r="B475" s="77" t="str">
        <f t="shared" si="73"/>
        <v/>
      </c>
      <c r="C475" s="82"/>
      <c r="D475" s="77" t="str">
        <f t="shared" si="70"/>
        <v/>
      </c>
      <c r="E475" s="114"/>
      <c r="F475" s="77" t="str">
        <f t="shared" si="71"/>
        <v/>
      </c>
      <c r="G475" s="77" t="str">
        <f t="shared" si="72"/>
        <v/>
      </c>
      <c r="H475" s="113"/>
      <c r="I475" s="113"/>
      <c r="J475" s="113"/>
      <c r="K475" s="126"/>
      <c r="L475" s="125"/>
      <c r="M475" s="125"/>
      <c r="N475" s="126"/>
      <c r="O475" s="303"/>
      <c r="P475" s="81"/>
      <c r="R475" s="72" t="str">
        <f t="shared" si="74"/>
        <v/>
      </c>
      <c r="S475" s="72" t="str">
        <f t="shared" si="75"/>
        <v/>
      </c>
      <c r="T475" s="72" t="str">
        <f t="shared" si="76"/>
        <v/>
      </c>
      <c r="AD475" s="72" t="s">
        <v>1449</v>
      </c>
      <c r="AE475" s="72" t="s">
        <v>1450</v>
      </c>
      <c r="AF475" s="72" t="str">
        <f t="shared" si="77"/>
        <v>A679078</v>
      </c>
      <c r="AG475" s="72" t="str">
        <f>VLOOKUP(AF475,AKT!$C$4:$E$324,3,FALSE)</f>
        <v>0942</v>
      </c>
    </row>
    <row r="476" spans="1:33">
      <c r="A476" s="82"/>
      <c r="B476" s="77" t="str">
        <f t="shared" si="73"/>
        <v/>
      </c>
      <c r="C476" s="82"/>
      <c r="D476" s="77" t="str">
        <f t="shared" si="70"/>
        <v/>
      </c>
      <c r="E476" s="114"/>
      <c r="F476" s="77" t="str">
        <f t="shared" si="71"/>
        <v/>
      </c>
      <c r="G476" s="77" t="str">
        <f t="shared" si="72"/>
        <v/>
      </c>
      <c r="H476" s="113"/>
      <c r="I476" s="113"/>
      <c r="J476" s="113"/>
      <c r="K476" s="126"/>
      <c r="L476" s="125"/>
      <c r="M476" s="125"/>
      <c r="N476" s="126"/>
      <c r="O476" s="303"/>
      <c r="P476" s="81"/>
      <c r="R476" s="72" t="str">
        <f t="shared" si="74"/>
        <v/>
      </c>
      <c r="S476" s="72" t="str">
        <f t="shared" si="75"/>
        <v/>
      </c>
      <c r="T476" s="72" t="str">
        <f t="shared" si="76"/>
        <v/>
      </c>
      <c r="AD476" s="72" t="s">
        <v>1451</v>
      </c>
      <c r="AE476" s="72" t="s">
        <v>1452</v>
      </c>
      <c r="AF476" s="72" t="str">
        <f t="shared" si="77"/>
        <v>A679078</v>
      </c>
      <c r="AG476" s="72" t="str">
        <f>VLOOKUP(AF476,AKT!$C$4:$E$324,3,FALSE)</f>
        <v>0942</v>
      </c>
    </row>
    <row r="477" spans="1:33">
      <c r="A477" s="82"/>
      <c r="B477" s="77" t="str">
        <f t="shared" si="73"/>
        <v/>
      </c>
      <c r="C477" s="82"/>
      <c r="D477" s="77" t="str">
        <f t="shared" si="70"/>
        <v/>
      </c>
      <c r="E477" s="114"/>
      <c r="F477" s="77" t="str">
        <f t="shared" si="71"/>
        <v/>
      </c>
      <c r="G477" s="77" t="str">
        <f t="shared" si="72"/>
        <v/>
      </c>
      <c r="H477" s="113"/>
      <c r="I477" s="113"/>
      <c r="J477" s="113"/>
      <c r="K477" s="126"/>
      <c r="L477" s="125"/>
      <c r="M477" s="125"/>
      <c r="N477" s="126"/>
      <c r="O477" s="303"/>
      <c r="P477" s="81"/>
      <c r="R477" s="72" t="str">
        <f t="shared" si="74"/>
        <v/>
      </c>
      <c r="S477" s="72" t="str">
        <f t="shared" si="75"/>
        <v/>
      </c>
      <c r="T477" s="72" t="str">
        <f t="shared" si="76"/>
        <v/>
      </c>
      <c r="AD477" s="72" t="s">
        <v>1453</v>
      </c>
      <c r="AE477" s="72" t="s">
        <v>1454</v>
      </c>
      <c r="AF477" s="72" t="str">
        <f t="shared" si="77"/>
        <v>A679078</v>
      </c>
      <c r="AG477" s="72" t="str">
        <f>VLOOKUP(AF477,AKT!$C$4:$E$324,3,FALSE)</f>
        <v>0942</v>
      </c>
    </row>
    <row r="478" spans="1:33">
      <c r="A478" s="82"/>
      <c r="B478" s="77" t="str">
        <f t="shared" si="73"/>
        <v/>
      </c>
      <c r="C478" s="82"/>
      <c r="D478" s="77" t="str">
        <f t="shared" si="70"/>
        <v/>
      </c>
      <c r="E478" s="114"/>
      <c r="F478" s="77" t="str">
        <f t="shared" si="71"/>
        <v/>
      </c>
      <c r="G478" s="77" t="str">
        <f t="shared" si="72"/>
        <v/>
      </c>
      <c r="H478" s="113"/>
      <c r="I478" s="113"/>
      <c r="J478" s="113"/>
      <c r="K478" s="126"/>
      <c r="L478" s="125"/>
      <c r="M478" s="125"/>
      <c r="N478" s="126"/>
      <c r="O478" s="126"/>
      <c r="P478" s="81"/>
      <c r="R478" s="72" t="str">
        <f t="shared" si="74"/>
        <v/>
      </c>
      <c r="S478" s="72" t="str">
        <f t="shared" si="75"/>
        <v/>
      </c>
      <c r="T478" s="72" t="str">
        <f t="shared" si="76"/>
        <v/>
      </c>
      <c r="AD478" s="72" t="s">
        <v>1455</v>
      </c>
      <c r="AE478" s="72" t="s">
        <v>1456</v>
      </c>
      <c r="AF478" s="72" t="str">
        <f t="shared" si="77"/>
        <v>A679078</v>
      </c>
      <c r="AG478" s="72" t="str">
        <f>VLOOKUP(AF478,AKT!$C$4:$E$324,3,FALSE)</f>
        <v>0942</v>
      </c>
    </row>
    <row r="479" spans="1:33">
      <c r="A479" s="82"/>
      <c r="B479" s="77" t="str">
        <f t="shared" si="73"/>
        <v/>
      </c>
      <c r="C479" s="82"/>
      <c r="D479" s="77" t="str">
        <f t="shared" si="70"/>
        <v/>
      </c>
      <c r="E479" s="114"/>
      <c r="F479" s="77" t="str">
        <f t="shared" si="71"/>
        <v/>
      </c>
      <c r="G479" s="77" t="str">
        <f t="shared" si="72"/>
        <v/>
      </c>
      <c r="H479" s="113"/>
      <c r="I479" s="113"/>
      <c r="J479" s="113"/>
      <c r="K479" s="126"/>
      <c r="L479" s="125"/>
      <c r="M479" s="125"/>
      <c r="N479" s="126"/>
      <c r="O479" s="126"/>
      <c r="P479" s="81"/>
      <c r="R479" s="72" t="str">
        <f t="shared" si="74"/>
        <v/>
      </c>
      <c r="S479" s="72" t="str">
        <f t="shared" si="75"/>
        <v/>
      </c>
      <c r="T479" s="72" t="str">
        <f t="shared" si="76"/>
        <v/>
      </c>
      <c r="AD479" s="72" t="s">
        <v>1457</v>
      </c>
      <c r="AE479" s="72" t="s">
        <v>1458</v>
      </c>
      <c r="AF479" s="72" t="str">
        <f t="shared" si="77"/>
        <v>A679078</v>
      </c>
      <c r="AG479" s="72" t="str">
        <f>VLOOKUP(AF479,AKT!$C$4:$E$324,3,FALSE)</f>
        <v>0942</v>
      </c>
    </row>
    <row r="480" spans="1:33">
      <c r="A480" s="82"/>
      <c r="B480" s="77" t="str">
        <f t="shared" si="73"/>
        <v/>
      </c>
      <c r="C480" s="82"/>
      <c r="D480" s="77" t="str">
        <f t="shared" si="70"/>
        <v/>
      </c>
      <c r="E480" s="114"/>
      <c r="F480" s="77" t="str">
        <f t="shared" si="71"/>
        <v/>
      </c>
      <c r="G480" s="77" t="str">
        <f t="shared" si="72"/>
        <v/>
      </c>
      <c r="H480" s="113"/>
      <c r="I480" s="113"/>
      <c r="J480" s="113"/>
      <c r="K480" s="126"/>
      <c r="L480" s="125"/>
      <c r="M480" s="125"/>
      <c r="N480" s="126"/>
      <c r="O480" s="126"/>
      <c r="P480" s="81"/>
      <c r="R480" s="72" t="str">
        <f t="shared" si="74"/>
        <v/>
      </c>
      <c r="S480" s="72" t="str">
        <f t="shared" si="75"/>
        <v/>
      </c>
      <c r="T480" s="72" t="str">
        <f t="shared" si="76"/>
        <v/>
      </c>
      <c r="AD480" s="72" t="s">
        <v>1459</v>
      </c>
      <c r="AE480" s="72" t="s">
        <v>1460</v>
      </c>
      <c r="AF480" s="72" t="str">
        <f t="shared" si="77"/>
        <v>A679078</v>
      </c>
      <c r="AG480" s="72" t="str">
        <f>VLOOKUP(AF480,AKT!$C$4:$E$324,3,FALSE)</f>
        <v>0942</v>
      </c>
    </row>
    <row r="481" spans="1:33">
      <c r="A481" s="82"/>
      <c r="B481" s="77" t="str">
        <f t="shared" si="73"/>
        <v/>
      </c>
      <c r="C481" s="82"/>
      <c r="D481" s="77" t="str">
        <f t="shared" si="70"/>
        <v/>
      </c>
      <c r="E481" s="114"/>
      <c r="F481" s="77" t="str">
        <f t="shared" si="71"/>
        <v/>
      </c>
      <c r="G481" s="77" t="str">
        <f t="shared" si="72"/>
        <v/>
      </c>
      <c r="H481" s="113"/>
      <c r="I481" s="113"/>
      <c r="J481" s="113"/>
      <c r="K481" s="126"/>
      <c r="L481" s="125"/>
      <c r="M481" s="125"/>
      <c r="N481" s="126"/>
      <c r="O481" s="126"/>
      <c r="P481" s="81"/>
      <c r="R481" s="72" t="str">
        <f t="shared" si="74"/>
        <v/>
      </c>
      <c r="S481" s="72" t="str">
        <f t="shared" si="75"/>
        <v/>
      </c>
      <c r="T481" s="72" t="str">
        <f t="shared" si="76"/>
        <v/>
      </c>
      <c r="AD481" s="72" t="s">
        <v>1461</v>
      </c>
      <c r="AE481" s="72" t="s">
        <v>1462</v>
      </c>
      <c r="AF481" s="72" t="str">
        <f t="shared" si="77"/>
        <v>A679078</v>
      </c>
      <c r="AG481" s="72" t="str">
        <f>VLOOKUP(AF481,AKT!$C$4:$E$324,3,FALSE)</f>
        <v>0942</v>
      </c>
    </row>
    <row r="482" spans="1:33">
      <c r="A482" s="82"/>
      <c r="B482" s="77" t="str">
        <f t="shared" si="73"/>
        <v/>
      </c>
      <c r="C482" s="82"/>
      <c r="D482" s="77" t="str">
        <f t="shared" si="70"/>
        <v/>
      </c>
      <c r="E482" s="114"/>
      <c r="F482" s="77" t="str">
        <f t="shared" si="71"/>
        <v/>
      </c>
      <c r="G482" s="77" t="str">
        <f t="shared" si="72"/>
        <v/>
      </c>
      <c r="H482" s="113"/>
      <c r="I482" s="113"/>
      <c r="J482" s="113"/>
      <c r="K482" s="126"/>
      <c r="L482" s="125"/>
      <c r="M482" s="125"/>
      <c r="N482" s="126"/>
      <c r="O482" s="126"/>
      <c r="P482" s="81"/>
      <c r="R482" s="72" t="str">
        <f t="shared" si="74"/>
        <v/>
      </c>
      <c r="S482" s="72" t="str">
        <f t="shared" si="75"/>
        <v/>
      </c>
      <c r="T482" s="72" t="str">
        <f t="shared" si="76"/>
        <v/>
      </c>
      <c r="AD482" s="72" t="s">
        <v>1463</v>
      </c>
      <c r="AE482" s="72" t="s">
        <v>1464</v>
      </c>
      <c r="AF482" s="72" t="str">
        <f t="shared" si="77"/>
        <v>A679078</v>
      </c>
      <c r="AG482" s="72" t="str">
        <f>VLOOKUP(AF482,AKT!$C$4:$E$324,3,FALSE)</f>
        <v>0942</v>
      </c>
    </row>
    <row r="483" spans="1:33">
      <c r="A483" s="82"/>
      <c r="B483" s="77" t="str">
        <f t="shared" si="73"/>
        <v/>
      </c>
      <c r="C483" s="82"/>
      <c r="D483" s="77" t="str">
        <f t="shared" si="70"/>
        <v/>
      </c>
      <c r="E483" s="114"/>
      <c r="F483" s="77" t="str">
        <f t="shared" si="71"/>
        <v/>
      </c>
      <c r="G483" s="77" t="str">
        <f t="shared" si="72"/>
        <v/>
      </c>
      <c r="H483" s="113"/>
      <c r="I483" s="113"/>
      <c r="J483" s="113"/>
      <c r="K483" s="126"/>
      <c r="L483" s="125"/>
      <c r="M483" s="125"/>
      <c r="N483" s="126"/>
      <c r="O483" s="126"/>
      <c r="P483" s="81"/>
      <c r="R483" s="72" t="str">
        <f t="shared" si="74"/>
        <v/>
      </c>
      <c r="S483" s="72" t="str">
        <f t="shared" si="75"/>
        <v/>
      </c>
      <c r="T483" s="72" t="str">
        <f t="shared" si="76"/>
        <v/>
      </c>
      <c r="AD483" s="72" t="s">
        <v>1465</v>
      </c>
      <c r="AE483" s="72" t="s">
        <v>1466</v>
      </c>
      <c r="AF483" s="72" t="str">
        <f t="shared" si="77"/>
        <v>A679078</v>
      </c>
      <c r="AG483" s="72" t="str">
        <f>VLOOKUP(AF483,AKT!$C$4:$E$324,3,FALSE)</f>
        <v>0942</v>
      </c>
    </row>
    <row r="484" spans="1:33">
      <c r="A484" s="82"/>
      <c r="B484" s="77" t="str">
        <f t="shared" si="73"/>
        <v/>
      </c>
      <c r="C484" s="82"/>
      <c r="D484" s="77" t="str">
        <f t="shared" si="70"/>
        <v/>
      </c>
      <c r="E484" s="114"/>
      <c r="F484" s="77" t="str">
        <f t="shared" si="71"/>
        <v/>
      </c>
      <c r="G484" s="77" t="str">
        <f t="shared" si="72"/>
        <v/>
      </c>
      <c r="H484" s="113"/>
      <c r="I484" s="113"/>
      <c r="J484" s="113"/>
      <c r="K484" s="126"/>
      <c r="L484" s="125"/>
      <c r="M484" s="125"/>
      <c r="N484" s="126"/>
      <c r="O484" s="126"/>
      <c r="P484" s="81"/>
      <c r="R484" s="72" t="str">
        <f t="shared" si="74"/>
        <v/>
      </c>
      <c r="S484" s="72" t="str">
        <f t="shared" si="75"/>
        <v/>
      </c>
      <c r="T484" s="72" t="str">
        <f t="shared" si="76"/>
        <v/>
      </c>
      <c r="AD484" s="72" t="s">
        <v>1467</v>
      </c>
      <c r="AE484" s="72" t="s">
        <v>1468</v>
      </c>
      <c r="AF484" s="72" t="str">
        <f t="shared" si="77"/>
        <v>A679078</v>
      </c>
      <c r="AG484" s="72" t="str">
        <f>VLOOKUP(AF484,AKT!$C$4:$E$324,3,FALSE)</f>
        <v>0942</v>
      </c>
    </row>
    <row r="485" spans="1:33">
      <c r="A485" s="82"/>
      <c r="B485" s="77" t="str">
        <f t="shared" si="73"/>
        <v/>
      </c>
      <c r="C485" s="82"/>
      <c r="D485" s="77" t="str">
        <f t="shared" si="70"/>
        <v/>
      </c>
      <c r="E485" s="114"/>
      <c r="F485" s="77" t="str">
        <f t="shared" si="71"/>
        <v/>
      </c>
      <c r="G485" s="77" t="str">
        <f t="shared" si="72"/>
        <v/>
      </c>
      <c r="H485" s="113"/>
      <c r="I485" s="113"/>
      <c r="J485" s="113"/>
      <c r="K485" s="126"/>
      <c r="L485" s="125"/>
      <c r="M485" s="125"/>
      <c r="N485" s="126"/>
      <c r="O485" s="126"/>
      <c r="P485" s="81"/>
      <c r="R485" s="72" t="str">
        <f t="shared" si="74"/>
        <v/>
      </c>
      <c r="S485" s="72" t="str">
        <f t="shared" si="75"/>
        <v/>
      </c>
      <c r="T485" s="72" t="str">
        <f t="shared" si="76"/>
        <v/>
      </c>
      <c r="AD485" s="72" t="s">
        <v>1469</v>
      </c>
      <c r="AE485" s="72" t="s">
        <v>1470</v>
      </c>
      <c r="AF485" s="72" t="str">
        <f t="shared" si="77"/>
        <v>A679078</v>
      </c>
      <c r="AG485" s="72" t="str">
        <f>VLOOKUP(AF485,AKT!$C$4:$E$324,3,FALSE)</f>
        <v>0942</v>
      </c>
    </row>
    <row r="486" spans="1:33">
      <c r="A486" s="82"/>
      <c r="B486" s="77" t="str">
        <f t="shared" si="73"/>
        <v/>
      </c>
      <c r="C486" s="82"/>
      <c r="D486" s="77" t="str">
        <f t="shared" si="70"/>
        <v/>
      </c>
      <c r="E486" s="114"/>
      <c r="F486" s="77" t="str">
        <f t="shared" si="71"/>
        <v/>
      </c>
      <c r="G486" s="77" t="str">
        <f t="shared" si="72"/>
        <v/>
      </c>
      <c r="H486" s="113"/>
      <c r="I486" s="113"/>
      <c r="J486" s="113"/>
      <c r="K486" s="126"/>
      <c r="L486" s="125"/>
      <c r="M486" s="125"/>
      <c r="N486" s="126"/>
      <c r="O486" s="126"/>
      <c r="P486" s="81"/>
      <c r="R486" s="72" t="str">
        <f t="shared" si="74"/>
        <v/>
      </c>
      <c r="S486" s="72" t="str">
        <f t="shared" si="75"/>
        <v/>
      </c>
      <c r="T486" s="72" t="str">
        <f t="shared" si="76"/>
        <v/>
      </c>
      <c r="AD486" s="72" t="s">
        <v>1471</v>
      </c>
      <c r="AE486" s="72" t="s">
        <v>1472</v>
      </c>
      <c r="AF486" s="72" t="str">
        <f t="shared" si="77"/>
        <v>A679078</v>
      </c>
      <c r="AG486" s="72" t="str">
        <f>VLOOKUP(AF486,AKT!$C$4:$E$324,3,FALSE)</f>
        <v>0942</v>
      </c>
    </row>
    <row r="487" spans="1:33">
      <c r="A487" s="82"/>
      <c r="B487" s="77" t="str">
        <f t="shared" si="73"/>
        <v/>
      </c>
      <c r="C487" s="82"/>
      <c r="D487" s="77" t="str">
        <f t="shared" si="70"/>
        <v/>
      </c>
      <c r="E487" s="114"/>
      <c r="F487" s="77" t="str">
        <f t="shared" si="71"/>
        <v/>
      </c>
      <c r="G487" s="77" t="str">
        <f t="shared" si="72"/>
        <v/>
      </c>
      <c r="H487" s="113"/>
      <c r="I487" s="113"/>
      <c r="J487" s="113"/>
      <c r="K487" s="126"/>
      <c r="L487" s="125"/>
      <c r="M487" s="125"/>
      <c r="N487" s="126"/>
      <c r="O487" s="126"/>
      <c r="P487" s="81"/>
      <c r="R487" s="72" t="str">
        <f t="shared" si="74"/>
        <v/>
      </c>
      <c r="S487" s="72" t="str">
        <f t="shared" si="75"/>
        <v/>
      </c>
      <c r="T487" s="72" t="str">
        <f t="shared" si="76"/>
        <v/>
      </c>
      <c r="AD487" s="72" t="s">
        <v>1473</v>
      </c>
      <c r="AE487" s="72" t="s">
        <v>1474</v>
      </c>
      <c r="AF487" s="72" t="str">
        <f t="shared" si="77"/>
        <v>A679078</v>
      </c>
      <c r="AG487" s="72" t="str">
        <f>VLOOKUP(AF487,AKT!$C$4:$E$324,3,FALSE)</f>
        <v>0942</v>
      </c>
    </row>
    <row r="488" spans="1:33">
      <c r="A488" s="82"/>
      <c r="B488" s="77" t="str">
        <f t="shared" si="73"/>
        <v/>
      </c>
      <c r="C488" s="82"/>
      <c r="D488" s="77" t="str">
        <f t="shared" si="70"/>
        <v/>
      </c>
      <c r="E488" s="114"/>
      <c r="F488" s="77" t="str">
        <f t="shared" si="71"/>
        <v/>
      </c>
      <c r="G488" s="77" t="str">
        <f t="shared" si="72"/>
        <v/>
      </c>
      <c r="H488" s="113"/>
      <c r="I488" s="113"/>
      <c r="J488" s="113"/>
      <c r="K488" s="126"/>
      <c r="L488" s="125"/>
      <c r="M488" s="125"/>
      <c r="N488" s="126"/>
      <c r="O488" s="126"/>
      <c r="P488" s="81"/>
      <c r="R488" s="72" t="str">
        <f t="shared" si="74"/>
        <v/>
      </c>
      <c r="S488" s="72" t="str">
        <f t="shared" si="75"/>
        <v/>
      </c>
      <c r="T488" s="72" t="str">
        <f t="shared" si="76"/>
        <v/>
      </c>
      <c r="AD488" s="72" t="s">
        <v>1475</v>
      </c>
      <c r="AE488" s="72" t="s">
        <v>1476</v>
      </c>
      <c r="AF488" s="72" t="str">
        <f t="shared" si="77"/>
        <v>A679078</v>
      </c>
      <c r="AG488" s="72" t="str">
        <f>VLOOKUP(AF488,AKT!$C$4:$E$324,3,FALSE)</f>
        <v>0942</v>
      </c>
    </row>
    <row r="489" spans="1:33">
      <c r="A489" s="82"/>
      <c r="B489" s="77" t="str">
        <f t="shared" si="73"/>
        <v/>
      </c>
      <c r="C489" s="82"/>
      <c r="D489" s="77" t="str">
        <f t="shared" si="70"/>
        <v/>
      </c>
      <c r="E489" s="114"/>
      <c r="F489" s="77" t="str">
        <f t="shared" si="71"/>
        <v/>
      </c>
      <c r="G489" s="77" t="str">
        <f t="shared" si="72"/>
        <v/>
      </c>
      <c r="H489" s="113"/>
      <c r="I489" s="113"/>
      <c r="J489" s="113"/>
      <c r="K489" s="126"/>
      <c r="L489" s="125"/>
      <c r="M489" s="125"/>
      <c r="N489" s="126"/>
      <c r="O489" s="126"/>
      <c r="P489" s="81"/>
      <c r="R489" s="72" t="str">
        <f t="shared" si="74"/>
        <v/>
      </c>
      <c r="S489" s="72" t="str">
        <f t="shared" si="75"/>
        <v/>
      </c>
      <c r="T489" s="72" t="str">
        <f t="shared" si="76"/>
        <v/>
      </c>
      <c r="AD489" s="72" t="s">
        <v>1477</v>
      </c>
      <c r="AE489" s="72" t="s">
        <v>1478</v>
      </c>
      <c r="AF489" s="72" t="str">
        <f t="shared" si="77"/>
        <v>A679078</v>
      </c>
      <c r="AG489" s="72" t="str">
        <f>VLOOKUP(AF489,AKT!$C$4:$E$324,3,FALSE)</f>
        <v>0942</v>
      </c>
    </row>
    <row r="490" spans="1:33">
      <c r="A490" s="82"/>
      <c r="B490" s="77" t="str">
        <f t="shared" si="73"/>
        <v/>
      </c>
      <c r="C490" s="82"/>
      <c r="D490" s="77" t="str">
        <f t="shared" si="70"/>
        <v/>
      </c>
      <c r="E490" s="114"/>
      <c r="F490" s="77" t="str">
        <f t="shared" si="71"/>
        <v/>
      </c>
      <c r="G490" s="77" t="str">
        <f t="shared" si="72"/>
        <v/>
      </c>
      <c r="H490" s="113"/>
      <c r="I490" s="113"/>
      <c r="J490" s="113"/>
      <c r="K490" s="126"/>
      <c r="L490" s="125"/>
      <c r="M490" s="125"/>
      <c r="N490" s="126"/>
      <c r="O490" s="126"/>
      <c r="P490" s="81"/>
      <c r="R490" s="72" t="str">
        <f t="shared" si="74"/>
        <v/>
      </c>
      <c r="S490" s="72" t="str">
        <f t="shared" si="75"/>
        <v/>
      </c>
      <c r="T490" s="72" t="str">
        <f t="shared" si="76"/>
        <v/>
      </c>
      <c r="AD490" s="72" t="s">
        <v>1479</v>
      </c>
      <c r="AE490" s="72" t="s">
        <v>1480</v>
      </c>
      <c r="AF490" s="72" t="str">
        <f t="shared" si="77"/>
        <v>A679078</v>
      </c>
      <c r="AG490" s="72" t="str">
        <f>VLOOKUP(AF490,AKT!$C$4:$E$324,3,FALSE)</f>
        <v>0942</v>
      </c>
    </row>
    <row r="491" spans="1:33">
      <c r="A491" s="82"/>
      <c r="B491" s="77" t="str">
        <f t="shared" si="73"/>
        <v/>
      </c>
      <c r="C491" s="82"/>
      <c r="D491" s="77" t="str">
        <f t="shared" si="70"/>
        <v/>
      </c>
      <c r="E491" s="114"/>
      <c r="F491" s="77" t="str">
        <f t="shared" si="71"/>
        <v/>
      </c>
      <c r="G491" s="77" t="str">
        <f t="shared" si="72"/>
        <v/>
      </c>
      <c r="H491" s="113"/>
      <c r="I491" s="113"/>
      <c r="J491" s="113"/>
      <c r="K491" s="126"/>
      <c r="L491" s="125"/>
      <c r="M491" s="125"/>
      <c r="N491" s="126"/>
      <c r="O491" s="126"/>
      <c r="P491" s="81"/>
      <c r="R491" s="72" t="str">
        <f t="shared" si="74"/>
        <v/>
      </c>
      <c r="S491" s="72" t="str">
        <f t="shared" si="75"/>
        <v/>
      </c>
      <c r="T491" s="72" t="str">
        <f t="shared" si="76"/>
        <v/>
      </c>
      <c r="AD491" s="72" t="s">
        <v>1481</v>
      </c>
      <c r="AE491" s="72" t="s">
        <v>1482</v>
      </c>
      <c r="AF491" s="72" t="str">
        <f t="shared" si="77"/>
        <v>A679078</v>
      </c>
      <c r="AG491" s="72" t="str">
        <f>VLOOKUP(AF491,AKT!$C$4:$E$324,3,FALSE)</f>
        <v>0942</v>
      </c>
    </row>
    <row r="492" spans="1:33">
      <c r="A492" s="82"/>
      <c r="B492" s="77" t="str">
        <f t="shared" si="73"/>
        <v/>
      </c>
      <c r="C492" s="82"/>
      <c r="D492" s="77" t="str">
        <f t="shared" si="70"/>
        <v/>
      </c>
      <c r="E492" s="114"/>
      <c r="F492" s="77" t="str">
        <f t="shared" si="71"/>
        <v/>
      </c>
      <c r="G492" s="77" t="str">
        <f t="shared" si="72"/>
        <v/>
      </c>
      <c r="H492" s="113"/>
      <c r="I492" s="113"/>
      <c r="J492" s="113"/>
      <c r="K492" s="126"/>
      <c r="L492" s="125"/>
      <c r="M492" s="125"/>
      <c r="N492" s="126"/>
      <c r="O492" s="126"/>
      <c r="P492" s="81"/>
      <c r="R492" s="72" t="str">
        <f t="shared" si="74"/>
        <v/>
      </c>
      <c r="S492" s="72" t="str">
        <f t="shared" si="75"/>
        <v/>
      </c>
      <c r="T492" s="72" t="str">
        <f t="shared" si="76"/>
        <v/>
      </c>
      <c r="AD492" s="72" t="s">
        <v>1483</v>
      </c>
      <c r="AE492" s="72" t="s">
        <v>1484</v>
      </c>
      <c r="AF492" s="72" t="str">
        <f t="shared" si="77"/>
        <v>A679078</v>
      </c>
      <c r="AG492" s="72" t="str">
        <f>VLOOKUP(AF492,AKT!$C$4:$E$324,3,FALSE)</f>
        <v>0942</v>
      </c>
    </row>
    <row r="493" spans="1:33">
      <c r="A493" s="82"/>
      <c r="B493" s="77" t="str">
        <f t="shared" si="73"/>
        <v/>
      </c>
      <c r="C493" s="82"/>
      <c r="D493" s="77" t="str">
        <f t="shared" si="70"/>
        <v/>
      </c>
      <c r="E493" s="114"/>
      <c r="F493" s="77" t="str">
        <f t="shared" si="71"/>
        <v/>
      </c>
      <c r="G493" s="77" t="str">
        <f t="shared" si="72"/>
        <v/>
      </c>
      <c r="H493" s="113"/>
      <c r="I493" s="113"/>
      <c r="J493" s="113"/>
      <c r="K493" s="126"/>
      <c r="L493" s="125"/>
      <c r="M493" s="125"/>
      <c r="N493" s="126"/>
      <c r="O493" s="126"/>
      <c r="P493" s="81"/>
      <c r="R493" s="72" t="str">
        <f t="shared" si="74"/>
        <v/>
      </c>
      <c r="S493" s="72" t="str">
        <f t="shared" si="75"/>
        <v/>
      </c>
      <c r="T493" s="72" t="str">
        <f t="shared" si="76"/>
        <v/>
      </c>
      <c r="AD493" s="72" t="s">
        <v>1485</v>
      </c>
      <c r="AE493" s="72" t="s">
        <v>1486</v>
      </c>
      <c r="AF493" s="72" t="str">
        <f t="shared" si="77"/>
        <v>A679078</v>
      </c>
      <c r="AG493" s="72" t="str">
        <f>VLOOKUP(AF493,AKT!$C$4:$E$324,3,FALSE)</f>
        <v>0942</v>
      </c>
    </row>
    <row r="494" spans="1:33">
      <c r="A494" s="82"/>
      <c r="B494" s="77" t="str">
        <f t="shared" si="73"/>
        <v/>
      </c>
      <c r="C494" s="82"/>
      <c r="D494" s="77" t="str">
        <f t="shared" si="70"/>
        <v/>
      </c>
      <c r="E494" s="114"/>
      <c r="F494" s="77" t="str">
        <f t="shared" si="71"/>
        <v/>
      </c>
      <c r="G494" s="77" t="str">
        <f t="shared" si="72"/>
        <v/>
      </c>
      <c r="H494" s="113"/>
      <c r="I494" s="113"/>
      <c r="J494" s="113"/>
      <c r="K494" s="126"/>
      <c r="L494" s="125"/>
      <c r="M494" s="125"/>
      <c r="N494" s="126"/>
      <c r="O494" s="126"/>
      <c r="P494" s="81"/>
      <c r="R494" s="72" t="str">
        <f t="shared" si="74"/>
        <v/>
      </c>
      <c r="S494" s="72" t="str">
        <f t="shared" si="75"/>
        <v/>
      </c>
      <c r="T494" s="72" t="str">
        <f t="shared" si="76"/>
        <v/>
      </c>
      <c r="AD494" s="72" t="s">
        <v>1487</v>
      </c>
      <c r="AE494" s="72" t="s">
        <v>1488</v>
      </c>
      <c r="AF494" s="72" t="str">
        <f t="shared" si="77"/>
        <v>A679078</v>
      </c>
      <c r="AG494" s="72" t="str">
        <f>VLOOKUP(AF494,AKT!$C$4:$E$324,3,FALSE)</f>
        <v>0942</v>
      </c>
    </row>
    <row r="495" spans="1:33">
      <c r="A495" s="82"/>
      <c r="B495" s="77" t="str">
        <f t="shared" si="73"/>
        <v/>
      </c>
      <c r="C495" s="82"/>
      <c r="D495" s="77" t="str">
        <f t="shared" si="70"/>
        <v/>
      </c>
      <c r="E495" s="114"/>
      <c r="F495" s="77" t="str">
        <f t="shared" si="71"/>
        <v/>
      </c>
      <c r="G495" s="77" t="str">
        <f t="shared" si="72"/>
        <v/>
      </c>
      <c r="H495" s="113"/>
      <c r="I495" s="113"/>
      <c r="J495" s="113"/>
      <c r="K495" s="126"/>
      <c r="L495" s="125"/>
      <c r="M495" s="125"/>
      <c r="N495" s="126"/>
      <c r="O495" s="126"/>
      <c r="P495" s="81"/>
      <c r="R495" s="72" t="str">
        <f t="shared" si="74"/>
        <v/>
      </c>
      <c r="S495" s="72" t="str">
        <f t="shared" si="75"/>
        <v/>
      </c>
      <c r="T495" s="72" t="str">
        <f t="shared" si="76"/>
        <v/>
      </c>
      <c r="AD495" s="72" t="s">
        <v>1489</v>
      </c>
      <c r="AE495" s="72" t="s">
        <v>1490</v>
      </c>
      <c r="AF495" s="72" t="str">
        <f t="shared" si="77"/>
        <v>A679078</v>
      </c>
      <c r="AG495" s="72" t="str">
        <f>VLOOKUP(AF495,AKT!$C$4:$E$324,3,FALSE)</f>
        <v>0942</v>
      </c>
    </row>
    <row r="496" spans="1:33">
      <c r="A496" s="82"/>
      <c r="B496" s="77" t="str">
        <f t="shared" si="73"/>
        <v/>
      </c>
      <c r="C496" s="82"/>
      <c r="D496" s="77" t="str">
        <f t="shared" si="70"/>
        <v/>
      </c>
      <c r="E496" s="114"/>
      <c r="F496" s="77" t="str">
        <f t="shared" si="71"/>
        <v/>
      </c>
      <c r="G496" s="77" t="str">
        <f t="shared" si="72"/>
        <v/>
      </c>
      <c r="H496" s="113"/>
      <c r="I496" s="113"/>
      <c r="J496" s="113"/>
      <c r="K496" s="126"/>
      <c r="L496" s="125"/>
      <c r="M496" s="125"/>
      <c r="N496" s="126"/>
      <c r="O496" s="126"/>
      <c r="P496" s="81"/>
      <c r="R496" s="72" t="str">
        <f t="shared" si="74"/>
        <v/>
      </c>
      <c r="S496" s="72" t="str">
        <f t="shared" si="75"/>
        <v/>
      </c>
      <c r="T496" s="72" t="str">
        <f t="shared" si="76"/>
        <v/>
      </c>
      <c r="AD496" s="72" t="s">
        <v>1491</v>
      </c>
      <c r="AE496" s="72" t="s">
        <v>1492</v>
      </c>
      <c r="AF496" s="72" t="str">
        <f t="shared" si="77"/>
        <v>A679078</v>
      </c>
      <c r="AG496" s="72" t="str">
        <f>VLOOKUP(AF496,AKT!$C$4:$E$324,3,FALSE)</f>
        <v>0942</v>
      </c>
    </row>
    <row r="497" spans="1:33">
      <c r="A497" s="82"/>
      <c r="B497" s="77" t="str">
        <f t="shared" si="73"/>
        <v/>
      </c>
      <c r="C497" s="82"/>
      <c r="D497" s="77" t="str">
        <f t="shared" si="70"/>
        <v/>
      </c>
      <c r="E497" s="114"/>
      <c r="F497" s="77" t="str">
        <f t="shared" si="71"/>
        <v/>
      </c>
      <c r="G497" s="77" t="str">
        <f t="shared" si="72"/>
        <v/>
      </c>
      <c r="H497" s="113"/>
      <c r="I497" s="113"/>
      <c r="J497" s="113"/>
      <c r="K497" s="126"/>
      <c r="L497" s="125"/>
      <c r="M497" s="125"/>
      <c r="N497" s="126"/>
      <c r="O497" s="126"/>
      <c r="P497" s="81"/>
      <c r="R497" s="72" t="str">
        <f t="shared" si="74"/>
        <v/>
      </c>
      <c r="S497" s="72" t="str">
        <f t="shared" si="75"/>
        <v/>
      </c>
      <c r="T497" s="72" t="str">
        <f t="shared" si="76"/>
        <v/>
      </c>
      <c r="AD497" s="72" t="s">
        <v>1493</v>
      </c>
      <c r="AE497" s="72" t="s">
        <v>1494</v>
      </c>
      <c r="AF497" s="72" t="str">
        <f t="shared" si="77"/>
        <v>A679078</v>
      </c>
      <c r="AG497" s="72" t="str">
        <f>VLOOKUP(AF497,AKT!$C$4:$E$324,3,FALSE)</f>
        <v>0942</v>
      </c>
    </row>
    <row r="498" spans="1:33">
      <c r="A498" s="82"/>
      <c r="B498" s="77" t="str">
        <f t="shared" si="73"/>
        <v/>
      </c>
      <c r="C498" s="82"/>
      <c r="D498" s="77" t="str">
        <f t="shared" si="70"/>
        <v/>
      </c>
      <c r="E498" s="114"/>
      <c r="F498" s="77" t="str">
        <f t="shared" si="71"/>
        <v/>
      </c>
      <c r="G498" s="77" t="str">
        <f t="shared" si="72"/>
        <v/>
      </c>
      <c r="H498" s="113"/>
      <c r="I498" s="113"/>
      <c r="J498" s="113"/>
      <c r="K498" s="126"/>
      <c r="L498" s="125"/>
      <c r="M498" s="125"/>
      <c r="N498" s="126"/>
      <c r="O498" s="126"/>
      <c r="P498" s="81"/>
      <c r="R498" s="72" t="str">
        <f t="shared" si="74"/>
        <v/>
      </c>
      <c r="S498" s="72" t="str">
        <f t="shared" si="75"/>
        <v/>
      </c>
      <c r="T498" s="72" t="str">
        <f t="shared" si="76"/>
        <v/>
      </c>
      <c r="AD498" s="72" t="s">
        <v>1495</v>
      </c>
      <c r="AE498" s="72" t="s">
        <v>1496</v>
      </c>
      <c r="AF498" s="72" t="str">
        <f t="shared" si="77"/>
        <v>A679078</v>
      </c>
      <c r="AG498" s="72" t="str">
        <f>VLOOKUP(AF498,AKT!$C$4:$E$324,3,FALSE)</f>
        <v>0942</v>
      </c>
    </row>
    <row r="499" spans="1:33">
      <c r="A499" s="82"/>
      <c r="B499" s="77" t="str">
        <f t="shared" si="73"/>
        <v/>
      </c>
      <c r="C499" s="82"/>
      <c r="D499" s="77" t="str">
        <f t="shared" si="70"/>
        <v/>
      </c>
      <c r="E499" s="114"/>
      <c r="F499" s="77" t="str">
        <f t="shared" si="71"/>
        <v/>
      </c>
      <c r="G499" s="77" t="str">
        <f t="shared" si="72"/>
        <v/>
      </c>
      <c r="H499" s="113"/>
      <c r="I499" s="113"/>
      <c r="J499" s="113"/>
      <c r="K499" s="126"/>
      <c r="L499" s="125"/>
      <c r="M499" s="125"/>
      <c r="N499" s="126"/>
      <c r="O499" s="126"/>
      <c r="P499" s="81"/>
      <c r="R499" s="72" t="str">
        <f t="shared" si="74"/>
        <v/>
      </c>
      <c r="S499" s="72" t="str">
        <f t="shared" si="75"/>
        <v/>
      </c>
      <c r="T499" s="72" t="str">
        <f t="shared" si="76"/>
        <v/>
      </c>
      <c r="AD499" s="72" t="s">
        <v>1497</v>
      </c>
      <c r="AE499" s="72" t="s">
        <v>1498</v>
      </c>
      <c r="AF499" s="72" t="str">
        <f t="shared" si="77"/>
        <v>A679078</v>
      </c>
      <c r="AG499" s="72" t="str">
        <f>VLOOKUP(AF499,AKT!$C$4:$E$324,3,FALSE)</f>
        <v>0942</v>
      </c>
    </row>
    <row r="500" spans="1:33">
      <c r="A500" s="82"/>
      <c r="B500" s="77" t="str">
        <f t="shared" si="73"/>
        <v/>
      </c>
      <c r="C500" s="82"/>
      <c r="D500" s="77" t="str">
        <f t="shared" si="70"/>
        <v/>
      </c>
      <c r="E500" s="114"/>
      <c r="F500" s="77" t="str">
        <f t="shared" si="71"/>
        <v/>
      </c>
      <c r="G500" s="77" t="str">
        <f t="shared" si="72"/>
        <v/>
      </c>
      <c r="H500" s="113"/>
      <c r="I500" s="113"/>
      <c r="J500" s="113"/>
      <c r="K500" s="126"/>
      <c r="L500" s="125"/>
      <c r="M500" s="125"/>
      <c r="N500" s="126"/>
      <c r="O500" s="126"/>
      <c r="P500" s="81"/>
      <c r="R500" s="72" t="str">
        <f t="shared" si="74"/>
        <v/>
      </c>
      <c r="S500" s="72" t="str">
        <f t="shared" si="75"/>
        <v/>
      </c>
      <c r="T500" s="72" t="str">
        <f t="shared" si="76"/>
        <v/>
      </c>
      <c r="AD500" s="72" t="s">
        <v>1499</v>
      </c>
      <c r="AE500" s="72" t="s">
        <v>1500</v>
      </c>
      <c r="AF500" s="72" t="str">
        <f t="shared" si="77"/>
        <v>A679078</v>
      </c>
      <c r="AG500" s="72" t="str">
        <f>VLOOKUP(AF500,AKT!$C$4:$E$324,3,FALSE)</f>
        <v>0942</v>
      </c>
    </row>
    <row r="501" spans="1:33">
      <c r="A501" s="82"/>
      <c r="B501" s="77" t="str">
        <f t="shared" si="73"/>
        <v/>
      </c>
      <c r="C501" s="82"/>
      <c r="D501" s="77" t="str">
        <f t="shared" si="70"/>
        <v/>
      </c>
      <c r="E501" s="114"/>
      <c r="F501" s="77" t="str">
        <f t="shared" si="71"/>
        <v/>
      </c>
      <c r="G501" s="77" t="str">
        <f t="shared" si="72"/>
        <v/>
      </c>
      <c r="H501" s="113"/>
      <c r="I501" s="113"/>
      <c r="J501" s="113"/>
      <c r="K501" s="126"/>
      <c r="L501" s="125"/>
      <c r="M501" s="125"/>
      <c r="N501" s="126"/>
      <c r="O501" s="126"/>
      <c r="P501" s="81"/>
      <c r="R501" s="72" t="str">
        <f t="shared" si="74"/>
        <v/>
      </c>
      <c r="S501" s="72" t="str">
        <f t="shared" si="75"/>
        <v/>
      </c>
      <c r="T501" s="72" t="str">
        <f t="shared" si="76"/>
        <v/>
      </c>
      <c r="AD501" s="72" t="s">
        <v>1501</v>
      </c>
      <c r="AE501" s="72" t="s">
        <v>1502</v>
      </c>
      <c r="AF501" s="72" t="str">
        <f t="shared" si="77"/>
        <v>A679078</v>
      </c>
      <c r="AG501" s="72" t="str">
        <f>VLOOKUP(AF501,AKT!$C$4:$E$324,3,FALSE)</f>
        <v>0942</v>
      </c>
    </row>
    <row r="502" spans="1:33">
      <c r="A502" s="82"/>
      <c r="B502" s="77" t="str">
        <f t="shared" si="73"/>
        <v/>
      </c>
      <c r="C502" s="82"/>
      <c r="D502" s="77" t="str">
        <f t="shared" si="70"/>
        <v/>
      </c>
      <c r="E502" s="114"/>
      <c r="F502" s="77" t="str">
        <f t="shared" si="71"/>
        <v/>
      </c>
      <c r="G502" s="77" t="str">
        <f t="shared" si="72"/>
        <v/>
      </c>
      <c r="H502" s="113"/>
      <c r="I502" s="113"/>
      <c r="J502" s="113"/>
      <c r="K502" s="126"/>
      <c r="L502" s="125"/>
      <c r="M502" s="125"/>
      <c r="N502" s="126"/>
      <c r="O502" s="126"/>
      <c r="P502" s="81"/>
      <c r="R502" s="72" t="str">
        <f t="shared" si="74"/>
        <v/>
      </c>
      <c r="S502" s="72" t="str">
        <f t="shared" si="75"/>
        <v/>
      </c>
      <c r="T502" s="72" t="str">
        <f t="shared" si="76"/>
        <v/>
      </c>
      <c r="AD502" s="72" t="s">
        <v>1503</v>
      </c>
      <c r="AE502" s="72" t="s">
        <v>1504</v>
      </c>
      <c r="AF502" s="72" t="str">
        <f t="shared" si="77"/>
        <v>A679078</v>
      </c>
      <c r="AG502" s="72" t="str">
        <f>VLOOKUP(AF502,AKT!$C$4:$E$324,3,FALSE)</f>
        <v>0942</v>
      </c>
    </row>
    <row r="503" spans="1:33">
      <c r="A503" s="82"/>
      <c r="B503" s="77" t="str">
        <f t="shared" si="73"/>
        <v/>
      </c>
      <c r="C503" s="82"/>
      <c r="D503" s="77" t="str">
        <f t="shared" si="70"/>
        <v/>
      </c>
      <c r="E503" s="114"/>
      <c r="F503" s="77" t="str">
        <f t="shared" si="71"/>
        <v/>
      </c>
      <c r="G503" s="77" t="str">
        <f t="shared" si="72"/>
        <v/>
      </c>
      <c r="H503" s="113"/>
      <c r="I503" s="113"/>
      <c r="J503" s="113"/>
      <c r="K503" s="126"/>
      <c r="L503" s="125"/>
      <c r="M503" s="125"/>
      <c r="N503" s="126"/>
      <c r="O503" s="126"/>
      <c r="P503" s="81"/>
      <c r="R503" s="72" t="str">
        <f t="shared" si="74"/>
        <v/>
      </c>
      <c r="S503" s="72" t="str">
        <f t="shared" si="75"/>
        <v/>
      </c>
      <c r="T503" s="72" t="str">
        <f t="shared" si="76"/>
        <v/>
      </c>
      <c r="AD503" s="72" t="s">
        <v>1505</v>
      </c>
      <c r="AE503" s="72" t="s">
        <v>1506</v>
      </c>
      <c r="AF503" s="72" t="str">
        <f t="shared" si="77"/>
        <v>A679078</v>
      </c>
      <c r="AG503" s="72" t="str">
        <f>VLOOKUP(AF503,AKT!$C$4:$E$324,3,FALSE)</f>
        <v>0942</v>
      </c>
    </row>
    <row r="504" spans="1:33">
      <c r="A504" s="82"/>
      <c r="B504" s="77" t="str">
        <f t="shared" si="73"/>
        <v/>
      </c>
      <c r="C504" s="82"/>
      <c r="D504" s="77" t="str">
        <f t="shared" si="70"/>
        <v/>
      </c>
      <c r="E504" s="114"/>
      <c r="F504" s="77" t="str">
        <f t="shared" si="71"/>
        <v/>
      </c>
      <c r="G504" s="77" t="str">
        <f t="shared" si="72"/>
        <v/>
      </c>
      <c r="H504" s="113"/>
      <c r="I504" s="113"/>
      <c r="J504" s="113"/>
      <c r="K504" s="126"/>
      <c r="L504" s="125"/>
      <c r="M504" s="125"/>
      <c r="N504" s="126"/>
      <c r="O504" s="126"/>
      <c r="P504" s="81"/>
      <c r="R504" s="72" t="str">
        <f t="shared" si="74"/>
        <v/>
      </c>
      <c r="S504" s="72" t="str">
        <f t="shared" si="75"/>
        <v/>
      </c>
      <c r="T504" s="72" t="str">
        <f t="shared" si="76"/>
        <v/>
      </c>
      <c r="AD504" s="72" t="s">
        <v>1507</v>
      </c>
      <c r="AE504" s="72" t="s">
        <v>1508</v>
      </c>
      <c r="AF504" s="72" t="str">
        <f t="shared" si="77"/>
        <v>A679078</v>
      </c>
      <c r="AG504" s="72" t="str">
        <f>VLOOKUP(AF504,AKT!$C$4:$E$324,3,FALSE)</f>
        <v>0942</v>
      </c>
    </row>
    <row r="505" spans="1:33">
      <c r="A505" s="82"/>
      <c r="B505" s="77" t="str">
        <f t="shared" si="73"/>
        <v/>
      </c>
      <c r="C505" s="82"/>
      <c r="D505" s="77" t="str">
        <f t="shared" si="70"/>
        <v/>
      </c>
      <c r="E505" s="114"/>
      <c r="F505" s="77" t="str">
        <f t="shared" si="71"/>
        <v/>
      </c>
      <c r="G505" s="77" t="str">
        <f t="shared" si="72"/>
        <v/>
      </c>
      <c r="H505" s="113"/>
      <c r="I505" s="113"/>
      <c r="J505" s="113"/>
      <c r="K505" s="126"/>
      <c r="L505" s="125"/>
      <c r="M505" s="125"/>
      <c r="N505" s="126"/>
      <c r="O505" s="126"/>
      <c r="P505" s="81"/>
      <c r="R505" s="72" t="str">
        <f t="shared" si="74"/>
        <v/>
      </c>
      <c r="S505" s="72" t="str">
        <f t="shared" si="75"/>
        <v/>
      </c>
      <c r="T505" s="72" t="str">
        <f t="shared" si="76"/>
        <v/>
      </c>
      <c r="AD505" s="72" t="s">
        <v>1509</v>
      </c>
      <c r="AE505" s="72" t="s">
        <v>1510</v>
      </c>
      <c r="AF505" s="72" t="str">
        <f t="shared" si="77"/>
        <v>A679078</v>
      </c>
      <c r="AG505" s="72" t="str">
        <f>VLOOKUP(AF505,AKT!$C$4:$E$324,3,FALSE)</f>
        <v>0942</v>
      </c>
    </row>
    <row r="506" spans="1:33">
      <c r="A506" s="82"/>
      <c r="B506" s="77" t="str">
        <f t="shared" si="73"/>
        <v/>
      </c>
      <c r="C506" s="82"/>
      <c r="D506" s="77" t="str">
        <f t="shared" si="70"/>
        <v/>
      </c>
      <c r="E506" s="114"/>
      <c r="F506" s="77" t="str">
        <f t="shared" si="71"/>
        <v/>
      </c>
      <c r="G506" s="77" t="str">
        <f t="shared" si="72"/>
        <v/>
      </c>
      <c r="H506" s="113"/>
      <c r="I506" s="113"/>
      <c r="J506" s="113"/>
      <c r="K506" s="126"/>
      <c r="L506" s="125"/>
      <c r="M506" s="125"/>
      <c r="N506" s="126"/>
      <c r="O506" s="126"/>
      <c r="P506" s="81"/>
      <c r="R506" s="72" t="str">
        <f t="shared" si="74"/>
        <v/>
      </c>
      <c r="S506" s="72" t="str">
        <f t="shared" si="75"/>
        <v/>
      </c>
      <c r="T506" s="72" t="str">
        <f t="shared" si="76"/>
        <v/>
      </c>
      <c r="AD506" s="72" t="s">
        <v>1511</v>
      </c>
      <c r="AE506" s="72" t="s">
        <v>1512</v>
      </c>
      <c r="AF506" s="72" t="str">
        <f t="shared" si="77"/>
        <v>A679078</v>
      </c>
      <c r="AG506" s="72" t="str">
        <f>VLOOKUP(AF506,AKT!$C$4:$E$324,3,FALSE)</f>
        <v>0942</v>
      </c>
    </row>
    <row r="507" spans="1:33">
      <c r="A507" s="82"/>
      <c r="B507" s="77" t="str">
        <f t="shared" si="73"/>
        <v/>
      </c>
      <c r="C507" s="82"/>
      <c r="D507" s="77" t="str">
        <f t="shared" si="70"/>
        <v/>
      </c>
      <c r="E507" s="114"/>
      <c r="F507" s="77" t="str">
        <f t="shared" si="71"/>
        <v/>
      </c>
      <c r="G507" s="77" t="str">
        <f t="shared" si="72"/>
        <v/>
      </c>
      <c r="H507" s="113"/>
      <c r="I507" s="113"/>
      <c r="J507" s="113"/>
      <c r="K507" s="126"/>
      <c r="L507" s="125"/>
      <c r="M507" s="125"/>
      <c r="N507" s="126"/>
      <c r="O507" s="126"/>
      <c r="P507" s="81"/>
      <c r="R507" s="72" t="str">
        <f t="shared" si="74"/>
        <v/>
      </c>
      <c r="S507" s="72" t="str">
        <f t="shared" si="75"/>
        <v/>
      </c>
      <c r="T507" s="72" t="str">
        <f t="shared" si="76"/>
        <v/>
      </c>
      <c r="AD507" s="72" t="s">
        <v>1513</v>
      </c>
      <c r="AE507" s="72" t="s">
        <v>1514</v>
      </c>
      <c r="AF507" s="72" t="str">
        <f t="shared" si="77"/>
        <v>A679078</v>
      </c>
      <c r="AG507" s="72" t="str">
        <f>VLOOKUP(AF507,AKT!$C$4:$E$324,3,FALSE)</f>
        <v>0942</v>
      </c>
    </row>
    <row r="508" spans="1:33">
      <c r="A508" s="82"/>
      <c r="B508" s="77" t="str">
        <f t="shared" si="73"/>
        <v/>
      </c>
      <c r="C508" s="82"/>
      <c r="D508" s="77" t="str">
        <f t="shared" si="70"/>
        <v/>
      </c>
      <c r="E508" s="114"/>
      <c r="F508" s="77" t="str">
        <f t="shared" si="71"/>
        <v/>
      </c>
      <c r="G508" s="77" t="str">
        <f t="shared" si="72"/>
        <v/>
      </c>
      <c r="H508" s="113"/>
      <c r="I508" s="113"/>
      <c r="J508" s="113"/>
      <c r="K508" s="126"/>
      <c r="L508" s="125"/>
      <c r="M508" s="125"/>
      <c r="N508" s="126"/>
      <c r="O508" s="126"/>
      <c r="P508" s="81"/>
      <c r="R508" s="72" t="str">
        <f t="shared" si="74"/>
        <v/>
      </c>
      <c r="S508" s="72" t="str">
        <f t="shared" si="75"/>
        <v/>
      </c>
      <c r="T508" s="72" t="str">
        <f t="shared" si="76"/>
        <v/>
      </c>
      <c r="AD508" s="72" t="s">
        <v>1515</v>
      </c>
      <c r="AE508" s="72" t="s">
        <v>1516</v>
      </c>
      <c r="AF508" s="72" t="str">
        <f t="shared" si="77"/>
        <v>A679078</v>
      </c>
      <c r="AG508" s="72" t="str">
        <f>VLOOKUP(AF508,AKT!$C$4:$E$324,3,FALSE)</f>
        <v>0942</v>
      </c>
    </row>
    <row r="509" spans="1:33">
      <c r="A509" s="82"/>
      <c r="B509" s="77" t="str">
        <f t="shared" si="73"/>
        <v/>
      </c>
      <c r="C509" s="82"/>
      <c r="D509" s="77" t="str">
        <f t="shared" si="70"/>
        <v/>
      </c>
      <c r="E509" s="114"/>
      <c r="F509" s="77" t="str">
        <f t="shared" si="71"/>
        <v/>
      </c>
      <c r="G509" s="77" t="str">
        <f t="shared" si="72"/>
        <v/>
      </c>
      <c r="H509" s="113"/>
      <c r="I509" s="113"/>
      <c r="J509" s="113"/>
      <c r="K509" s="126"/>
      <c r="L509" s="125"/>
      <c r="M509" s="125"/>
      <c r="N509" s="126"/>
      <c r="O509" s="126"/>
      <c r="P509" s="81"/>
      <c r="R509" s="72" t="str">
        <f t="shared" si="74"/>
        <v/>
      </c>
      <c r="S509" s="72" t="str">
        <f t="shared" si="75"/>
        <v/>
      </c>
      <c r="T509" s="72" t="str">
        <f t="shared" si="76"/>
        <v/>
      </c>
      <c r="AD509" s="72" t="s">
        <v>1517</v>
      </c>
      <c r="AE509" s="72" t="s">
        <v>1518</v>
      </c>
      <c r="AF509" s="72" t="str">
        <f t="shared" si="77"/>
        <v>A679078</v>
      </c>
      <c r="AG509" s="72" t="str">
        <f>VLOOKUP(AF509,AKT!$C$4:$E$324,3,FALSE)</f>
        <v>0942</v>
      </c>
    </row>
    <row r="510" spans="1:33">
      <c r="A510" s="82"/>
      <c r="B510" s="77" t="str">
        <f t="shared" si="73"/>
        <v/>
      </c>
      <c r="C510" s="82"/>
      <c r="D510" s="77" t="str">
        <f t="shared" si="70"/>
        <v/>
      </c>
      <c r="E510" s="114"/>
      <c r="F510" s="77" t="str">
        <f t="shared" si="71"/>
        <v/>
      </c>
      <c r="G510" s="77" t="str">
        <f t="shared" si="72"/>
        <v/>
      </c>
      <c r="H510" s="113"/>
      <c r="I510" s="113"/>
      <c r="J510" s="113"/>
      <c r="K510" s="126"/>
      <c r="L510" s="125"/>
      <c r="M510" s="125"/>
      <c r="N510" s="126"/>
      <c r="O510" s="126"/>
      <c r="P510" s="81"/>
      <c r="R510" s="72" t="str">
        <f t="shared" si="74"/>
        <v/>
      </c>
      <c r="S510" s="72" t="str">
        <f t="shared" si="75"/>
        <v/>
      </c>
      <c r="T510" s="72" t="str">
        <f t="shared" si="76"/>
        <v/>
      </c>
      <c r="AD510" s="72" t="s">
        <v>1519</v>
      </c>
      <c r="AE510" s="72" t="s">
        <v>1520</v>
      </c>
      <c r="AF510" s="72" t="str">
        <f t="shared" si="77"/>
        <v>A679078</v>
      </c>
      <c r="AG510" s="72" t="str">
        <f>VLOOKUP(AF510,AKT!$C$4:$E$324,3,FALSE)</f>
        <v>0942</v>
      </c>
    </row>
    <row r="511" spans="1:33">
      <c r="A511" s="82"/>
      <c r="B511" s="77" t="str">
        <f t="shared" si="73"/>
        <v/>
      </c>
      <c r="C511" s="82"/>
      <c r="D511" s="77" t="str">
        <f t="shared" si="70"/>
        <v/>
      </c>
      <c r="E511" s="114"/>
      <c r="F511" s="77" t="str">
        <f t="shared" si="71"/>
        <v/>
      </c>
      <c r="G511" s="77" t="str">
        <f t="shared" si="72"/>
        <v/>
      </c>
      <c r="H511" s="113"/>
      <c r="I511" s="113"/>
      <c r="J511" s="113"/>
      <c r="K511" s="126"/>
      <c r="L511" s="125"/>
      <c r="M511" s="125"/>
      <c r="N511" s="126"/>
      <c r="O511" s="126"/>
      <c r="P511" s="81"/>
      <c r="R511" s="72" t="str">
        <f t="shared" si="74"/>
        <v/>
      </c>
      <c r="S511" s="72" t="str">
        <f t="shared" si="75"/>
        <v/>
      </c>
      <c r="T511" s="72" t="str">
        <f t="shared" si="76"/>
        <v/>
      </c>
      <c r="AD511" s="72" t="s">
        <v>1521</v>
      </c>
      <c r="AE511" s="72" t="s">
        <v>1522</v>
      </c>
      <c r="AF511" s="72" t="str">
        <f t="shared" si="77"/>
        <v>A679078</v>
      </c>
      <c r="AG511" s="72" t="str">
        <f>VLOOKUP(AF511,AKT!$C$4:$E$324,3,FALSE)</f>
        <v>0942</v>
      </c>
    </row>
    <row r="512" spans="1:33">
      <c r="A512" s="82"/>
      <c r="B512" s="77" t="str">
        <f t="shared" si="73"/>
        <v/>
      </c>
      <c r="C512" s="82"/>
      <c r="D512" s="77" t="str">
        <f t="shared" si="70"/>
        <v/>
      </c>
      <c r="E512" s="114"/>
      <c r="F512" s="77" t="str">
        <f t="shared" si="71"/>
        <v/>
      </c>
      <c r="G512" s="77" t="str">
        <f t="shared" si="72"/>
        <v/>
      </c>
      <c r="H512" s="113"/>
      <c r="I512" s="113"/>
      <c r="J512" s="113"/>
      <c r="K512" s="126"/>
      <c r="L512" s="125"/>
      <c r="M512" s="125"/>
      <c r="N512" s="126"/>
      <c r="O512" s="126"/>
      <c r="P512" s="81"/>
      <c r="R512" s="72" t="str">
        <f t="shared" si="74"/>
        <v/>
      </c>
      <c r="S512" s="72" t="str">
        <f t="shared" si="75"/>
        <v/>
      </c>
      <c r="T512" s="72" t="str">
        <f t="shared" si="76"/>
        <v/>
      </c>
      <c r="AD512" s="72" t="s">
        <v>1523</v>
      </c>
      <c r="AE512" s="72" t="s">
        <v>1524</v>
      </c>
      <c r="AF512" s="72" t="str">
        <f t="shared" si="77"/>
        <v>A679078</v>
      </c>
      <c r="AG512" s="72" t="str">
        <f>VLOOKUP(AF512,AKT!$C$4:$E$324,3,FALSE)</f>
        <v>0942</v>
      </c>
    </row>
    <row r="513" spans="30:33" ht="15.75" customHeight="1">
      <c r="AD513" s="72" t="s">
        <v>1525</v>
      </c>
      <c r="AE513" s="72" t="s">
        <v>1526</v>
      </c>
      <c r="AF513" s="72" t="str">
        <f t="shared" si="77"/>
        <v>A679078</v>
      </c>
      <c r="AG513" s="72" t="str">
        <f>VLOOKUP(AF513,AKT!$C$4:$E$324,3,FALSE)</f>
        <v>0942</v>
      </c>
    </row>
    <row r="514" spans="30:33">
      <c r="AD514" s="72" t="s">
        <v>1527</v>
      </c>
      <c r="AE514" s="72" t="s">
        <v>1528</v>
      </c>
      <c r="AF514" s="72" t="str">
        <f t="shared" si="77"/>
        <v>A679078</v>
      </c>
      <c r="AG514" s="72" t="str">
        <f>VLOOKUP(AF514,AKT!$C$4:$E$324,3,FALSE)</f>
        <v>0942</v>
      </c>
    </row>
    <row r="515" spans="30:33">
      <c r="AD515" s="72" t="s">
        <v>1529</v>
      </c>
      <c r="AE515" s="72" t="s">
        <v>1530</v>
      </c>
      <c r="AF515" s="72" t="str">
        <f t="shared" si="77"/>
        <v>A679078</v>
      </c>
      <c r="AG515" s="72" t="str">
        <f>VLOOKUP(AF515,AKT!$C$4:$E$324,3,FALSE)</f>
        <v>0942</v>
      </c>
    </row>
    <row r="516" spans="30:33">
      <c r="AD516" s="72" t="s">
        <v>1531</v>
      </c>
      <c r="AE516" s="72" t="s">
        <v>1532</v>
      </c>
      <c r="AF516" s="72" t="str">
        <f t="shared" si="77"/>
        <v>A679078</v>
      </c>
      <c r="AG516" s="72" t="str">
        <f>VLOOKUP(AF516,AKT!$C$4:$E$324,3,FALSE)</f>
        <v>0942</v>
      </c>
    </row>
    <row r="517" spans="30:33">
      <c r="AD517" s="72" t="s">
        <v>1533</v>
      </c>
      <c r="AE517" s="72" t="s">
        <v>1534</v>
      </c>
      <c r="AF517" s="72" t="str">
        <f t="shared" si="77"/>
        <v>A679078</v>
      </c>
      <c r="AG517" s="72" t="str">
        <f>VLOOKUP(AF517,AKT!$C$4:$E$324,3,FALSE)</f>
        <v>0942</v>
      </c>
    </row>
    <row r="518" spans="30:33">
      <c r="AD518" s="72" t="s">
        <v>1535</v>
      </c>
      <c r="AE518" s="72" t="s">
        <v>1536</v>
      </c>
      <c r="AF518" s="72" t="str">
        <f t="shared" si="77"/>
        <v>A679078</v>
      </c>
      <c r="AG518" s="72" t="str">
        <f>VLOOKUP(AF518,AKT!$C$4:$E$324,3,FALSE)</f>
        <v>0942</v>
      </c>
    </row>
    <row r="519" spans="30:33">
      <c r="AD519" s="72" t="s">
        <v>1537</v>
      </c>
      <c r="AE519" s="72" t="s">
        <v>1538</v>
      </c>
      <c r="AF519" s="72" t="str">
        <f t="shared" si="77"/>
        <v>A679078</v>
      </c>
      <c r="AG519" s="72" t="str">
        <f>VLOOKUP(AF519,AKT!$C$4:$E$324,3,FALSE)</f>
        <v>0942</v>
      </c>
    </row>
    <row r="520" spans="30:33">
      <c r="AD520" s="72" t="s">
        <v>1539</v>
      </c>
      <c r="AE520" s="72" t="s">
        <v>1540</v>
      </c>
      <c r="AF520" s="72" t="str">
        <f t="shared" si="77"/>
        <v>A679078</v>
      </c>
      <c r="AG520" s="72" t="str">
        <f>VLOOKUP(AF520,AKT!$C$4:$E$324,3,FALSE)</f>
        <v>0942</v>
      </c>
    </row>
    <row r="521" spans="30:33">
      <c r="AD521" s="72" t="s">
        <v>1541</v>
      </c>
      <c r="AE521" s="72" t="s">
        <v>1542</v>
      </c>
      <c r="AF521" s="72" t="str">
        <f t="shared" si="77"/>
        <v>A679078</v>
      </c>
      <c r="AG521" s="72" t="str">
        <f>VLOOKUP(AF521,AKT!$C$4:$E$324,3,FALSE)</f>
        <v>0942</v>
      </c>
    </row>
    <row r="522" spans="30:33">
      <c r="AD522" s="72" t="s">
        <v>1543</v>
      </c>
      <c r="AE522" s="72" t="s">
        <v>1544</v>
      </c>
      <c r="AF522" s="72" t="str">
        <f t="shared" si="77"/>
        <v>A679078</v>
      </c>
      <c r="AG522" s="72" t="str">
        <f>VLOOKUP(AF522,AKT!$C$4:$E$324,3,FALSE)</f>
        <v>0942</v>
      </c>
    </row>
    <row r="523" spans="30:33">
      <c r="AD523" s="72" t="s">
        <v>1545</v>
      </c>
      <c r="AE523" s="72" t="s">
        <v>1546</v>
      </c>
      <c r="AF523" s="72" t="str">
        <f t="shared" si="77"/>
        <v>A679078</v>
      </c>
      <c r="AG523" s="72" t="str">
        <f>VLOOKUP(AF523,AKT!$C$4:$E$324,3,FALSE)</f>
        <v>0942</v>
      </c>
    </row>
    <row r="524" spans="30:33">
      <c r="AD524" s="72" t="s">
        <v>1547</v>
      </c>
      <c r="AE524" s="72" t="s">
        <v>1548</v>
      </c>
      <c r="AF524" s="72" t="str">
        <f t="shared" si="77"/>
        <v>A679078</v>
      </c>
      <c r="AG524" s="72" t="str">
        <f>VLOOKUP(AF524,AKT!$C$4:$E$324,3,FALSE)</f>
        <v>0942</v>
      </c>
    </row>
    <row r="525" spans="30:33">
      <c r="AD525" s="72" t="s">
        <v>1549</v>
      </c>
      <c r="AE525" s="72" t="s">
        <v>1550</v>
      </c>
      <c r="AF525" s="72" t="str">
        <f t="shared" si="77"/>
        <v>A679078</v>
      </c>
      <c r="AG525" s="72" t="str">
        <f>VLOOKUP(AF525,AKT!$C$4:$E$324,3,FALSE)</f>
        <v>0942</v>
      </c>
    </row>
    <row r="526" spans="30:33">
      <c r="AD526" s="72" t="s">
        <v>1551</v>
      </c>
      <c r="AE526" s="72" t="s">
        <v>1552</v>
      </c>
      <c r="AF526" s="72" t="str">
        <f t="shared" si="77"/>
        <v>A679078</v>
      </c>
      <c r="AG526" s="72" t="str">
        <f>VLOOKUP(AF526,AKT!$C$4:$E$324,3,FALSE)</f>
        <v>0942</v>
      </c>
    </row>
    <row r="527" spans="30:33">
      <c r="AD527" s="72" t="s">
        <v>1553</v>
      </c>
      <c r="AE527" s="72" t="s">
        <v>1554</v>
      </c>
      <c r="AF527" s="72" t="str">
        <f t="shared" si="77"/>
        <v>A679078</v>
      </c>
      <c r="AG527" s="72" t="str">
        <f>VLOOKUP(AF527,AKT!$C$4:$E$324,3,FALSE)</f>
        <v>0942</v>
      </c>
    </row>
    <row r="528" spans="30:33">
      <c r="AD528" s="72" t="s">
        <v>1555</v>
      </c>
      <c r="AE528" s="72" t="s">
        <v>1556</v>
      </c>
      <c r="AF528" s="72" t="str">
        <f t="shared" si="77"/>
        <v>A679078</v>
      </c>
      <c r="AG528" s="72" t="str">
        <f>VLOOKUP(AF528,AKT!$C$4:$E$324,3,FALSE)</f>
        <v>0942</v>
      </c>
    </row>
    <row r="529" spans="30:33">
      <c r="AD529" s="72" t="s">
        <v>1557</v>
      </c>
      <c r="AE529" s="72" t="s">
        <v>1558</v>
      </c>
      <c r="AF529" s="72" t="str">
        <f t="shared" si="77"/>
        <v>A679078</v>
      </c>
      <c r="AG529" s="72" t="str">
        <f>VLOOKUP(AF529,AKT!$C$4:$E$324,3,FALSE)</f>
        <v>0942</v>
      </c>
    </row>
    <row r="530" spans="30:33">
      <c r="AD530" s="72" t="s">
        <v>1559</v>
      </c>
      <c r="AE530" s="72" t="s">
        <v>1560</v>
      </c>
      <c r="AF530" s="72" t="str">
        <f t="shared" si="77"/>
        <v>A679078</v>
      </c>
      <c r="AG530" s="72" t="str">
        <f>VLOOKUP(AF530,AKT!$C$4:$E$324,3,FALSE)</f>
        <v>0942</v>
      </c>
    </row>
    <row r="531" spans="30:33">
      <c r="AD531" s="72" t="s">
        <v>1561</v>
      </c>
      <c r="AE531" s="72" t="s">
        <v>1562</v>
      </c>
      <c r="AF531" s="72" t="str">
        <f t="shared" ref="AF531:AF594" si="78">LEFT(AD531,7)</f>
        <v>A679078</v>
      </c>
      <c r="AG531" s="72" t="str">
        <f>VLOOKUP(AF531,AKT!$C$4:$E$324,3,FALSE)</f>
        <v>0942</v>
      </c>
    </row>
    <row r="532" spans="30:33">
      <c r="AD532" s="72" t="s">
        <v>1563</v>
      </c>
      <c r="AE532" s="72" t="s">
        <v>1564</v>
      </c>
      <c r="AF532" s="72" t="str">
        <f t="shared" si="78"/>
        <v>A679078</v>
      </c>
      <c r="AG532" s="72" t="str">
        <f>VLOOKUP(AF532,AKT!$C$4:$E$324,3,FALSE)</f>
        <v>0942</v>
      </c>
    </row>
    <row r="533" spans="30:33">
      <c r="AD533" s="72" t="s">
        <v>2325</v>
      </c>
      <c r="AE533" s="72" t="s">
        <v>2326</v>
      </c>
      <c r="AF533" s="72" t="str">
        <f t="shared" si="78"/>
        <v>A679078</v>
      </c>
      <c r="AG533" s="72" t="str">
        <f>VLOOKUP(AF533,AKT!$C$4:$E$324,3,FALSE)</f>
        <v>0942</v>
      </c>
    </row>
    <row r="534" spans="30:33">
      <c r="AD534" s="72" t="s">
        <v>2327</v>
      </c>
      <c r="AE534" s="72" t="s">
        <v>2328</v>
      </c>
      <c r="AF534" s="72" t="str">
        <f t="shared" si="78"/>
        <v>A679078</v>
      </c>
      <c r="AG534" s="72" t="str">
        <f>VLOOKUP(AF534,AKT!$C$4:$E$324,3,FALSE)</f>
        <v>0942</v>
      </c>
    </row>
    <row r="535" spans="30:33">
      <c r="AD535" s="72" t="s">
        <v>2329</v>
      </c>
      <c r="AE535" s="72" t="s">
        <v>2330</v>
      </c>
      <c r="AF535" s="72" t="str">
        <f t="shared" si="78"/>
        <v>A679078</v>
      </c>
      <c r="AG535" s="72" t="str">
        <f>VLOOKUP(AF535,AKT!$C$4:$E$324,3,FALSE)</f>
        <v>0942</v>
      </c>
    </row>
    <row r="536" spans="30:33">
      <c r="AD536" s="72" t="s">
        <v>2331</v>
      </c>
      <c r="AE536" s="72" t="s">
        <v>2332</v>
      </c>
      <c r="AF536" s="72" t="str">
        <f t="shared" si="78"/>
        <v>A679078</v>
      </c>
      <c r="AG536" s="72" t="str">
        <f>VLOOKUP(AF536,AKT!$C$4:$E$324,3,FALSE)</f>
        <v>0942</v>
      </c>
    </row>
    <row r="537" spans="30:33">
      <c r="AD537" s="72" t="s">
        <v>2333</v>
      </c>
      <c r="AE537" s="72" t="s">
        <v>2334</v>
      </c>
      <c r="AF537" s="72" t="str">
        <f t="shared" si="78"/>
        <v>A679078</v>
      </c>
      <c r="AG537" s="72" t="str">
        <f>VLOOKUP(AF537,AKT!$C$4:$E$324,3,FALSE)</f>
        <v>0942</v>
      </c>
    </row>
    <row r="538" spans="30:33">
      <c r="AD538" s="72" t="s">
        <v>2335</v>
      </c>
      <c r="AE538" s="72" t="s">
        <v>2336</v>
      </c>
      <c r="AF538" s="72" t="str">
        <f t="shared" si="78"/>
        <v>A679078</v>
      </c>
      <c r="AG538" s="72" t="str">
        <f>VLOOKUP(AF538,AKT!$C$4:$E$324,3,FALSE)</f>
        <v>0942</v>
      </c>
    </row>
    <row r="539" spans="30:33">
      <c r="AD539" s="72" t="s">
        <v>2337</v>
      </c>
      <c r="AE539" s="72" t="s">
        <v>2338</v>
      </c>
      <c r="AF539" s="72" t="str">
        <f t="shared" si="78"/>
        <v>A679078</v>
      </c>
      <c r="AG539" s="72" t="str">
        <f>VLOOKUP(AF539,AKT!$C$4:$E$324,3,FALSE)</f>
        <v>0942</v>
      </c>
    </row>
    <row r="540" spans="30:33">
      <c r="AD540" s="72" t="s">
        <v>2339</v>
      </c>
      <c r="AE540" s="72" t="s">
        <v>2340</v>
      </c>
      <c r="AF540" s="72" t="str">
        <f t="shared" si="78"/>
        <v>A679078</v>
      </c>
      <c r="AG540" s="72" t="str">
        <f>VLOOKUP(AF540,AKT!$C$4:$E$324,3,FALSE)</f>
        <v>0942</v>
      </c>
    </row>
    <row r="541" spans="30:33">
      <c r="AD541" s="72" t="s">
        <v>2341</v>
      </c>
      <c r="AE541" s="72" t="s">
        <v>2342</v>
      </c>
      <c r="AF541" s="72" t="str">
        <f t="shared" si="78"/>
        <v>A679078</v>
      </c>
      <c r="AG541" s="72" t="str">
        <f>VLOOKUP(AF541,AKT!$C$4:$E$324,3,FALSE)</f>
        <v>0942</v>
      </c>
    </row>
    <row r="542" spans="30:33">
      <c r="AD542" s="72" t="s">
        <v>2343</v>
      </c>
      <c r="AE542" s="72" t="s">
        <v>2344</v>
      </c>
      <c r="AF542" s="72" t="str">
        <f t="shared" si="78"/>
        <v>A679078</v>
      </c>
      <c r="AG542" s="72" t="str">
        <f>VLOOKUP(AF542,AKT!$C$4:$E$324,3,FALSE)</f>
        <v>0942</v>
      </c>
    </row>
    <row r="543" spans="30:33">
      <c r="AD543" s="72" t="s">
        <v>2345</v>
      </c>
      <c r="AE543" s="72" t="s">
        <v>2346</v>
      </c>
      <c r="AF543" s="72" t="str">
        <f t="shared" si="78"/>
        <v>A679078</v>
      </c>
      <c r="AG543" s="72" t="str">
        <f>VLOOKUP(AF543,AKT!$C$4:$E$324,3,FALSE)</f>
        <v>0942</v>
      </c>
    </row>
    <row r="544" spans="30:33">
      <c r="AD544" s="72" t="s">
        <v>2347</v>
      </c>
      <c r="AE544" s="72" t="s">
        <v>2348</v>
      </c>
      <c r="AF544" s="72" t="str">
        <f t="shared" si="78"/>
        <v>A679078</v>
      </c>
      <c r="AG544" s="72" t="str">
        <f>VLOOKUP(AF544,AKT!$C$4:$E$324,3,FALSE)</f>
        <v>0942</v>
      </c>
    </row>
    <row r="545" spans="30:33">
      <c r="AD545" s="72" t="s">
        <v>2349</v>
      </c>
      <c r="AE545" s="72" t="s">
        <v>2350</v>
      </c>
      <c r="AF545" s="72" t="str">
        <f t="shared" si="78"/>
        <v>A679078</v>
      </c>
      <c r="AG545" s="72" t="str">
        <f>VLOOKUP(AF545,AKT!$C$4:$E$324,3,FALSE)</f>
        <v>0942</v>
      </c>
    </row>
    <row r="546" spans="30:33">
      <c r="AD546" s="72" t="s">
        <v>2351</v>
      </c>
      <c r="AE546" s="72" t="s">
        <v>2352</v>
      </c>
      <c r="AF546" s="72" t="str">
        <f t="shared" si="78"/>
        <v>A679078</v>
      </c>
      <c r="AG546" s="72" t="str">
        <f>VLOOKUP(AF546,AKT!$C$4:$E$324,3,FALSE)</f>
        <v>0942</v>
      </c>
    </row>
    <row r="547" spans="30:33">
      <c r="AD547" s="72" t="s">
        <v>2353</v>
      </c>
      <c r="AE547" s="72" t="s">
        <v>2354</v>
      </c>
      <c r="AF547" s="72" t="str">
        <f t="shared" si="78"/>
        <v>A679078</v>
      </c>
      <c r="AG547" s="72" t="str">
        <f>VLOOKUP(AF547,AKT!$C$4:$E$324,3,FALSE)</f>
        <v>0942</v>
      </c>
    </row>
    <row r="548" spans="30:33">
      <c r="AD548" s="72" t="s">
        <v>2355</v>
      </c>
      <c r="AE548" s="72" t="s">
        <v>2356</v>
      </c>
      <c r="AF548" s="72" t="str">
        <f t="shared" si="78"/>
        <v>A679078</v>
      </c>
      <c r="AG548" s="72" t="str">
        <f>VLOOKUP(AF548,AKT!$C$4:$E$324,3,FALSE)</f>
        <v>0942</v>
      </c>
    </row>
    <row r="549" spans="30:33">
      <c r="AD549" s="72" t="s">
        <v>2357</v>
      </c>
      <c r="AE549" s="72" t="s">
        <v>2358</v>
      </c>
      <c r="AF549" s="72" t="str">
        <f t="shared" si="78"/>
        <v>A679078</v>
      </c>
      <c r="AG549" s="72" t="str">
        <f>VLOOKUP(AF549,AKT!$C$4:$E$324,3,FALSE)</f>
        <v>0942</v>
      </c>
    </row>
    <row r="550" spans="30:33">
      <c r="AD550" s="72" t="s">
        <v>2359</v>
      </c>
      <c r="AE550" s="72" t="s">
        <v>2360</v>
      </c>
      <c r="AF550" s="72" t="str">
        <f t="shared" si="78"/>
        <v>A679078</v>
      </c>
      <c r="AG550" s="72" t="str">
        <f>VLOOKUP(AF550,AKT!$C$4:$E$324,3,FALSE)</f>
        <v>0942</v>
      </c>
    </row>
    <row r="551" spans="30:33">
      <c r="AD551" s="72" t="s">
        <v>2361</v>
      </c>
      <c r="AE551" s="72" t="s">
        <v>2362</v>
      </c>
      <c r="AF551" s="72" t="str">
        <f t="shared" si="78"/>
        <v>A679078</v>
      </c>
      <c r="AG551" s="72" t="str">
        <f>VLOOKUP(AF551,AKT!$C$4:$E$324,3,FALSE)</f>
        <v>0942</v>
      </c>
    </row>
    <row r="552" spans="30:33">
      <c r="AD552" s="72" t="s">
        <v>2363</v>
      </c>
      <c r="AE552" s="72" t="s">
        <v>2364</v>
      </c>
      <c r="AF552" s="72" t="str">
        <f t="shared" si="78"/>
        <v>A679078</v>
      </c>
      <c r="AG552" s="72" t="str">
        <f>VLOOKUP(AF552,AKT!$C$4:$E$324,3,FALSE)</f>
        <v>0942</v>
      </c>
    </row>
    <row r="553" spans="30:33">
      <c r="AD553" s="72" t="s">
        <v>2365</v>
      </c>
      <c r="AE553" s="72" t="s">
        <v>2366</v>
      </c>
      <c r="AF553" s="72" t="str">
        <f t="shared" si="78"/>
        <v>A679078</v>
      </c>
      <c r="AG553" s="72" t="str">
        <f>VLOOKUP(AF553,AKT!$C$4:$E$324,3,FALSE)</f>
        <v>0942</v>
      </c>
    </row>
    <row r="554" spans="30:33">
      <c r="AD554" s="72" t="s">
        <v>2367</v>
      </c>
      <c r="AE554" s="72" t="s">
        <v>2368</v>
      </c>
      <c r="AF554" s="72" t="str">
        <f t="shared" si="78"/>
        <v>A679078</v>
      </c>
      <c r="AG554" s="72" t="str">
        <f>VLOOKUP(AF554,AKT!$C$4:$E$324,3,FALSE)</f>
        <v>0942</v>
      </c>
    </row>
    <row r="555" spans="30:33">
      <c r="AD555" s="72" t="s">
        <v>2369</v>
      </c>
      <c r="AE555" s="72" t="s">
        <v>2370</v>
      </c>
      <c r="AF555" s="72" t="str">
        <f t="shared" si="78"/>
        <v>A679078</v>
      </c>
      <c r="AG555" s="72" t="str">
        <f>VLOOKUP(AF555,AKT!$C$4:$E$324,3,FALSE)</f>
        <v>0942</v>
      </c>
    </row>
    <row r="556" spans="30:33">
      <c r="AD556" s="72" t="s">
        <v>2371</v>
      </c>
      <c r="AE556" s="72" t="s">
        <v>2372</v>
      </c>
      <c r="AF556" s="72" t="str">
        <f t="shared" si="78"/>
        <v>A679078</v>
      </c>
      <c r="AG556" s="72" t="str">
        <f>VLOOKUP(AF556,AKT!$C$4:$E$324,3,FALSE)</f>
        <v>0942</v>
      </c>
    </row>
    <row r="557" spans="30:33">
      <c r="AD557" s="72" t="s">
        <v>2373</v>
      </c>
      <c r="AE557" s="72" t="s">
        <v>2374</v>
      </c>
      <c r="AF557" s="72" t="str">
        <f t="shared" si="78"/>
        <v>A679078</v>
      </c>
      <c r="AG557" s="72" t="str">
        <f>VLOOKUP(AF557,AKT!$C$4:$E$324,3,FALSE)</f>
        <v>0942</v>
      </c>
    </row>
    <row r="558" spans="30:33">
      <c r="AD558" s="72" t="s">
        <v>2375</v>
      </c>
      <c r="AE558" s="72" t="s">
        <v>2376</v>
      </c>
      <c r="AF558" s="72" t="str">
        <f t="shared" si="78"/>
        <v>A679078</v>
      </c>
      <c r="AG558" s="72" t="str">
        <f>VLOOKUP(AF558,AKT!$C$4:$E$324,3,FALSE)</f>
        <v>0942</v>
      </c>
    </row>
    <row r="559" spans="30:33">
      <c r="AD559" s="72" t="s">
        <v>2377</v>
      </c>
      <c r="AE559" s="72" t="s">
        <v>2378</v>
      </c>
      <c r="AF559" s="72" t="str">
        <f t="shared" si="78"/>
        <v>A679078</v>
      </c>
      <c r="AG559" s="72" t="str">
        <f>VLOOKUP(AF559,AKT!$C$4:$E$324,3,FALSE)</f>
        <v>0942</v>
      </c>
    </row>
    <row r="560" spans="30:33">
      <c r="AD560" s="72" t="s">
        <v>2379</v>
      </c>
      <c r="AE560" s="72" t="s">
        <v>2380</v>
      </c>
      <c r="AF560" s="72" t="str">
        <f t="shared" si="78"/>
        <v>A679078</v>
      </c>
      <c r="AG560" s="72" t="str">
        <f>VLOOKUP(AF560,AKT!$C$4:$E$324,3,FALSE)</f>
        <v>0942</v>
      </c>
    </row>
    <row r="561" spans="30:33">
      <c r="AD561" s="72" t="s">
        <v>2381</v>
      </c>
      <c r="AE561" s="72" t="s">
        <v>2382</v>
      </c>
      <c r="AF561" s="72" t="str">
        <f t="shared" si="78"/>
        <v>A679078</v>
      </c>
      <c r="AG561" s="72" t="str">
        <f>VLOOKUP(AF561,AKT!$C$4:$E$324,3,FALSE)</f>
        <v>0942</v>
      </c>
    </row>
    <row r="562" spans="30:33">
      <c r="AD562" s="72" t="s">
        <v>2383</v>
      </c>
      <c r="AE562" s="72" t="s">
        <v>2384</v>
      </c>
      <c r="AF562" s="72" t="str">
        <f t="shared" si="78"/>
        <v>A679078</v>
      </c>
      <c r="AG562" s="72" t="str">
        <f>VLOOKUP(AF562,AKT!$C$4:$E$324,3,FALSE)</f>
        <v>0942</v>
      </c>
    </row>
    <row r="563" spans="30:33">
      <c r="AD563" s="72" t="s">
        <v>2385</v>
      </c>
      <c r="AE563" s="72" t="s">
        <v>1418</v>
      </c>
      <c r="AF563" s="72" t="str">
        <f t="shared" si="78"/>
        <v>A679078</v>
      </c>
      <c r="AG563" s="72" t="str">
        <f>VLOOKUP(AF563,AKT!$C$4:$E$324,3,FALSE)</f>
        <v>0942</v>
      </c>
    </row>
    <row r="564" spans="30:33">
      <c r="AD564" s="72" t="s">
        <v>2386</v>
      </c>
      <c r="AE564" s="72" t="s">
        <v>2387</v>
      </c>
      <c r="AF564" s="72" t="str">
        <f t="shared" si="78"/>
        <v>A679078</v>
      </c>
      <c r="AG564" s="72" t="str">
        <f>VLOOKUP(AF564,AKT!$C$4:$E$324,3,FALSE)</f>
        <v>0942</v>
      </c>
    </row>
    <row r="565" spans="30:33">
      <c r="AD565" s="72" t="s">
        <v>2388</v>
      </c>
      <c r="AE565" s="72" t="s">
        <v>2389</v>
      </c>
      <c r="AF565" s="72" t="str">
        <f t="shared" si="78"/>
        <v>A679078</v>
      </c>
      <c r="AG565" s="72" t="str">
        <f>VLOOKUP(AF565,AKT!$C$4:$E$324,3,FALSE)</f>
        <v>0942</v>
      </c>
    </row>
    <row r="566" spans="30:33">
      <c r="AD566" s="72" t="s">
        <v>2390</v>
      </c>
      <c r="AE566" s="72" t="s">
        <v>2391</v>
      </c>
      <c r="AF566" s="72" t="str">
        <f t="shared" si="78"/>
        <v>A679078</v>
      </c>
      <c r="AG566" s="72" t="str">
        <f>VLOOKUP(AF566,AKT!$C$4:$E$324,3,FALSE)</f>
        <v>0942</v>
      </c>
    </row>
    <row r="567" spans="30:33">
      <c r="AD567" s="72" t="s">
        <v>2392</v>
      </c>
      <c r="AE567" s="72" t="s">
        <v>2393</v>
      </c>
      <c r="AF567" s="72" t="str">
        <f t="shared" si="78"/>
        <v>A679078</v>
      </c>
      <c r="AG567" s="72" t="str">
        <f>VLOOKUP(AF567,AKT!$C$4:$E$324,3,FALSE)</f>
        <v>0942</v>
      </c>
    </row>
    <row r="568" spans="30:33">
      <c r="AD568" s="72" t="s">
        <v>2394</v>
      </c>
      <c r="AE568" s="72" t="s">
        <v>2395</v>
      </c>
      <c r="AF568" s="72" t="str">
        <f t="shared" si="78"/>
        <v>A679078</v>
      </c>
      <c r="AG568" s="72" t="str">
        <f>VLOOKUP(AF568,AKT!$C$4:$E$324,3,FALSE)</f>
        <v>0942</v>
      </c>
    </row>
    <row r="569" spans="30:33">
      <c r="AD569" s="72" t="s">
        <v>2396</v>
      </c>
      <c r="AE569" s="72" t="s">
        <v>2397</v>
      </c>
      <c r="AF569" s="72" t="str">
        <f t="shared" si="78"/>
        <v>A679078</v>
      </c>
      <c r="AG569" s="72" t="str">
        <f>VLOOKUP(AF569,AKT!$C$4:$E$324,3,FALSE)</f>
        <v>0942</v>
      </c>
    </row>
    <row r="570" spans="30:33">
      <c r="AD570" s="72" t="s">
        <v>2398</v>
      </c>
      <c r="AE570" s="72" t="s">
        <v>2399</v>
      </c>
      <c r="AF570" s="72" t="str">
        <f t="shared" si="78"/>
        <v>A679078</v>
      </c>
      <c r="AG570" s="72" t="str">
        <f>VLOOKUP(AF570,AKT!$C$4:$E$324,3,FALSE)</f>
        <v>0942</v>
      </c>
    </row>
    <row r="571" spans="30:33">
      <c r="AD571" s="72" t="s">
        <v>2400</v>
      </c>
      <c r="AE571" s="72" t="s">
        <v>2401</v>
      </c>
      <c r="AF571" s="72" t="str">
        <f t="shared" si="78"/>
        <v>A679078</v>
      </c>
      <c r="AG571" s="72" t="str">
        <f>VLOOKUP(AF571,AKT!$C$4:$E$324,3,FALSE)</f>
        <v>0942</v>
      </c>
    </row>
    <row r="572" spans="30:33">
      <c r="AD572" s="72" t="s">
        <v>2402</v>
      </c>
      <c r="AE572" s="72" t="s">
        <v>2403</v>
      </c>
      <c r="AF572" s="72" t="str">
        <f t="shared" si="78"/>
        <v>A679078</v>
      </c>
      <c r="AG572" s="72" t="str">
        <f>VLOOKUP(AF572,AKT!$C$4:$E$324,3,FALSE)</f>
        <v>0942</v>
      </c>
    </row>
    <row r="573" spans="30:33">
      <c r="AD573" s="72" t="s">
        <v>2404</v>
      </c>
      <c r="AE573" s="72" t="s">
        <v>2405</v>
      </c>
      <c r="AF573" s="72" t="str">
        <f t="shared" si="78"/>
        <v>A679078</v>
      </c>
      <c r="AG573" s="72" t="str">
        <f>VLOOKUP(AF573,AKT!$C$4:$E$324,3,FALSE)</f>
        <v>0942</v>
      </c>
    </row>
    <row r="574" spans="30:33">
      <c r="AD574" s="72" t="s">
        <v>2406</v>
      </c>
      <c r="AE574" s="72" t="s">
        <v>2407</v>
      </c>
      <c r="AF574" s="72" t="str">
        <f t="shared" si="78"/>
        <v>A679078</v>
      </c>
      <c r="AG574" s="72" t="str">
        <f>VLOOKUP(AF574,AKT!$C$4:$E$324,3,FALSE)</f>
        <v>0942</v>
      </c>
    </row>
    <row r="575" spans="30:33">
      <c r="AD575" s="72" t="s">
        <v>2408</v>
      </c>
      <c r="AE575" s="72" t="s">
        <v>2409</v>
      </c>
      <c r="AF575" s="72" t="str">
        <f t="shared" si="78"/>
        <v>A679078</v>
      </c>
      <c r="AG575" s="72" t="str">
        <f>VLOOKUP(AF575,AKT!$C$4:$E$324,3,FALSE)</f>
        <v>0942</v>
      </c>
    </row>
    <row r="576" spans="30:33">
      <c r="AD576" s="72" t="s">
        <v>2410</v>
      </c>
      <c r="AE576" s="72" t="s">
        <v>2411</v>
      </c>
      <c r="AF576" s="72" t="str">
        <f t="shared" si="78"/>
        <v>A679078</v>
      </c>
      <c r="AG576" s="72" t="str">
        <f>VLOOKUP(AF576,AKT!$C$4:$E$324,3,FALSE)</f>
        <v>0942</v>
      </c>
    </row>
    <row r="577" spans="30:33">
      <c r="AD577" s="72" t="s">
        <v>2412</v>
      </c>
      <c r="AE577" s="72" t="s">
        <v>2413</v>
      </c>
      <c r="AF577" s="72" t="str">
        <f t="shared" si="78"/>
        <v>A679078</v>
      </c>
      <c r="AG577" s="72" t="str">
        <f>VLOOKUP(AF577,AKT!$C$4:$E$324,3,FALSE)</f>
        <v>0942</v>
      </c>
    </row>
    <row r="578" spans="30:33">
      <c r="AD578" s="72" t="s">
        <v>2414</v>
      </c>
      <c r="AE578" s="72" t="s">
        <v>2415</v>
      </c>
      <c r="AF578" s="72" t="str">
        <f t="shared" si="78"/>
        <v>A679078</v>
      </c>
      <c r="AG578" s="72" t="str">
        <f>VLOOKUP(AF578,AKT!$C$4:$E$324,3,FALSE)</f>
        <v>0942</v>
      </c>
    </row>
    <row r="579" spans="30:33">
      <c r="AD579" s="72" t="s">
        <v>2416</v>
      </c>
      <c r="AE579" s="72" t="s">
        <v>2417</v>
      </c>
      <c r="AF579" s="72" t="str">
        <f t="shared" si="78"/>
        <v>A679078</v>
      </c>
      <c r="AG579" s="72" t="str">
        <f>VLOOKUP(AF579,AKT!$C$4:$E$324,3,FALSE)</f>
        <v>0942</v>
      </c>
    </row>
    <row r="580" spans="30:33">
      <c r="AD580" s="72" t="s">
        <v>2418</v>
      </c>
      <c r="AE580" s="72" t="s">
        <v>2419</v>
      </c>
      <c r="AF580" s="72" t="str">
        <f t="shared" si="78"/>
        <v>A679078</v>
      </c>
      <c r="AG580" s="72" t="str">
        <f>VLOOKUP(AF580,AKT!$C$4:$E$324,3,FALSE)</f>
        <v>0942</v>
      </c>
    </row>
    <row r="581" spans="30:33">
      <c r="AD581" s="72" t="s">
        <v>2420</v>
      </c>
      <c r="AE581" s="72" t="s">
        <v>2421</v>
      </c>
      <c r="AF581" s="72" t="str">
        <f t="shared" si="78"/>
        <v>A679078</v>
      </c>
      <c r="AG581" s="72" t="str">
        <f>VLOOKUP(AF581,AKT!$C$4:$E$324,3,FALSE)</f>
        <v>0942</v>
      </c>
    </row>
    <row r="582" spans="30:33">
      <c r="AD582" s="72" t="s">
        <v>2422</v>
      </c>
      <c r="AE582" s="72" t="s">
        <v>2423</v>
      </c>
      <c r="AF582" s="72" t="str">
        <f t="shared" si="78"/>
        <v>A679078</v>
      </c>
      <c r="AG582" s="72" t="str">
        <f>VLOOKUP(AF582,AKT!$C$4:$E$324,3,FALSE)</f>
        <v>0942</v>
      </c>
    </row>
    <row r="583" spans="30:33">
      <c r="AD583" s="72" t="s">
        <v>2424</v>
      </c>
      <c r="AE583" s="72" t="s">
        <v>2425</v>
      </c>
      <c r="AF583" s="72" t="str">
        <f t="shared" si="78"/>
        <v>A679078</v>
      </c>
      <c r="AG583" s="72" t="str">
        <f>VLOOKUP(AF583,AKT!$C$4:$E$324,3,FALSE)</f>
        <v>0942</v>
      </c>
    </row>
    <row r="584" spans="30:33">
      <c r="AD584" s="72" t="s">
        <v>2426</v>
      </c>
      <c r="AE584" s="72" t="s">
        <v>2427</v>
      </c>
      <c r="AF584" s="72" t="str">
        <f t="shared" si="78"/>
        <v>A679078</v>
      </c>
      <c r="AG584" s="72" t="str">
        <f>VLOOKUP(AF584,AKT!$C$4:$E$324,3,FALSE)</f>
        <v>0942</v>
      </c>
    </row>
    <row r="585" spans="30:33">
      <c r="AD585" s="72" t="s">
        <v>2428</v>
      </c>
      <c r="AE585" s="72" t="s">
        <v>2429</v>
      </c>
      <c r="AF585" s="72" t="str">
        <f t="shared" si="78"/>
        <v>A679078</v>
      </c>
      <c r="AG585" s="72" t="str">
        <f>VLOOKUP(AF585,AKT!$C$4:$E$324,3,FALSE)</f>
        <v>0942</v>
      </c>
    </row>
    <row r="586" spans="30:33">
      <c r="AD586" s="72" t="s">
        <v>2430</v>
      </c>
      <c r="AE586" s="72" t="s">
        <v>2431</v>
      </c>
      <c r="AF586" s="72" t="str">
        <f t="shared" si="78"/>
        <v>A679078</v>
      </c>
      <c r="AG586" s="72" t="str">
        <f>VLOOKUP(AF586,AKT!$C$4:$E$324,3,FALSE)</f>
        <v>0942</v>
      </c>
    </row>
    <row r="587" spans="30:33">
      <c r="AD587" s="72" t="s">
        <v>2432</v>
      </c>
      <c r="AE587" s="72" t="s">
        <v>2433</v>
      </c>
      <c r="AF587" s="72" t="str">
        <f t="shared" si="78"/>
        <v>A679078</v>
      </c>
      <c r="AG587" s="72" t="str">
        <f>VLOOKUP(AF587,AKT!$C$4:$E$324,3,FALSE)</f>
        <v>0942</v>
      </c>
    </row>
    <row r="588" spans="30:33">
      <c r="AD588" s="72" t="s">
        <v>2434</v>
      </c>
      <c r="AE588" s="72" t="s">
        <v>2435</v>
      </c>
      <c r="AF588" s="72" t="str">
        <f t="shared" si="78"/>
        <v>A679078</v>
      </c>
      <c r="AG588" s="72" t="str">
        <f>VLOOKUP(AF588,AKT!$C$4:$E$324,3,FALSE)</f>
        <v>0942</v>
      </c>
    </row>
    <row r="589" spans="30:33">
      <c r="AD589" s="72" t="s">
        <v>2436</v>
      </c>
      <c r="AE589" s="72" t="s">
        <v>2437</v>
      </c>
      <c r="AF589" s="72" t="str">
        <f t="shared" si="78"/>
        <v>A679078</v>
      </c>
      <c r="AG589" s="72" t="str">
        <f>VLOOKUP(AF589,AKT!$C$4:$E$324,3,FALSE)</f>
        <v>0942</v>
      </c>
    </row>
    <row r="590" spans="30:33">
      <c r="AD590" s="72" t="s">
        <v>2438</v>
      </c>
      <c r="AE590" s="72" t="s">
        <v>2439</v>
      </c>
      <c r="AF590" s="72" t="str">
        <f t="shared" si="78"/>
        <v>A679078</v>
      </c>
      <c r="AG590" s="72" t="str">
        <f>VLOOKUP(AF590,AKT!$C$4:$E$324,3,FALSE)</f>
        <v>0942</v>
      </c>
    </row>
    <row r="591" spans="30:33">
      <c r="AD591" s="72" t="s">
        <v>2440</v>
      </c>
      <c r="AE591" s="72" t="s">
        <v>2441</v>
      </c>
      <c r="AF591" s="72" t="str">
        <f t="shared" si="78"/>
        <v>A679078</v>
      </c>
      <c r="AG591" s="72" t="str">
        <f>VLOOKUP(AF591,AKT!$C$4:$E$324,3,FALSE)</f>
        <v>0942</v>
      </c>
    </row>
    <row r="592" spans="30:33">
      <c r="AD592" s="72" t="s">
        <v>2442</v>
      </c>
      <c r="AE592" s="72" t="s">
        <v>2443</v>
      </c>
      <c r="AF592" s="72" t="str">
        <f t="shared" si="78"/>
        <v>A679078</v>
      </c>
      <c r="AG592" s="72" t="str">
        <f>VLOOKUP(AF592,AKT!$C$4:$E$324,3,FALSE)</f>
        <v>0942</v>
      </c>
    </row>
    <row r="593" spans="30:33">
      <c r="AD593" s="72" t="s">
        <v>2444</v>
      </c>
      <c r="AE593" s="72" t="s">
        <v>2445</v>
      </c>
      <c r="AF593" s="72" t="str">
        <f t="shared" si="78"/>
        <v>A679078</v>
      </c>
      <c r="AG593" s="72" t="str">
        <f>VLOOKUP(AF593,AKT!$C$4:$E$324,3,FALSE)</f>
        <v>0942</v>
      </c>
    </row>
    <row r="594" spans="30:33">
      <c r="AD594" s="72" t="s">
        <v>2446</v>
      </c>
      <c r="AE594" s="72" t="s">
        <v>2447</v>
      </c>
      <c r="AF594" s="72" t="str">
        <f t="shared" si="78"/>
        <v>A679078</v>
      </c>
      <c r="AG594" s="72" t="str">
        <f>VLOOKUP(AF594,AKT!$C$4:$E$324,3,FALSE)</f>
        <v>0942</v>
      </c>
    </row>
    <row r="595" spans="30:33">
      <c r="AD595" s="72" t="s">
        <v>2448</v>
      </c>
      <c r="AE595" s="72" t="s">
        <v>2449</v>
      </c>
      <c r="AF595" s="72" t="str">
        <f t="shared" ref="AF595:AF658" si="79">LEFT(AD595,7)</f>
        <v>A679078</v>
      </c>
      <c r="AG595" s="72" t="str">
        <f>VLOOKUP(AF595,AKT!$C$4:$E$324,3,FALSE)</f>
        <v>0942</v>
      </c>
    </row>
    <row r="596" spans="30:33">
      <c r="AD596" s="72" t="s">
        <v>2450</v>
      </c>
      <c r="AE596" s="72" t="s">
        <v>2451</v>
      </c>
      <c r="AF596" s="72" t="str">
        <f t="shared" si="79"/>
        <v>A679078</v>
      </c>
      <c r="AG596" s="72" t="str">
        <f>VLOOKUP(AF596,AKT!$C$4:$E$324,3,FALSE)</f>
        <v>0942</v>
      </c>
    </row>
    <row r="597" spans="30:33">
      <c r="AD597" s="72" t="s">
        <v>2452</v>
      </c>
      <c r="AE597" s="72" t="s">
        <v>2453</v>
      </c>
      <c r="AF597" s="72" t="str">
        <f t="shared" si="79"/>
        <v>A679078</v>
      </c>
      <c r="AG597" s="72" t="str">
        <f>VLOOKUP(AF597,AKT!$C$4:$E$324,3,FALSE)</f>
        <v>0942</v>
      </c>
    </row>
    <row r="598" spans="30:33">
      <c r="AD598" s="72" t="s">
        <v>2454</v>
      </c>
      <c r="AE598" s="72" t="s">
        <v>2455</v>
      </c>
      <c r="AF598" s="72" t="str">
        <f t="shared" si="79"/>
        <v>A679078</v>
      </c>
      <c r="AG598" s="72" t="str">
        <f>VLOOKUP(AF598,AKT!$C$4:$E$324,3,FALSE)</f>
        <v>0942</v>
      </c>
    </row>
    <row r="599" spans="30:33">
      <c r="AD599" s="72" t="s">
        <v>2456</v>
      </c>
      <c r="AE599" s="72" t="s">
        <v>2457</v>
      </c>
      <c r="AF599" s="72" t="str">
        <f t="shared" si="79"/>
        <v>A679078</v>
      </c>
      <c r="AG599" s="72" t="str">
        <f>VLOOKUP(AF599,AKT!$C$4:$E$324,3,FALSE)</f>
        <v>0942</v>
      </c>
    </row>
    <row r="600" spans="30:33">
      <c r="AD600" s="72" t="s">
        <v>2458</v>
      </c>
      <c r="AE600" s="72" t="s">
        <v>2459</v>
      </c>
      <c r="AF600" s="72" t="str">
        <f t="shared" si="79"/>
        <v>A679078</v>
      </c>
      <c r="AG600" s="72" t="str">
        <f>VLOOKUP(AF600,AKT!$C$4:$E$324,3,FALSE)</f>
        <v>0942</v>
      </c>
    </row>
    <row r="601" spans="30:33">
      <c r="AD601" s="72" t="s">
        <v>2460</v>
      </c>
      <c r="AE601" s="72" t="s">
        <v>2461</v>
      </c>
      <c r="AF601" s="72" t="str">
        <f t="shared" si="79"/>
        <v>A679078</v>
      </c>
      <c r="AG601" s="72" t="str">
        <f>VLOOKUP(AF601,AKT!$C$4:$E$324,3,FALSE)</f>
        <v>0942</v>
      </c>
    </row>
    <row r="602" spans="30:33">
      <c r="AD602" s="72" t="s">
        <v>2462</v>
      </c>
      <c r="AE602" s="72" t="s">
        <v>2463</v>
      </c>
      <c r="AF602" s="72" t="str">
        <f t="shared" si="79"/>
        <v>A679078</v>
      </c>
      <c r="AG602" s="72" t="str">
        <f>VLOOKUP(AF602,AKT!$C$4:$E$324,3,FALSE)</f>
        <v>0942</v>
      </c>
    </row>
    <row r="603" spans="30:33">
      <c r="AD603" s="72" t="s">
        <v>2464</v>
      </c>
      <c r="AE603" s="72" t="s">
        <v>2465</v>
      </c>
      <c r="AF603" s="72" t="str">
        <f t="shared" si="79"/>
        <v>A679078</v>
      </c>
      <c r="AG603" s="72" t="str">
        <f>VLOOKUP(AF603,AKT!$C$4:$E$324,3,FALSE)</f>
        <v>0942</v>
      </c>
    </row>
    <row r="604" spans="30:33">
      <c r="AD604" s="72" t="s">
        <v>2466</v>
      </c>
      <c r="AE604" s="72" t="s">
        <v>2467</v>
      </c>
      <c r="AF604" s="72" t="str">
        <f t="shared" si="79"/>
        <v>A679078</v>
      </c>
      <c r="AG604" s="72" t="str">
        <f>VLOOKUP(AF604,AKT!$C$4:$E$324,3,FALSE)</f>
        <v>0942</v>
      </c>
    </row>
    <row r="605" spans="30:33">
      <c r="AD605" s="72" t="s">
        <v>2468</v>
      </c>
      <c r="AE605" s="72" t="s">
        <v>2469</v>
      </c>
      <c r="AF605" s="72" t="str">
        <f t="shared" si="79"/>
        <v>A679078</v>
      </c>
      <c r="AG605" s="72" t="str">
        <f>VLOOKUP(AF605,AKT!$C$4:$E$324,3,FALSE)</f>
        <v>0942</v>
      </c>
    </row>
    <row r="606" spans="30:33">
      <c r="AD606" s="72" t="s">
        <v>2470</v>
      </c>
      <c r="AE606" s="72" t="s">
        <v>2471</v>
      </c>
      <c r="AF606" s="72" t="str">
        <f t="shared" si="79"/>
        <v>A679078</v>
      </c>
      <c r="AG606" s="72" t="str">
        <f>VLOOKUP(AF606,AKT!$C$4:$E$324,3,FALSE)</f>
        <v>0942</v>
      </c>
    </row>
    <row r="607" spans="30:33">
      <c r="AD607" s="72" t="s">
        <v>2472</v>
      </c>
      <c r="AE607" s="72" t="s">
        <v>2473</v>
      </c>
      <c r="AF607" s="72" t="str">
        <f t="shared" si="79"/>
        <v>A679078</v>
      </c>
      <c r="AG607" s="72" t="str">
        <f>VLOOKUP(AF607,AKT!$C$4:$E$324,3,FALSE)</f>
        <v>0942</v>
      </c>
    </row>
    <row r="608" spans="30:33">
      <c r="AD608" s="72" t="s">
        <v>2474</v>
      </c>
      <c r="AE608" s="72" t="s">
        <v>2475</v>
      </c>
      <c r="AF608" s="72" t="str">
        <f t="shared" si="79"/>
        <v>A679078</v>
      </c>
      <c r="AG608" s="72" t="str">
        <f>VLOOKUP(AF608,AKT!$C$4:$E$324,3,FALSE)</f>
        <v>0942</v>
      </c>
    </row>
    <row r="609" spans="30:33">
      <c r="AD609" s="72" t="s">
        <v>2476</v>
      </c>
      <c r="AE609" s="72" t="s">
        <v>2477</v>
      </c>
      <c r="AF609" s="72" t="str">
        <f t="shared" si="79"/>
        <v>A679078</v>
      </c>
      <c r="AG609" s="72" t="str">
        <f>VLOOKUP(AF609,AKT!$C$4:$E$324,3,FALSE)</f>
        <v>0942</v>
      </c>
    </row>
    <row r="610" spans="30:33">
      <c r="AD610" s="72" t="s">
        <v>2478</v>
      </c>
      <c r="AE610" s="72" t="s">
        <v>2479</v>
      </c>
      <c r="AF610" s="72" t="str">
        <f t="shared" si="79"/>
        <v>A679078</v>
      </c>
      <c r="AG610" s="72" t="str">
        <f>VLOOKUP(AF610,AKT!$C$4:$E$324,3,FALSE)</f>
        <v>0942</v>
      </c>
    </row>
    <row r="611" spans="30:33">
      <c r="AD611" s="72" t="s">
        <v>2480</v>
      </c>
      <c r="AE611" s="72" t="s">
        <v>2481</v>
      </c>
      <c r="AF611" s="72" t="str">
        <f t="shared" si="79"/>
        <v>A679078</v>
      </c>
      <c r="AG611" s="72" t="str">
        <f>VLOOKUP(AF611,AKT!$C$4:$E$324,3,FALSE)</f>
        <v>0942</v>
      </c>
    </row>
    <row r="612" spans="30:33">
      <c r="AD612" s="72" t="s">
        <v>2482</v>
      </c>
      <c r="AE612" s="72" t="s">
        <v>2483</v>
      </c>
      <c r="AF612" s="72" t="str">
        <f t="shared" si="79"/>
        <v>A679078</v>
      </c>
      <c r="AG612" s="72" t="str">
        <f>VLOOKUP(AF612,AKT!$C$4:$E$324,3,FALSE)</f>
        <v>0942</v>
      </c>
    </row>
    <row r="613" spans="30:33">
      <c r="AD613" s="72" t="s">
        <v>2484</v>
      </c>
      <c r="AE613" s="72" t="s">
        <v>2485</v>
      </c>
      <c r="AF613" s="72" t="str">
        <f t="shared" si="79"/>
        <v>A679078</v>
      </c>
      <c r="AG613" s="72" t="str">
        <f>VLOOKUP(AF613,AKT!$C$4:$E$324,3,FALSE)</f>
        <v>0942</v>
      </c>
    </row>
    <row r="614" spans="30:33">
      <c r="AD614" s="72" t="s">
        <v>2486</v>
      </c>
      <c r="AE614" s="72" t="s">
        <v>2487</v>
      </c>
      <c r="AF614" s="72" t="str">
        <f t="shared" si="79"/>
        <v>A679078</v>
      </c>
      <c r="AG614" s="72" t="str">
        <f>VLOOKUP(AF614,AKT!$C$4:$E$324,3,FALSE)</f>
        <v>0942</v>
      </c>
    </row>
    <row r="615" spans="30:33">
      <c r="AD615" s="72" t="s">
        <v>2488</v>
      </c>
      <c r="AE615" s="72" t="s">
        <v>2489</v>
      </c>
      <c r="AF615" s="72" t="str">
        <f t="shared" si="79"/>
        <v>A679078</v>
      </c>
      <c r="AG615" s="72" t="str">
        <f>VLOOKUP(AF615,AKT!$C$4:$E$324,3,FALSE)</f>
        <v>0942</v>
      </c>
    </row>
    <row r="616" spans="30:33">
      <c r="AD616" s="72" t="s">
        <v>2490</v>
      </c>
      <c r="AE616" s="72" t="s">
        <v>2491</v>
      </c>
      <c r="AF616" s="72" t="str">
        <f t="shared" si="79"/>
        <v>A679078</v>
      </c>
      <c r="AG616" s="72" t="str">
        <f>VLOOKUP(AF616,AKT!$C$4:$E$324,3,FALSE)</f>
        <v>0942</v>
      </c>
    </row>
    <row r="617" spans="30:33">
      <c r="AD617" s="72" t="s">
        <v>2492</v>
      </c>
      <c r="AE617" s="72" t="s">
        <v>2493</v>
      </c>
      <c r="AF617" s="72" t="str">
        <f t="shared" si="79"/>
        <v>A679078</v>
      </c>
      <c r="AG617" s="72" t="str">
        <f>VLOOKUP(AF617,AKT!$C$4:$E$324,3,FALSE)</f>
        <v>0942</v>
      </c>
    </row>
    <row r="618" spans="30:33">
      <c r="AD618" s="72" t="s">
        <v>2494</v>
      </c>
      <c r="AE618" s="72" t="s">
        <v>2495</v>
      </c>
      <c r="AF618" s="72" t="str">
        <f t="shared" si="79"/>
        <v>A679078</v>
      </c>
      <c r="AG618" s="72" t="str">
        <f>VLOOKUP(AF618,AKT!$C$4:$E$324,3,FALSE)</f>
        <v>0942</v>
      </c>
    </row>
    <row r="619" spans="30:33">
      <c r="AD619" s="72" t="s">
        <v>2496</v>
      </c>
      <c r="AE619" s="72" t="s">
        <v>2497</v>
      </c>
      <c r="AF619" s="72" t="str">
        <f t="shared" si="79"/>
        <v>A679078</v>
      </c>
      <c r="AG619" s="72" t="str">
        <f>VLOOKUP(AF619,AKT!$C$4:$E$324,3,FALSE)</f>
        <v>0942</v>
      </c>
    </row>
    <row r="620" spans="30:33">
      <c r="AD620" s="72" t="s">
        <v>2498</v>
      </c>
      <c r="AE620" s="72" t="s">
        <v>2499</v>
      </c>
      <c r="AF620" s="72" t="str">
        <f t="shared" si="79"/>
        <v>A679078</v>
      </c>
      <c r="AG620" s="72" t="str">
        <f>VLOOKUP(AF620,AKT!$C$4:$E$324,3,FALSE)</f>
        <v>0942</v>
      </c>
    </row>
    <row r="621" spans="30:33">
      <c r="AD621" s="72" t="s">
        <v>2500</v>
      </c>
      <c r="AE621" s="72" t="s">
        <v>2501</v>
      </c>
      <c r="AF621" s="72" t="str">
        <f t="shared" si="79"/>
        <v>A679078</v>
      </c>
      <c r="AG621" s="72" t="str">
        <f>VLOOKUP(AF621,AKT!$C$4:$E$324,3,FALSE)</f>
        <v>0942</v>
      </c>
    </row>
    <row r="622" spans="30:33">
      <c r="AD622" s="72" t="s">
        <v>2502</v>
      </c>
      <c r="AE622" s="72" t="s">
        <v>2503</v>
      </c>
      <c r="AF622" s="72" t="str">
        <f t="shared" si="79"/>
        <v>A679078</v>
      </c>
      <c r="AG622" s="72" t="str">
        <f>VLOOKUP(AF622,AKT!$C$4:$E$324,3,FALSE)</f>
        <v>0942</v>
      </c>
    </row>
    <row r="623" spans="30:33">
      <c r="AD623" s="72" t="s">
        <v>2504</v>
      </c>
      <c r="AE623" s="72" t="s">
        <v>2505</v>
      </c>
      <c r="AF623" s="72" t="str">
        <f t="shared" si="79"/>
        <v>A679078</v>
      </c>
      <c r="AG623" s="72" t="str">
        <f>VLOOKUP(AF623,AKT!$C$4:$E$324,3,FALSE)</f>
        <v>0942</v>
      </c>
    </row>
    <row r="624" spans="30:33">
      <c r="AD624" s="72" t="s">
        <v>2506</v>
      </c>
      <c r="AE624" s="72" t="s">
        <v>2507</v>
      </c>
      <c r="AF624" s="72" t="str">
        <f t="shared" si="79"/>
        <v>A679078</v>
      </c>
      <c r="AG624" s="72" t="str">
        <f>VLOOKUP(AF624,AKT!$C$4:$E$324,3,FALSE)</f>
        <v>0942</v>
      </c>
    </row>
    <row r="625" spans="30:33">
      <c r="AD625" s="72" t="s">
        <v>2508</v>
      </c>
      <c r="AE625" s="72" t="s">
        <v>2509</v>
      </c>
      <c r="AF625" s="72" t="str">
        <f t="shared" si="79"/>
        <v>A679078</v>
      </c>
      <c r="AG625" s="72" t="str">
        <f>VLOOKUP(AF625,AKT!$C$4:$E$324,3,FALSE)</f>
        <v>0942</v>
      </c>
    </row>
    <row r="626" spans="30:33">
      <c r="AD626" s="72" t="s">
        <v>2510</v>
      </c>
      <c r="AE626" s="72" t="s">
        <v>2511</v>
      </c>
      <c r="AF626" s="72" t="str">
        <f t="shared" si="79"/>
        <v>A679078</v>
      </c>
      <c r="AG626" s="72" t="str">
        <f>VLOOKUP(AF626,AKT!$C$4:$E$324,3,FALSE)</f>
        <v>0942</v>
      </c>
    </row>
    <row r="627" spans="30:33">
      <c r="AD627" s="72" t="s">
        <v>2512</v>
      </c>
      <c r="AE627" s="72" t="s">
        <v>2513</v>
      </c>
      <c r="AF627" s="72" t="str">
        <f t="shared" si="79"/>
        <v>A679078</v>
      </c>
      <c r="AG627" s="72" t="str">
        <f>VLOOKUP(AF627,AKT!$C$4:$E$324,3,FALSE)</f>
        <v>0942</v>
      </c>
    </row>
    <row r="628" spans="30:33">
      <c r="AD628" s="72" t="s">
        <v>2514</v>
      </c>
      <c r="AE628" s="72" t="s">
        <v>2515</v>
      </c>
      <c r="AF628" s="72" t="str">
        <f t="shared" si="79"/>
        <v>A679078</v>
      </c>
      <c r="AG628" s="72" t="str">
        <f>VLOOKUP(AF628,AKT!$C$4:$E$324,3,FALSE)</f>
        <v>0942</v>
      </c>
    </row>
    <row r="629" spans="30:33">
      <c r="AD629" s="72" t="s">
        <v>2516</v>
      </c>
      <c r="AE629" s="72" t="s">
        <v>2517</v>
      </c>
      <c r="AF629" s="72" t="str">
        <f t="shared" si="79"/>
        <v>A679078</v>
      </c>
      <c r="AG629" s="72" t="str">
        <f>VLOOKUP(AF629,AKT!$C$4:$E$324,3,FALSE)</f>
        <v>0942</v>
      </c>
    </row>
    <row r="630" spans="30:33">
      <c r="AD630" s="72" t="s">
        <v>2518</v>
      </c>
      <c r="AE630" s="72" t="s">
        <v>2519</v>
      </c>
      <c r="AF630" s="72" t="str">
        <f t="shared" si="79"/>
        <v>A679078</v>
      </c>
      <c r="AG630" s="72" t="str">
        <f>VLOOKUP(AF630,AKT!$C$4:$E$324,3,FALSE)</f>
        <v>0942</v>
      </c>
    </row>
    <row r="631" spans="30:33">
      <c r="AD631" s="72" t="s">
        <v>2520</v>
      </c>
      <c r="AE631" s="72" t="s">
        <v>2521</v>
      </c>
      <c r="AF631" s="72" t="str">
        <f t="shared" si="79"/>
        <v>A679078</v>
      </c>
      <c r="AG631" s="72" t="str">
        <f>VLOOKUP(AF631,AKT!$C$4:$E$324,3,FALSE)</f>
        <v>0942</v>
      </c>
    </row>
    <row r="632" spans="30:33">
      <c r="AD632" s="72" t="s">
        <v>2522</v>
      </c>
      <c r="AE632" s="72" t="s">
        <v>2523</v>
      </c>
      <c r="AF632" s="72" t="str">
        <f t="shared" si="79"/>
        <v>A679078</v>
      </c>
      <c r="AG632" s="72" t="str">
        <f>VLOOKUP(AF632,AKT!$C$4:$E$324,3,FALSE)</f>
        <v>0942</v>
      </c>
    </row>
    <row r="633" spans="30:33">
      <c r="AD633" s="72" t="s">
        <v>2524</v>
      </c>
      <c r="AE633" s="72" t="s">
        <v>2525</v>
      </c>
      <c r="AF633" s="72" t="str">
        <f t="shared" si="79"/>
        <v>A679078</v>
      </c>
      <c r="AG633" s="72" t="str">
        <f>VLOOKUP(AF633,AKT!$C$4:$E$324,3,FALSE)</f>
        <v>0942</v>
      </c>
    </row>
    <row r="634" spans="30:33">
      <c r="AD634" s="72" t="s">
        <v>2526</v>
      </c>
      <c r="AE634" s="72" t="s">
        <v>2527</v>
      </c>
      <c r="AF634" s="72" t="str">
        <f t="shared" si="79"/>
        <v>A679078</v>
      </c>
      <c r="AG634" s="72" t="str">
        <f>VLOOKUP(AF634,AKT!$C$4:$E$324,3,FALSE)</f>
        <v>0942</v>
      </c>
    </row>
    <row r="635" spans="30:33">
      <c r="AD635" s="72" t="s">
        <v>2528</v>
      </c>
      <c r="AE635" s="72" t="s">
        <v>2529</v>
      </c>
      <c r="AF635" s="72" t="str">
        <f t="shared" si="79"/>
        <v>A679078</v>
      </c>
      <c r="AG635" s="72" t="str">
        <f>VLOOKUP(AF635,AKT!$C$4:$E$324,3,FALSE)</f>
        <v>0942</v>
      </c>
    </row>
    <row r="636" spans="30:33">
      <c r="AD636" s="72" t="s">
        <v>2530</v>
      </c>
      <c r="AE636" s="72" t="s">
        <v>2531</v>
      </c>
      <c r="AF636" s="72" t="str">
        <f t="shared" si="79"/>
        <v>A679078</v>
      </c>
      <c r="AG636" s="72" t="str">
        <f>VLOOKUP(AF636,AKT!$C$4:$E$324,3,FALSE)</f>
        <v>0942</v>
      </c>
    </row>
    <row r="637" spans="30:33">
      <c r="AD637" s="72" t="s">
        <v>2532</v>
      </c>
      <c r="AE637" s="72" t="s">
        <v>2533</v>
      </c>
      <c r="AF637" s="72" t="str">
        <f t="shared" si="79"/>
        <v>A679078</v>
      </c>
      <c r="AG637" s="72" t="str">
        <f>VLOOKUP(AF637,AKT!$C$4:$E$324,3,FALSE)</f>
        <v>0942</v>
      </c>
    </row>
    <row r="638" spans="30:33">
      <c r="AD638" s="72" t="s">
        <v>2534</v>
      </c>
      <c r="AE638" s="72" t="s">
        <v>2535</v>
      </c>
      <c r="AF638" s="72" t="str">
        <f t="shared" si="79"/>
        <v>A679078</v>
      </c>
      <c r="AG638" s="72" t="str">
        <f>VLOOKUP(AF638,AKT!$C$4:$E$324,3,FALSE)</f>
        <v>0942</v>
      </c>
    </row>
    <row r="639" spans="30:33">
      <c r="AD639" s="72" t="s">
        <v>2536</v>
      </c>
      <c r="AE639" s="72" t="s">
        <v>2537</v>
      </c>
      <c r="AF639" s="72" t="str">
        <f t="shared" si="79"/>
        <v>A679078</v>
      </c>
      <c r="AG639" s="72" t="str">
        <f>VLOOKUP(AF639,AKT!$C$4:$E$324,3,FALSE)</f>
        <v>0942</v>
      </c>
    </row>
    <row r="640" spans="30:33">
      <c r="AD640" s="72" t="s">
        <v>2538</v>
      </c>
      <c r="AE640" s="72" t="s">
        <v>2539</v>
      </c>
      <c r="AF640" s="72" t="str">
        <f t="shared" si="79"/>
        <v>A679078</v>
      </c>
      <c r="AG640" s="72" t="str">
        <f>VLOOKUP(AF640,AKT!$C$4:$E$324,3,FALSE)</f>
        <v>0942</v>
      </c>
    </row>
    <row r="641" spans="30:33">
      <c r="AD641" s="72" t="s">
        <v>2540</v>
      </c>
      <c r="AE641" s="72" t="s">
        <v>2541</v>
      </c>
      <c r="AF641" s="72" t="str">
        <f t="shared" si="79"/>
        <v>A679078</v>
      </c>
      <c r="AG641" s="72" t="str">
        <f>VLOOKUP(AF641,AKT!$C$4:$E$324,3,FALSE)</f>
        <v>0942</v>
      </c>
    </row>
    <row r="642" spans="30:33">
      <c r="AD642" s="72" t="s">
        <v>2542</v>
      </c>
      <c r="AE642" s="72" t="s">
        <v>2543</v>
      </c>
      <c r="AF642" s="72" t="str">
        <f t="shared" si="79"/>
        <v>A679078</v>
      </c>
      <c r="AG642" s="72" t="str">
        <f>VLOOKUP(AF642,AKT!$C$4:$E$324,3,FALSE)</f>
        <v>0942</v>
      </c>
    </row>
    <row r="643" spans="30:33">
      <c r="AD643" s="72" t="s">
        <v>2544</v>
      </c>
      <c r="AE643" s="72" t="s">
        <v>2545</v>
      </c>
      <c r="AF643" s="72" t="str">
        <f t="shared" si="79"/>
        <v>A679078</v>
      </c>
      <c r="AG643" s="72" t="str">
        <f>VLOOKUP(AF643,AKT!$C$4:$E$324,3,FALSE)</f>
        <v>0942</v>
      </c>
    </row>
    <row r="644" spans="30:33">
      <c r="AD644" s="72" t="s">
        <v>2546</v>
      </c>
      <c r="AE644" s="72" t="s">
        <v>2547</v>
      </c>
      <c r="AF644" s="72" t="str">
        <f t="shared" si="79"/>
        <v>A679078</v>
      </c>
      <c r="AG644" s="72" t="str">
        <f>VLOOKUP(AF644,AKT!$C$4:$E$324,3,FALSE)</f>
        <v>0942</v>
      </c>
    </row>
    <row r="645" spans="30:33">
      <c r="AD645" s="72" t="s">
        <v>2548</v>
      </c>
      <c r="AE645" s="72" t="s">
        <v>2549</v>
      </c>
      <c r="AF645" s="72" t="str">
        <f t="shared" si="79"/>
        <v>A679078</v>
      </c>
      <c r="AG645" s="72" t="str">
        <f>VLOOKUP(AF645,AKT!$C$4:$E$324,3,FALSE)</f>
        <v>0942</v>
      </c>
    </row>
    <row r="646" spans="30:33">
      <c r="AD646" s="72" t="s">
        <v>2550</v>
      </c>
      <c r="AE646" s="72" t="s">
        <v>2551</v>
      </c>
      <c r="AF646" s="72" t="str">
        <f t="shared" si="79"/>
        <v>A679078</v>
      </c>
      <c r="AG646" s="72" t="str">
        <f>VLOOKUP(AF646,AKT!$C$4:$E$324,3,FALSE)</f>
        <v>0942</v>
      </c>
    </row>
    <row r="647" spans="30:33">
      <c r="AD647" s="72" t="s">
        <v>2552</v>
      </c>
      <c r="AE647" s="72" t="s">
        <v>2553</v>
      </c>
      <c r="AF647" s="72" t="str">
        <f t="shared" si="79"/>
        <v>A679078</v>
      </c>
      <c r="AG647" s="72" t="str">
        <f>VLOOKUP(AF647,AKT!$C$4:$E$324,3,FALSE)</f>
        <v>0942</v>
      </c>
    </row>
    <row r="648" spans="30:33">
      <c r="AD648" s="72" t="s">
        <v>2554</v>
      </c>
      <c r="AE648" s="72" t="s">
        <v>2555</v>
      </c>
      <c r="AF648" s="72" t="str">
        <f t="shared" si="79"/>
        <v>A679078</v>
      </c>
      <c r="AG648" s="72" t="str">
        <f>VLOOKUP(AF648,AKT!$C$4:$E$324,3,FALSE)</f>
        <v>0942</v>
      </c>
    </row>
    <row r="649" spans="30:33">
      <c r="AD649" s="72" t="s">
        <v>2556</v>
      </c>
      <c r="AE649" s="72" t="s">
        <v>2557</v>
      </c>
      <c r="AF649" s="72" t="str">
        <f t="shared" si="79"/>
        <v>A679078</v>
      </c>
      <c r="AG649" s="72" t="str">
        <f>VLOOKUP(AF649,AKT!$C$4:$E$324,3,FALSE)</f>
        <v>0942</v>
      </c>
    </row>
    <row r="650" spans="30:33">
      <c r="AD650" s="72" t="s">
        <v>2558</v>
      </c>
      <c r="AE650" s="72" t="s">
        <v>2559</v>
      </c>
      <c r="AF650" s="72" t="str">
        <f t="shared" si="79"/>
        <v>A679078</v>
      </c>
      <c r="AG650" s="72" t="str">
        <f>VLOOKUP(AF650,AKT!$C$4:$E$324,3,FALSE)</f>
        <v>0942</v>
      </c>
    </row>
    <row r="651" spans="30:33">
      <c r="AD651" s="72" t="s">
        <v>2560</v>
      </c>
      <c r="AE651" s="72" t="s">
        <v>2561</v>
      </c>
      <c r="AF651" s="72" t="str">
        <f t="shared" si="79"/>
        <v>A679078</v>
      </c>
      <c r="AG651" s="72" t="str">
        <f>VLOOKUP(AF651,AKT!$C$4:$E$324,3,FALSE)</f>
        <v>0942</v>
      </c>
    </row>
    <row r="652" spans="30:33">
      <c r="AD652" s="72" t="s">
        <v>2562</v>
      </c>
      <c r="AE652" s="72" t="s">
        <v>2563</v>
      </c>
      <c r="AF652" s="72" t="str">
        <f t="shared" si="79"/>
        <v>A679078</v>
      </c>
      <c r="AG652" s="72" t="str">
        <f>VLOOKUP(AF652,AKT!$C$4:$E$324,3,FALSE)</f>
        <v>0942</v>
      </c>
    </row>
    <row r="653" spans="30:33">
      <c r="AD653" s="72" t="s">
        <v>2564</v>
      </c>
      <c r="AE653" s="72" t="s">
        <v>2565</v>
      </c>
      <c r="AF653" s="72" t="str">
        <f t="shared" si="79"/>
        <v>A679078</v>
      </c>
      <c r="AG653" s="72" t="str">
        <f>VLOOKUP(AF653,AKT!$C$4:$E$324,3,FALSE)</f>
        <v>0942</v>
      </c>
    </row>
    <row r="654" spans="30:33">
      <c r="AD654" s="72" t="s">
        <v>2566</v>
      </c>
      <c r="AE654" s="72" t="s">
        <v>2567</v>
      </c>
      <c r="AF654" s="72" t="str">
        <f t="shared" si="79"/>
        <v>A679078</v>
      </c>
      <c r="AG654" s="72" t="str">
        <f>VLOOKUP(AF654,AKT!$C$4:$E$324,3,FALSE)</f>
        <v>0942</v>
      </c>
    </row>
    <row r="655" spans="30:33">
      <c r="AD655" s="72" t="s">
        <v>2568</v>
      </c>
      <c r="AE655" s="72" t="s">
        <v>2569</v>
      </c>
      <c r="AF655" s="72" t="str">
        <f t="shared" si="79"/>
        <v>A679078</v>
      </c>
      <c r="AG655" s="72" t="str">
        <f>VLOOKUP(AF655,AKT!$C$4:$E$324,3,FALSE)</f>
        <v>0942</v>
      </c>
    </row>
    <row r="656" spans="30:33">
      <c r="AD656" s="72" t="s">
        <v>2570</v>
      </c>
      <c r="AE656" s="72" t="s">
        <v>2571</v>
      </c>
      <c r="AF656" s="72" t="str">
        <f t="shared" si="79"/>
        <v>A679078</v>
      </c>
      <c r="AG656" s="72" t="str">
        <f>VLOOKUP(AF656,AKT!$C$4:$E$324,3,FALSE)</f>
        <v>0942</v>
      </c>
    </row>
    <row r="657" spans="30:33">
      <c r="AD657" s="72" t="s">
        <v>2572</v>
      </c>
      <c r="AE657" s="72" t="s">
        <v>2573</v>
      </c>
      <c r="AF657" s="72" t="str">
        <f t="shared" si="79"/>
        <v>A679078</v>
      </c>
      <c r="AG657" s="72" t="str">
        <f>VLOOKUP(AF657,AKT!$C$4:$E$324,3,FALSE)</f>
        <v>0942</v>
      </c>
    </row>
    <row r="658" spans="30:33">
      <c r="AD658" s="72" t="s">
        <v>2574</v>
      </c>
      <c r="AE658" s="72" t="s">
        <v>2575</v>
      </c>
      <c r="AF658" s="72" t="str">
        <f t="shared" si="79"/>
        <v>A679078</v>
      </c>
      <c r="AG658" s="72" t="str">
        <f>VLOOKUP(AF658,AKT!$C$4:$E$324,3,FALSE)</f>
        <v>0942</v>
      </c>
    </row>
    <row r="659" spans="30:33">
      <c r="AD659" s="72" t="s">
        <v>2576</v>
      </c>
      <c r="AE659" s="72" t="s">
        <v>2577</v>
      </c>
      <c r="AF659" s="72" t="str">
        <f t="shared" ref="AF659:AF722" si="80">LEFT(AD659,7)</f>
        <v>A679078</v>
      </c>
      <c r="AG659" s="72" t="str">
        <f>VLOOKUP(AF659,AKT!$C$4:$E$324,3,FALSE)</f>
        <v>0942</v>
      </c>
    </row>
    <row r="660" spans="30:33">
      <c r="AD660" s="72" t="s">
        <v>2578</v>
      </c>
      <c r="AE660" s="72" t="s">
        <v>2579</v>
      </c>
      <c r="AF660" s="72" t="str">
        <f t="shared" si="80"/>
        <v>A679078</v>
      </c>
      <c r="AG660" s="72" t="str">
        <f>VLOOKUP(AF660,AKT!$C$4:$E$324,3,FALSE)</f>
        <v>0942</v>
      </c>
    </row>
    <row r="661" spans="30:33">
      <c r="AD661" s="72" t="s">
        <v>2580</v>
      </c>
      <c r="AE661" s="72" t="s">
        <v>2581</v>
      </c>
      <c r="AF661" s="72" t="str">
        <f t="shared" si="80"/>
        <v>A679078</v>
      </c>
      <c r="AG661" s="72" t="str">
        <f>VLOOKUP(AF661,AKT!$C$4:$E$324,3,FALSE)</f>
        <v>0942</v>
      </c>
    </row>
    <row r="662" spans="30:33">
      <c r="AD662" s="72" t="s">
        <v>2582</v>
      </c>
      <c r="AE662" s="72" t="s">
        <v>2583</v>
      </c>
      <c r="AF662" s="72" t="str">
        <f t="shared" si="80"/>
        <v>A679078</v>
      </c>
      <c r="AG662" s="72" t="str">
        <f>VLOOKUP(AF662,AKT!$C$4:$E$324,3,FALSE)</f>
        <v>0942</v>
      </c>
    </row>
    <row r="663" spans="30:33">
      <c r="AD663" s="72" t="s">
        <v>2584</v>
      </c>
      <c r="AE663" s="72" t="s">
        <v>2585</v>
      </c>
      <c r="AF663" s="72" t="str">
        <f t="shared" si="80"/>
        <v>A679078</v>
      </c>
      <c r="AG663" s="72" t="str">
        <f>VLOOKUP(AF663,AKT!$C$4:$E$324,3,FALSE)</f>
        <v>0942</v>
      </c>
    </row>
    <row r="664" spans="30:33">
      <c r="AD664" s="72" t="s">
        <v>2586</v>
      </c>
      <c r="AE664" s="72" t="s">
        <v>2587</v>
      </c>
      <c r="AF664" s="72" t="str">
        <f t="shared" si="80"/>
        <v>A679078</v>
      </c>
      <c r="AG664" s="72" t="str">
        <f>VLOOKUP(AF664,AKT!$C$4:$E$324,3,FALSE)</f>
        <v>0942</v>
      </c>
    </row>
    <row r="665" spans="30:33">
      <c r="AD665" s="72" t="s">
        <v>2588</v>
      </c>
      <c r="AE665" s="72" t="s">
        <v>2589</v>
      </c>
      <c r="AF665" s="72" t="str">
        <f t="shared" si="80"/>
        <v>A679078</v>
      </c>
      <c r="AG665" s="72" t="str">
        <f>VLOOKUP(AF665,AKT!$C$4:$E$324,3,FALSE)</f>
        <v>0942</v>
      </c>
    </row>
    <row r="666" spans="30:33">
      <c r="AD666" s="72" t="s">
        <v>2590</v>
      </c>
      <c r="AE666" s="72" t="s">
        <v>2591</v>
      </c>
      <c r="AF666" s="72" t="str">
        <f t="shared" si="80"/>
        <v>A679078</v>
      </c>
      <c r="AG666" s="72" t="str">
        <f>VLOOKUP(AF666,AKT!$C$4:$E$324,3,FALSE)</f>
        <v>0942</v>
      </c>
    </row>
    <row r="667" spans="30:33">
      <c r="AD667" s="72" t="s">
        <v>2592</v>
      </c>
      <c r="AE667" s="72" t="s">
        <v>2593</v>
      </c>
      <c r="AF667" s="72" t="str">
        <f t="shared" si="80"/>
        <v>A679078</v>
      </c>
      <c r="AG667" s="72" t="str">
        <f>VLOOKUP(AF667,AKT!$C$4:$E$324,3,FALSE)</f>
        <v>0942</v>
      </c>
    </row>
    <row r="668" spans="30:33">
      <c r="AD668" s="72" t="s">
        <v>2594</v>
      </c>
      <c r="AE668" s="72" t="s">
        <v>2595</v>
      </c>
      <c r="AF668" s="72" t="str">
        <f t="shared" si="80"/>
        <v>A679078</v>
      </c>
      <c r="AG668" s="72" t="str">
        <f>VLOOKUP(AF668,AKT!$C$4:$E$324,3,FALSE)</f>
        <v>0942</v>
      </c>
    </row>
    <row r="669" spans="30:33">
      <c r="AD669" s="72" t="s">
        <v>2596</v>
      </c>
      <c r="AE669" s="72" t="s">
        <v>2597</v>
      </c>
      <c r="AF669" s="72" t="str">
        <f t="shared" si="80"/>
        <v>A679078</v>
      </c>
      <c r="AG669" s="72" t="str">
        <f>VLOOKUP(AF669,AKT!$C$4:$E$324,3,FALSE)</f>
        <v>0942</v>
      </c>
    </row>
    <row r="670" spans="30:33">
      <c r="AD670" s="72" t="s">
        <v>2598</v>
      </c>
      <c r="AE670" s="72" t="s">
        <v>2599</v>
      </c>
      <c r="AF670" s="72" t="str">
        <f t="shared" si="80"/>
        <v>A679078</v>
      </c>
      <c r="AG670" s="72" t="str">
        <f>VLOOKUP(AF670,AKT!$C$4:$E$324,3,FALSE)</f>
        <v>0942</v>
      </c>
    </row>
    <row r="671" spans="30:33">
      <c r="AD671" s="72" t="s">
        <v>2600</v>
      </c>
      <c r="AE671" s="72" t="s">
        <v>2601</v>
      </c>
      <c r="AF671" s="72" t="str">
        <f t="shared" si="80"/>
        <v>A679078</v>
      </c>
      <c r="AG671" s="72" t="str">
        <f>VLOOKUP(AF671,AKT!$C$4:$E$324,3,FALSE)</f>
        <v>0942</v>
      </c>
    </row>
    <row r="672" spans="30:33">
      <c r="AD672" s="72" t="s">
        <v>2602</v>
      </c>
      <c r="AE672" s="72" t="s">
        <v>2603</v>
      </c>
      <c r="AF672" s="72" t="str">
        <f t="shared" si="80"/>
        <v>A679078</v>
      </c>
      <c r="AG672" s="72" t="str">
        <f>VLOOKUP(AF672,AKT!$C$4:$E$324,3,FALSE)</f>
        <v>0942</v>
      </c>
    </row>
    <row r="673" spans="30:33">
      <c r="AD673" s="72" t="s">
        <v>2604</v>
      </c>
      <c r="AE673" s="72" t="s">
        <v>2605</v>
      </c>
      <c r="AF673" s="72" t="str">
        <f t="shared" si="80"/>
        <v>A679078</v>
      </c>
      <c r="AG673" s="72" t="str">
        <f>VLOOKUP(AF673,AKT!$C$4:$E$324,3,FALSE)</f>
        <v>0942</v>
      </c>
    </row>
    <row r="674" spans="30:33">
      <c r="AD674" s="72" t="s">
        <v>2606</v>
      </c>
      <c r="AE674" s="72" t="s">
        <v>2607</v>
      </c>
      <c r="AF674" s="72" t="str">
        <f t="shared" si="80"/>
        <v>A679078</v>
      </c>
      <c r="AG674" s="72" t="str">
        <f>VLOOKUP(AF674,AKT!$C$4:$E$324,3,FALSE)</f>
        <v>0942</v>
      </c>
    </row>
    <row r="675" spans="30:33">
      <c r="AD675" s="72" t="s">
        <v>2608</v>
      </c>
      <c r="AE675" s="72" t="s">
        <v>2609</v>
      </c>
      <c r="AF675" s="72" t="str">
        <f t="shared" si="80"/>
        <v>A679078</v>
      </c>
      <c r="AG675" s="72" t="str">
        <f>VLOOKUP(AF675,AKT!$C$4:$E$324,3,FALSE)</f>
        <v>0942</v>
      </c>
    </row>
    <row r="676" spans="30:33">
      <c r="AD676" s="72" t="s">
        <v>2610</v>
      </c>
      <c r="AE676" s="72" t="s">
        <v>2611</v>
      </c>
      <c r="AF676" s="72" t="str">
        <f t="shared" si="80"/>
        <v>A679078</v>
      </c>
      <c r="AG676" s="72" t="str">
        <f>VLOOKUP(AF676,AKT!$C$4:$E$324,3,FALSE)</f>
        <v>0942</v>
      </c>
    </row>
    <row r="677" spans="30:33">
      <c r="AD677" s="72" t="s">
        <v>2612</v>
      </c>
      <c r="AE677" s="72" t="s">
        <v>2613</v>
      </c>
      <c r="AF677" s="72" t="str">
        <f t="shared" si="80"/>
        <v>A679078</v>
      </c>
      <c r="AG677" s="72" t="str">
        <f>VLOOKUP(AF677,AKT!$C$4:$E$324,3,FALSE)</f>
        <v>0942</v>
      </c>
    </row>
    <row r="678" spans="30:33">
      <c r="AD678" s="72" t="s">
        <v>2614</v>
      </c>
      <c r="AE678" s="72" t="s">
        <v>2615</v>
      </c>
      <c r="AF678" s="72" t="str">
        <f t="shared" si="80"/>
        <v>A679078</v>
      </c>
      <c r="AG678" s="72" t="str">
        <f>VLOOKUP(AF678,AKT!$C$4:$E$324,3,FALSE)</f>
        <v>0942</v>
      </c>
    </row>
    <row r="679" spans="30:33">
      <c r="AD679" s="72" t="s">
        <v>2616</v>
      </c>
      <c r="AE679" s="72" t="s">
        <v>2617</v>
      </c>
      <c r="AF679" s="72" t="str">
        <f t="shared" si="80"/>
        <v>A679078</v>
      </c>
      <c r="AG679" s="72" t="str">
        <f>VLOOKUP(AF679,AKT!$C$4:$E$324,3,FALSE)</f>
        <v>0942</v>
      </c>
    </row>
    <row r="680" spans="30:33">
      <c r="AD680" s="72" t="s">
        <v>2618</v>
      </c>
      <c r="AE680" s="72" t="s">
        <v>2619</v>
      </c>
      <c r="AF680" s="72" t="str">
        <f t="shared" si="80"/>
        <v>A679078</v>
      </c>
      <c r="AG680" s="72" t="str">
        <f>VLOOKUP(AF680,AKT!$C$4:$E$324,3,FALSE)</f>
        <v>0942</v>
      </c>
    </row>
    <row r="681" spans="30:33">
      <c r="AD681" s="72" t="s">
        <v>2620</v>
      </c>
      <c r="AE681" s="72" t="s">
        <v>2621</v>
      </c>
      <c r="AF681" s="72" t="str">
        <f t="shared" si="80"/>
        <v>A679078</v>
      </c>
      <c r="AG681" s="72" t="str">
        <f>VLOOKUP(AF681,AKT!$C$4:$E$324,3,FALSE)</f>
        <v>0942</v>
      </c>
    </row>
    <row r="682" spans="30:33">
      <c r="AD682" s="72" t="s">
        <v>2622</v>
      </c>
      <c r="AE682" s="72" t="s">
        <v>2623</v>
      </c>
      <c r="AF682" s="72" t="str">
        <f t="shared" si="80"/>
        <v>A679078</v>
      </c>
      <c r="AG682" s="72" t="str">
        <f>VLOOKUP(AF682,AKT!$C$4:$E$324,3,FALSE)</f>
        <v>0942</v>
      </c>
    </row>
    <row r="683" spans="30:33">
      <c r="AD683" s="72" t="s">
        <v>2624</v>
      </c>
      <c r="AE683" s="72" t="s">
        <v>2625</v>
      </c>
      <c r="AF683" s="72" t="str">
        <f t="shared" si="80"/>
        <v>A679078</v>
      </c>
      <c r="AG683" s="72" t="str">
        <f>VLOOKUP(AF683,AKT!$C$4:$E$324,3,FALSE)</f>
        <v>0942</v>
      </c>
    </row>
    <row r="684" spans="30:33">
      <c r="AD684" s="72" t="s">
        <v>2626</v>
      </c>
      <c r="AE684" s="72" t="s">
        <v>2627</v>
      </c>
      <c r="AF684" s="72" t="str">
        <f t="shared" si="80"/>
        <v>A679078</v>
      </c>
      <c r="AG684" s="72" t="str">
        <f>VLOOKUP(AF684,AKT!$C$4:$E$324,3,FALSE)</f>
        <v>0942</v>
      </c>
    </row>
    <row r="685" spans="30:33">
      <c r="AD685" s="72" t="s">
        <v>2628</v>
      </c>
      <c r="AE685" s="72" t="s">
        <v>2629</v>
      </c>
      <c r="AF685" s="72" t="str">
        <f t="shared" si="80"/>
        <v>A679078</v>
      </c>
      <c r="AG685" s="72" t="str">
        <f>VLOOKUP(AF685,AKT!$C$4:$E$324,3,FALSE)</f>
        <v>0942</v>
      </c>
    </row>
    <row r="686" spans="30:33">
      <c r="AD686" s="72" t="s">
        <v>2630</v>
      </c>
      <c r="AE686" s="72" t="s">
        <v>2631</v>
      </c>
      <c r="AF686" s="72" t="str">
        <f t="shared" si="80"/>
        <v>A679078</v>
      </c>
      <c r="AG686" s="72" t="str">
        <f>VLOOKUP(AF686,AKT!$C$4:$E$324,3,FALSE)</f>
        <v>0942</v>
      </c>
    </row>
    <row r="687" spans="30:33">
      <c r="AD687" s="72" t="s">
        <v>2632</v>
      </c>
      <c r="AE687" s="72" t="s">
        <v>2633</v>
      </c>
      <c r="AF687" s="72" t="str">
        <f t="shared" si="80"/>
        <v>A679078</v>
      </c>
      <c r="AG687" s="72" t="str">
        <f>VLOOKUP(AF687,AKT!$C$4:$E$324,3,FALSE)</f>
        <v>0942</v>
      </c>
    </row>
    <row r="688" spans="30:33">
      <c r="AD688" s="72" t="s">
        <v>2634</v>
      </c>
      <c r="AE688" s="72" t="s">
        <v>2635</v>
      </c>
      <c r="AF688" s="72" t="str">
        <f t="shared" si="80"/>
        <v>A679078</v>
      </c>
      <c r="AG688" s="72" t="str">
        <f>VLOOKUP(AF688,AKT!$C$4:$E$324,3,FALSE)</f>
        <v>0942</v>
      </c>
    </row>
    <row r="689" spans="30:33">
      <c r="AD689" s="72" t="s">
        <v>2636</v>
      </c>
      <c r="AE689" s="72" t="s">
        <v>2637</v>
      </c>
      <c r="AF689" s="72" t="str">
        <f t="shared" si="80"/>
        <v>A679078</v>
      </c>
      <c r="AG689" s="72" t="str">
        <f>VLOOKUP(AF689,AKT!$C$4:$E$324,3,FALSE)</f>
        <v>0942</v>
      </c>
    </row>
    <row r="690" spans="30:33">
      <c r="AD690" s="72" t="s">
        <v>2638</v>
      </c>
      <c r="AE690" s="72" t="s">
        <v>2639</v>
      </c>
      <c r="AF690" s="72" t="str">
        <f t="shared" si="80"/>
        <v>A679078</v>
      </c>
      <c r="AG690" s="72" t="str">
        <f>VLOOKUP(AF690,AKT!$C$4:$E$324,3,FALSE)</f>
        <v>0942</v>
      </c>
    </row>
    <row r="691" spans="30:33">
      <c r="AD691" s="72" t="s">
        <v>2640</v>
      </c>
      <c r="AE691" s="72" t="s">
        <v>2641</v>
      </c>
      <c r="AF691" s="72" t="str">
        <f t="shared" si="80"/>
        <v>A679078</v>
      </c>
      <c r="AG691" s="72" t="str">
        <f>VLOOKUP(AF691,AKT!$C$4:$E$324,3,FALSE)</f>
        <v>0942</v>
      </c>
    </row>
    <row r="692" spans="30:33">
      <c r="AD692" s="72" t="s">
        <v>2642</v>
      </c>
      <c r="AE692" s="72" t="s">
        <v>2643</v>
      </c>
      <c r="AF692" s="72" t="str">
        <f t="shared" si="80"/>
        <v>A679078</v>
      </c>
      <c r="AG692" s="72" t="str">
        <f>VLOOKUP(AF692,AKT!$C$4:$E$324,3,FALSE)</f>
        <v>0942</v>
      </c>
    </row>
    <row r="693" spans="30:33">
      <c r="AD693" s="72" t="s">
        <v>2644</v>
      </c>
      <c r="AE693" s="72" t="s">
        <v>2645</v>
      </c>
      <c r="AF693" s="72" t="str">
        <f t="shared" si="80"/>
        <v>A679078</v>
      </c>
      <c r="AG693" s="72" t="str">
        <f>VLOOKUP(AF693,AKT!$C$4:$E$324,3,FALSE)</f>
        <v>0942</v>
      </c>
    </row>
    <row r="694" spans="30:33">
      <c r="AD694" s="72" t="s">
        <v>2646</v>
      </c>
      <c r="AE694" s="72" t="s">
        <v>2647</v>
      </c>
      <c r="AF694" s="72" t="str">
        <f t="shared" si="80"/>
        <v>A679078</v>
      </c>
      <c r="AG694" s="72" t="str">
        <f>VLOOKUP(AF694,AKT!$C$4:$E$324,3,FALSE)</f>
        <v>0942</v>
      </c>
    </row>
    <row r="695" spans="30:33">
      <c r="AD695" s="72" t="s">
        <v>2648</v>
      </c>
      <c r="AE695" s="72" t="s">
        <v>2649</v>
      </c>
      <c r="AF695" s="72" t="str">
        <f t="shared" si="80"/>
        <v>A679078</v>
      </c>
      <c r="AG695" s="72" t="str">
        <f>VLOOKUP(AF695,AKT!$C$4:$E$324,3,FALSE)</f>
        <v>0942</v>
      </c>
    </row>
    <row r="696" spans="30:33">
      <c r="AD696" s="72" t="s">
        <v>2650</v>
      </c>
      <c r="AE696" s="72" t="s">
        <v>2651</v>
      </c>
      <c r="AF696" s="72" t="str">
        <f t="shared" si="80"/>
        <v>A679078</v>
      </c>
      <c r="AG696" s="72" t="str">
        <f>VLOOKUP(AF696,AKT!$C$4:$E$324,3,FALSE)</f>
        <v>0942</v>
      </c>
    </row>
    <row r="697" spans="30:33">
      <c r="AD697" s="72" t="s">
        <v>2652</v>
      </c>
      <c r="AE697" s="72" t="s">
        <v>2653</v>
      </c>
      <c r="AF697" s="72" t="str">
        <f t="shared" si="80"/>
        <v>A679078</v>
      </c>
      <c r="AG697" s="72" t="str">
        <f>VLOOKUP(AF697,AKT!$C$4:$E$324,3,FALSE)</f>
        <v>0942</v>
      </c>
    </row>
    <row r="698" spans="30:33">
      <c r="AD698" s="72" t="s">
        <v>2654</v>
      </c>
      <c r="AE698" s="72" t="s">
        <v>2655</v>
      </c>
      <c r="AF698" s="72" t="str">
        <f t="shared" si="80"/>
        <v>A679078</v>
      </c>
      <c r="AG698" s="72" t="str">
        <f>VLOOKUP(AF698,AKT!$C$4:$E$324,3,FALSE)</f>
        <v>0942</v>
      </c>
    </row>
    <row r="699" spans="30:33">
      <c r="AD699" s="72" t="s">
        <v>2656</v>
      </c>
      <c r="AE699" s="72" t="s">
        <v>2657</v>
      </c>
      <c r="AF699" s="72" t="str">
        <f t="shared" si="80"/>
        <v>A679078</v>
      </c>
      <c r="AG699" s="72" t="str">
        <f>VLOOKUP(AF699,AKT!$C$4:$E$324,3,FALSE)</f>
        <v>0942</v>
      </c>
    </row>
    <row r="700" spans="30:33">
      <c r="AD700" s="72" t="s">
        <v>2658</v>
      </c>
      <c r="AE700" s="72" t="s">
        <v>2659</v>
      </c>
      <c r="AF700" s="72" t="str">
        <f t="shared" si="80"/>
        <v>A679078</v>
      </c>
      <c r="AG700" s="72" t="str">
        <f>VLOOKUP(AF700,AKT!$C$4:$E$324,3,FALSE)</f>
        <v>0942</v>
      </c>
    </row>
    <row r="701" spans="30:33">
      <c r="AD701" s="72" t="s">
        <v>2660</v>
      </c>
      <c r="AE701" s="72" t="s">
        <v>2661</v>
      </c>
      <c r="AF701" s="72" t="str">
        <f t="shared" si="80"/>
        <v>A679078</v>
      </c>
      <c r="AG701" s="72" t="str">
        <f>VLOOKUP(AF701,AKT!$C$4:$E$324,3,FALSE)</f>
        <v>0942</v>
      </c>
    </row>
    <row r="702" spans="30:33">
      <c r="AD702" s="72" t="s">
        <v>2662</v>
      </c>
      <c r="AE702" s="72" t="s">
        <v>2663</v>
      </c>
      <c r="AF702" s="72" t="str">
        <f t="shared" si="80"/>
        <v>A679078</v>
      </c>
      <c r="AG702" s="72" t="str">
        <f>VLOOKUP(AF702,AKT!$C$4:$E$324,3,FALSE)</f>
        <v>0942</v>
      </c>
    </row>
    <row r="703" spans="30:33">
      <c r="AD703" s="72" t="s">
        <v>2664</v>
      </c>
      <c r="AE703" s="72" t="s">
        <v>2665</v>
      </c>
      <c r="AF703" s="72" t="str">
        <f t="shared" si="80"/>
        <v>A679078</v>
      </c>
      <c r="AG703" s="72" t="str">
        <f>VLOOKUP(AF703,AKT!$C$4:$E$324,3,FALSE)</f>
        <v>0942</v>
      </c>
    </row>
    <row r="704" spans="30:33">
      <c r="AD704" s="72" t="s">
        <v>2666</v>
      </c>
      <c r="AE704" s="72" t="s">
        <v>2667</v>
      </c>
      <c r="AF704" s="72" t="str">
        <f t="shared" si="80"/>
        <v>A679078</v>
      </c>
      <c r="AG704" s="72" t="str">
        <f>VLOOKUP(AF704,AKT!$C$4:$E$324,3,FALSE)</f>
        <v>0942</v>
      </c>
    </row>
    <row r="705" spans="30:33">
      <c r="AD705" s="72" t="s">
        <v>2668</v>
      </c>
      <c r="AE705" s="72" t="s">
        <v>2669</v>
      </c>
      <c r="AF705" s="72" t="str">
        <f t="shared" si="80"/>
        <v>A679078</v>
      </c>
      <c r="AG705" s="72" t="str">
        <f>VLOOKUP(AF705,AKT!$C$4:$E$324,3,FALSE)</f>
        <v>0942</v>
      </c>
    </row>
    <row r="706" spans="30:33">
      <c r="AD706" s="72" t="s">
        <v>2670</v>
      </c>
      <c r="AE706" s="72" t="s">
        <v>2671</v>
      </c>
      <c r="AF706" s="72" t="str">
        <f t="shared" si="80"/>
        <v>A679078</v>
      </c>
      <c r="AG706" s="72" t="str">
        <f>VLOOKUP(AF706,AKT!$C$4:$E$324,3,FALSE)</f>
        <v>0942</v>
      </c>
    </row>
    <row r="707" spans="30:33">
      <c r="AD707" s="72" t="s">
        <v>2672</v>
      </c>
      <c r="AE707" s="72" t="s">
        <v>2673</v>
      </c>
      <c r="AF707" s="72" t="str">
        <f t="shared" si="80"/>
        <v>A679078</v>
      </c>
      <c r="AG707" s="72" t="str">
        <f>VLOOKUP(AF707,AKT!$C$4:$E$324,3,FALSE)</f>
        <v>0942</v>
      </c>
    </row>
    <row r="708" spans="30:33">
      <c r="AD708" s="72" t="s">
        <v>2674</v>
      </c>
      <c r="AE708" s="72" t="s">
        <v>2675</v>
      </c>
      <c r="AF708" s="72" t="str">
        <f t="shared" si="80"/>
        <v>A679078</v>
      </c>
      <c r="AG708" s="72" t="str">
        <f>VLOOKUP(AF708,AKT!$C$4:$E$324,3,FALSE)</f>
        <v>0942</v>
      </c>
    </row>
    <row r="709" spans="30:33">
      <c r="AD709" s="72" t="s">
        <v>2676</v>
      </c>
      <c r="AE709" s="72" t="s">
        <v>2677</v>
      </c>
      <c r="AF709" s="72" t="str">
        <f t="shared" si="80"/>
        <v>A679078</v>
      </c>
      <c r="AG709" s="72" t="str">
        <f>VLOOKUP(AF709,AKT!$C$4:$E$324,3,FALSE)</f>
        <v>0942</v>
      </c>
    </row>
    <row r="710" spans="30:33">
      <c r="AD710" s="72" t="s">
        <v>2678</v>
      </c>
      <c r="AE710" s="72" t="s">
        <v>2679</v>
      </c>
      <c r="AF710" s="72" t="str">
        <f t="shared" si="80"/>
        <v>A679078</v>
      </c>
      <c r="AG710" s="72" t="str">
        <f>VLOOKUP(AF710,AKT!$C$4:$E$324,3,FALSE)</f>
        <v>0942</v>
      </c>
    </row>
    <row r="711" spans="30:33">
      <c r="AD711" s="72" t="s">
        <v>2680</v>
      </c>
      <c r="AE711" s="72" t="s">
        <v>2681</v>
      </c>
      <c r="AF711" s="72" t="str">
        <f t="shared" si="80"/>
        <v>A679078</v>
      </c>
      <c r="AG711" s="72" t="str">
        <f>VLOOKUP(AF711,AKT!$C$4:$E$324,3,FALSE)</f>
        <v>0942</v>
      </c>
    </row>
    <row r="712" spans="30:33">
      <c r="AD712" s="72" t="s">
        <v>2682</v>
      </c>
      <c r="AE712" s="72" t="s">
        <v>2683</v>
      </c>
      <c r="AF712" s="72" t="str">
        <f t="shared" si="80"/>
        <v>A679078</v>
      </c>
      <c r="AG712" s="72" t="str">
        <f>VLOOKUP(AF712,AKT!$C$4:$E$324,3,FALSE)</f>
        <v>0942</v>
      </c>
    </row>
    <row r="713" spans="30:33">
      <c r="AD713" s="72" t="s">
        <v>2684</v>
      </c>
      <c r="AE713" s="72" t="s">
        <v>2685</v>
      </c>
      <c r="AF713" s="72" t="str">
        <f t="shared" si="80"/>
        <v>A679078</v>
      </c>
      <c r="AG713" s="72" t="str">
        <f>VLOOKUP(AF713,AKT!$C$4:$E$324,3,FALSE)</f>
        <v>0942</v>
      </c>
    </row>
    <row r="714" spans="30:33">
      <c r="AD714" s="72" t="s">
        <v>2686</v>
      </c>
      <c r="AE714" s="72" t="s">
        <v>2687</v>
      </c>
      <c r="AF714" s="72" t="str">
        <f t="shared" si="80"/>
        <v>A679078</v>
      </c>
      <c r="AG714" s="72" t="str">
        <f>VLOOKUP(AF714,AKT!$C$4:$E$324,3,FALSE)</f>
        <v>0942</v>
      </c>
    </row>
    <row r="715" spans="30:33">
      <c r="AD715" s="72" t="s">
        <v>2688</v>
      </c>
      <c r="AE715" s="72" t="s">
        <v>2689</v>
      </c>
      <c r="AF715" s="72" t="str">
        <f t="shared" si="80"/>
        <v>A679078</v>
      </c>
      <c r="AG715" s="72" t="str">
        <f>VLOOKUP(AF715,AKT!$C$4:$E$324,3,FALSE)</f>
        <v>0942</v>
      </c>
    </row>
    <row r="716" spans="30:33">
      <c r="AD716" s="72" t="s">
        <v>2690</v>
      </c>
      <c r="AE716" s="72" t="s">
        <v>2691</v>
      </c>
      <c r="AF716" s="72" t="str">
        <f t="shared" si="80"/>
        <v>A679078</v>
      </c>
      <c r="AG716" s="72" t="str">
        <f>VLOOKUP(AF716,AKT!$C$4:$E$324,3,FALSE)</f>
        <v>0942</v>
      </c>
    </row>
    <row r="717" spans="30:33">
      <c r="AD717" s="72" t="s">
        <v>2692</v>
      </c>
      <c r="AE717" s="72" t="s">
        <v>2693</v>
      </c>
      <c r="AF717" s="72" t="str">
        <f t="shared" si="80"/>
        <v>A679078</v>
      </c>
      <c r="AG717" s="72" t="str">
        <f>VLOOKUP(AF717,AKT!$C$4:$E$324,3,FALSE)</f>
        <v>0942</v>
      </c>
    </row>
    <row r="718" spans="30:33">
      <c r="AD718" s="72" t="s">
        <v>2694</v>
      </c>
      <c r="AE718" s="72" t="s">
        <v>2695</v>
      </c>
      <c r="AF718" s="72" t="str">
        <f t="shared" si="80"/>
        <v>A679078</v>
      </c>
      <c r="AG718" s="72" t="str">
        <f>VLOOKUP(AF718,AKT!$C$4:$E$324,3,FALSE)</f>
        <v>0942</v>
      </c>
    </row>
    <row r="719" spans="30:33">
      <c r="AD719" s="72" t="s">
        <v>2696</v>
      </c>
      <c r="AE719" s="72" t="s">
        <v>2697</v>
      </c>
      <c r="AF719" s="72" t="str">
        <f t="shared" si="80"/>
        <v>A679078</v>
      </c>
      <c r="AG719" s="72" t="str">
        <f>VLOOKUP(AF719,AKT!$C$4:$E$324,3,FALSE)</f>
        <v>0942</v>
      </c>
    </row>
    <row r="720" spans="30:33">
      <c r="AD720" s="72" t="s">
        <v>2698</v>
      </c>
      <c r="AE720" s="72" t="s">
        <v>2699</v>
      </c>
      <c r="AF720" s="72" t="str">
        <f t="shared" si="80"/>
        <v>A679078</v>
      </c>
      <c r="AG720" s="72" t="str">
        <f>VLOOKUP(AF720,AKT!$C$4:$E$324,3,FALSE)</f>
        <v>0942</v>
      </c>
    </row>
    <row r="721" spans="30:33">
      <c r="AD721" s="72" t="s">
        <v>2700</v>
      </c>
      <c r="AE721" s="72" t="s">
        <v>2701</v>
      </c>
      <c r="AF721" s="72" t="str">
        <f t="shared" si="80"/>
        <v>A679078</v>
      </c>
      <c r="AG721" s="72" t="str">
        <f>VLOOKUP(AF721,AKT!$C$4:$E$324,3,FALSE)</f>
        <v>0942</v>
      </c>
    </row>
    <row r="722" spans="30:33">
      <c r="AD722" s="72" t="s">
        <v>2702</v>
      </c>
      <c r="AE722" s="72" t="s">
        <v>2703</v>
      </c>
      <c r="AF722" s="72" t="str">
        <f t="shared" si="80"/>
        <v>A679078</v>
      </c>
      <c r="AG722" s="72" t="str">
        <f>VLOOKUP(AF722,AKT!$C$4:$E$324,3,FALSE)</f>
        <v>0942</v>
      </c>
    </row>
    <row r="723" spans="30:33">
      <c r="AD723" s="72" t="s">
        <v>2704</v>
      </c>
      <c r="AE723" s="72" t="s">
        <v>2705</v>
      </c>
      <c r="AF723" s="72" t="str">
        <f t="shared" ref="AF723:AF786" si="81">LEFT(AD723,7)</f>
        <v>A679078</v>
      </c>
      <c r="AG723" s="72" t="str">
        <f>VLOOKUP(AF723,AKT!$C$4:$E$324,3,FALSE)</f>
        <v>0942</v>
      </c>
    </row>
    <row r="724" spans="30:33">
      <c r="AD724" s="72" t="s">
        <v>2706</v>
      </c>
      <c r="AE724" s="72" t="s">
        <v>2707</v>
      </c>
      <c r="AF724" s="72" t="str">
        <f t="shared" si="81"/>
        <v>A679078</v>
      </c>
      <c r="AG724" s="72" t="str">
        <f>VLOOKUP(AF724,AKT!$C$4:$E$324,3,FALSE)</f>
        <v>0942</v>
      </c>
    </row>
    <row r="725" spans="30:33">
      <c r="AD725" s="72" t="s">
        <v>2708</v>
      </c>
      <c r="AE725" s="72" t="s">
        <v>2709</v>
      </c>
      <c r="AF725" s="72" t="str">
        <f t="shared" si="81"/>
        <v>A679078</v>
      </c>
      <c r="AG725" s="72" t="str">
        <f>VLOOKUP(AF725,AKT!$C$4:$E$324,3,FALSE)</f>
        <v>0942</v>
      </c>
    </row>
    <row r="726" spans="30:33">
      <c r="AD726" s="72" t="s">
        <v>2710</v>
      </c>
      <c r="AE726" s="72" t="s">
        <v>2711</v>
      </c>
      <c r="AF726" s="72" t="str">
        <f t="shared" si="81"/>
        <v>A679078</v>
      </c>
      <c r="AG726" s="72" t="str">
        <f>VLOOKUP(AF726,AKT!$C$4:$E$324,3,FALSE)</f>
        <v>0942</v>
      </c>
    </row>
    <row r="727" spans="30:33">
      <c r="AD727" s="72" t="s">
        <v>2712</v>
      </c>
      <c r="AE727" s="72" t="s">
        <v>2713</v>
      </c>
      <c r="AF727" s="72" t="str">
        <f t="shared" si="81"/>
        <v>A679078</v>
      </c>
      <c r="AG727" s="72" t="str">
        <f>VLOOKUP(AF727,AKT!$C$4:$E$324,3,FALSE)</f>
        <v>0942</v>
      </c>
    </row>
    <row r="728" spans="30:33">
      <c r="AD728" s="72" t="s">
        <v>2714</v>
      </c>
      <c r="AE728" s="72" t="s">
        <v>2715</v>
      </c>
      <c r="AF728" s="72" t="str">
        <f t="shared" si="81"/>
        <v>A679078</v>
      </c>
      <c r="AG728" s="72" t="str">
        <f>VLOOKUP(AF728,AKT!$C$4:$E$324,3,FALSE)</f>
        <v>0942</v>
      </c>
    </row>
    <row r="729" spans="30:33">
      <c r="AD729" s="72" t="s">
        <v>2716</v>
      </c>
      <c r="AE729" s="72" t="s">
        <v>2717</v>
      </c>
      <c r="AF729" s="72" t="str">
        <f t="shared" si="81"/>
        <v>A679078</v>
      </c>
      <c r="AG729" s="72" t="str">
        <f>VLOOKUP(AF729,AKT!$C$4:$E$324,3,FALSE)</f>
        <v>0942</v>
      </c>
    </row>
    <row r="730" spans="30:33">
      <c r="AD730" s="72" t="s">
        <v>2718</v>
      </c>
      <c r="AE730" s="72" t="s">
        <v>2719</v>
      </c>
      <c r="AF730" s="72" t="str">
        <f t="shared" si="81"/>
        <v>A679078</v>
      </c>
      <c r="AG730" s="72" t="str">
        <f>VLOOKUP(AF730,AKT!$C$4:$E$324,3,FALSE)</f>
        <v>0942</v>
      </c>
    </row>
    <row r="731" spans="30:33">
      <c r="AD731" s="72" t="s">
        <v>2720</v>
      </c>
      <c r="AE731" s="72" t="s">
        <v>2721</v>
      </c>
      <c r="AF731" s="72" t="str">
        <f t="shared" si="81"/>
        <v>A679078</v>
      </c>
      <c r="AG731" s="72" t="str">
        <f>VLOOKUP(AF731,AKT!$C$4:$E$324,3,FALSE)</f>
        <v>0942</v>
      </c>
    </row>
    <row r="732" spans="30:33">
      <c r="AD732" s="72" t="s">
        <v>2722</v>
      </c>
      <c r="AE732" s="72" t="s">
        <v>2723</v>
      </c>
      <c r="AF732" s="72" t="str">
        <f t="shared" si="81"/>
        <v>A679078</v>
      </c>
      <c r="AG732" s="72" t="str">
        <f>VLOOKUP(AF732,AKT!$C$4:$E$324,3,FALSE)</f>
        <v>0942</v>
      </c>
    </row>
    <row r="733" spans="30:33">
      <c r="AD733" s="72" t="s">
        <v>2724</v>
      </c>
      <c r="AE733" s="72" t="s">
        <v>2725</v>
      </c>
      <c r="AF733" s="72" t="str">
        <f t="shared" si="81"/>
        <v>A679078</v>
      </c>
      <c r="AG733" s="72" t="str">
        <f>VLOOKUP(AF733,AKT!$C$4:$E$324,3,FALSE)</f>
        <v>0942</v>
      </c>
    </row>
    <row r="734" spans="30:33">
      <c r="AD734" s="72" t="s">
        <v>2726</v>
      </c>
      <c r="AE734" s="72" t="s">
        <v>2727</v>
      </c>
      <c r="AF734" s="72" t="str">
        <f t="shared" si="81"/>
        <v>A679078</v>
      </c>
      <c r="AG734" s="72" t="str">
        <f>VLOOKUP(AF734,AKT!$C$4:$E$324,3,FALSE)</f>
        <v>0942</v>
      </c>
    </row>
    <row r="735" spans="30:33">
      <c r="AD735" s="72" t="s">
        <v>2728</v>
      </c>
      <c r="AE735" s="72" t="s">
        <v>2729</v>
      </c>
      <c r="AF735" s="72" t="str">
        <f t="shared" si="81"/>
        <v>A679078</v>
      </c>
      <c r="AG735" s="72" t="str">
        <f>VLOOKUP(AF735,AKT!$C$4:$E$324,3,FALSE)</f>
        <v>0942</v>
      </c>
    </row>
    <row r="736" spans="30:33">
      <c r="AD736" s="72" t="s">
        <v>2730</v>
      </c>
      <c r="AE736" s="72" t="s">
        <v>2731</v>
      </c>
      <c r="AF736" s="72" t="str">
        <f t="shared" si="81"/>
        <v>A679078</v>
      </c>
      <c r="AG736" s="72" t="str">
        <f>VLOOKUP(AF736,AKT!$C$4:$E$324,3,FALSE)</f>
        <v>0942</v>
      </c>
    </row>
    <row r="737" spans="30:33">
      <c r="AD737" s="72" t="s">
        <v>2732</v>
      </c>
      <c r="AE737" s="72" t="s">
        <v>2733</v>
      </c>
      <c r="AF737" s="72" t="str">
        <f t="shared" si="81"/>
        <v>A679078</v>
      </c>
      <c r="AG737" s="72" t="str">
        <f>VLOOKUP(AF737,AKT!$C$4:$E$324,3,FALSE)</f>
        <v>0942</v>
      </c>
    </row>
    <row r="738" spans="30:33">
      <c r="AD738" s="72" t="s">
        <v>2734</v>
      </c>
      <c r="AE738" s="72" t="s">
        <v>2735</v>
      </c>
      <c r="AF738" s="72" t="str">
        <f t="shared" si="81"/>
        <v>A679078</v>
      </c>
      <c r="AG738" s="72" t="str">
        <f>VLOOKUP(AF738,AKT!$C$4:$E$324,3,FALSE)</f>
        <v>0942</v>
      </c>
    </row>
    <row r="739" spans="30:33">
      <c r="AD739" s="72" t="s">
        <v>2736</v>
      </c>
      <c r="AE739" s="72" t="s">
        <v>2737</v>
      </c>
      <c r="AF739" s="72" t="str">
        <f t="shared" si="81"/>
        <v>A679078</v>
      </c>
      <c r="AG739" s="72" t="str">
        <f>VLOOKUP(AF739,AKT!$C$4:$E$324,3,FALSE)</f>
        <v>0942</v>
      </c>
    </row>
    <row r="740" spans="30:33">
      <c r="AD740" s="72" t="s">
        <v>2738</v>
      </c>
      <c r="AE740" s="72" t="s">
        <v>2739</v>
      </c>
      <c r="AF740" s="72" t="str">
        <f t="shared" si="81"/>
        <v>A679078</v>
      </c>
      <c r="AG740" s="72" t="str">
        <f>VLOOKUP(AF740,AKT!$C$4:$E$324,3,FALSE)</f>
        <v>0942</v>
      </c>
    </row>
    <row r="741" spans="30:33">
      <c r="AD741" s="72" t="s">
        <v>2740</v>
      </c>
      <c r="AE741" s="72" t="s">
        <v>2741</v>
      </c>
      <c r="AF741" s="72" t="str">
        <f t="shared" si="81"/>
        <v>A679078</v>
      </c>
      <c r="AG741" s="72" t="str">
        <f>VLOOKUP(AF741,AKT!$C$4:$E$324,3,FALSE)</f>
        <v>0942</v>
      </c>
    </row>
    <row r="742" spans="30:33">
      <c r="AD742" s="72" t="s">
        <v>2742</v>
      </c>
      <c r="AE742" s="72" t="s">
        <v>2743</v>
      </c>
      <c r="AF742" s="72" t="str">
        <f t="shared" si="81"/>
        <v>A679078</v>
      </c>
      <c r="AG742" s="72" t="str">
        <f>VLOOKUP(AF742,AKT!$C$4:$E$324,3,FALSE)</f>
        <v>0942</v>
      </c>
    </row>
    <row r="743" spans="30:33">
      <c r="AD743" s="72" t="s">
        <v>2744</v>
      </c>
      <c r="AE743" s="72" t="s">
        <v>2745</v>
      </c>
      <c r="AF743" s="72" t="str">
        <f t="shared" si="81"/>
        <v>A679078</v>
      </c>
      <c r="AG743" s="72" t="str">
        <f>VLOOKUP(AF743,AKT!$C$4:$E$324,3,FALSE)</f>
        <v>0942</v>
      </c>
    </row>
    <row r="744" spans="30:33">
      <c r="AD744" s="72" t="s">
        <v>2746</v>
      </c>
      <c r="AE744" s="72" t="s">
        <v>2747</v>
      </c>
      <c r="AF744" s="72" t="str">
        <f t="shared" si="81"/>
        <v>A679078</v>
      </c>
      <c r="AG744" s="72" t="str">
        <f>VLOOKUP(AF744,AKT!$C$4:$E$324,3,FALSE)</f>
        <v>0942</v>
      </c>
    </row>
    <row r="745" spans="30:33">
      <c r="AD745" s="72" t="s">
        <v>2748</v>
      </c>
      <c r="AE745" s="72" t="s">
        <v>2749</v>
      </c>
      <c r="AF745" s="72" t="str">
        <f t="shared" si="81"/>
        <v>A679078</v>
      </c>
      <c r="AG745" s="72" t="str">
        <f>VLOOKUP(AF745,AKT!$C$4:$E$324,3,FALSE)</f>
        <v>0942</v>
      </c>
    </row>
    <row r="746" spans="30:33">
      <c r="AD746" s="72" t="s">
        <v>2750</v>
      </c>
      <c r="AE746" s="72" t="s">
        <v>2751</v>
      </c>
      <c r="AF746" s="72" t="str">
        <f t="shared" si="81"/>
        <v>A679078</v>
      </c>
      <c r="AG746" s="72" t="str">
        <f>VLOOKUP(AF746,AKT!$C$4:$E$324,3,FALSE)</f>
        <v>0942</v>
      </c>
    </row>
    <row r="747" spans="30:33">
      <c r="AD747" s="72" t="s">
        <v>2752</v>
      </c>
      <c r="AE747" s="72" t="s">
        <v>2753</v>
      </c>
      <c r="AF747" s="72" t="str">
        <f t="shared" si="81"/>
        <v>A679078</v>
      </c>
      <c r="AG747" s="72" t="str">
        <f>VLOOKUP(AF747,AKT!$C$4:$E$324,3,FALSE)</f>
        <v>0942</v>
      </c>
    </row>
    <row r="748" spans="30:33">
      <c r="AD748" s="72" t="s">
        <v>2754</v>
      </c>
      <c r="AE748" s="72" t="s">
        <v>2755</v>
      </c>
      <c r="AF748" s="72" t="str">
        <f t="shared" si="81"/>
        <v>A679078</v>
      </c>
      <c r="AG748" s="72" t="str">
        <f>VLOOKUP(AF748,AKT!$C$4:$E$324,3,FALSE)</f>
        <v>0942</v>
      </c>
    </row>
    <row r="749" spans="30:33">
      <c r="AD749" s="72" t="s">
        <v>2756</v>
      </c>
      <c r="AE749" s="72" t="s">
        <v>2276</v>
      </c>
      <c r="AF749" s="72" t="str">
        <f t="shared" si="81"/>
        <v>A679078</v>
      </c>
      <c r="AG749" s="72" t="str">
        <f>VLOOKUP(AF749,AKT!$C$4:$E$324,3,FALSE)</f>
        <v>0942</v>
      </c>
    </row>
    <row r="750" spans="30:33">
      <c r="AD750" s="72" t="s">
        <v>2757</v>
      </c>
      <c r="AE750" s="72" t="s">
        <v>2758</v>
      </c>
      <c r="AF750" s="72" t="str">
        <f t="shared" si="81"/>
        <v>A679078</v>
      </c>
      <c r="AG750" s="72" t="str">
        <f>VLOOKUP(AF750,AKT!$C$4:$E$324,3,FALSE)</f>
        <v>0942</v>
      </c>
    </row>
    <row r="751" spans="30:33">
      <c r="AD751" s="72" t="s">
        <v>2759</v>
      </c>
      <c r="AE751" s="72" t="s">
        <v>2760</v>
      </c>
      <c r="AF751" s="72" t="str">
        <f t="shared" si="81"/>
        <v>A679078</v>
      </c>
      <c r="AG751" s="72" t="str">
        <f>VLOOKUP(AF751,AKT!$C$4:$E$324,3,FALSE)</f>
        <v>0942</v>
      </c>
    </row>
    <row r="752" spans="30:33">
      <c r="AD752" s="72" t="s">
        <v>2761</v>
      </c>
      <c r="AE752" s="72" t="s">
        <v>2762</v>
      </c>
      <c r="AF752" s="72" t="str">
        <f t="shared" si="81"/>
        <v>A679078</v>
      </c>
      <c r="AG752" s="72" t="str">
        <f>VLOOKUP(AF752,AKT!$C$4:$E$324,3,FALSE)</f>
        <v>0942</v>
      </c>
    </row>
    <row r="753" spans="30:33">
      <c r="AD753" s="72" t="s">
        <v>2763</v>
      </c>
      <c r="AE753" s="72" t="s">
        <v>2764</v>
      </c>
      <c r="AF753" s="72" t="str">
        <f t="shared" si="81"/>
        <v>A679078</v>
      </c>
      <c r="AG753" s="72" t="str">
        <f>VLOOKUP(AF753,AKT!$C$4:$E$324,3,FALSE)</f>
        <v>0942</v>
      </c>
    </row>
    <row r="754" spans="30:33">
      <c r="AD754" s="72" t="s">
        <v>2765</v>
      </c>
      <c r="AE754" s="72" t="s">
        <v>2766</v>
      </c>
      <c r="AF754" s="72" t="str">
        <f t="shared" si="81"/>
        <v>A679078</v>
      </c>
      <c r="AG754" s="72" t="str">
        <f>VLOOKUP(AF754,AKT!$C$4:$E$324,3,FALSE)</f>
        <v>0942</v>
      </c>
    </row>
    <row r="755" spans="30:33">
      <c r="AD755" s="72" t="s">
        <v>2767</v>
      </c>
      <c r="AE755" s="72" t="s">
        <v>2768</v>
      </c>
      <c r="AF755" s="72" t="str">
        <f t="shared" si="81"/>
        <v>A679078</v>
      </c>
      <c r="AG755" s="72" t="str">
        <f>VLOOKUP(AF755,AKT!$C$4:$E$324,3,FALSE)</f>
        <v>0942</v>
      </c>
    </row>
    <row r="756" spans="30:33">
      <c r="AD756" s="72" t="s">
        <v>2769</v>
      </c>
      <c r="AE756" s="72" t="s">
        <v>2770</v>
      </c>
      <c r="AF756" s="72" t="str">
        <f t="shared" si="81"/>
        <v>A679078</v>
      </c>
      <c r="AG756" s="72" t="str">
        <f>VLOOKUP(AF756,AKT!$C$4:$E$324,3,FALSE)</f>
        <v>0942</v>
      </c>
    </row>
    <row r="757" spans="30:33">
      <c r="AD757" s="72" t="s">
        <v>2771</v>
      </c>
      <c r="AE757" s="72" t="s">
        <v>2772</v>
      </c>
      <c r="AF757" s="72" t="str">
        <f t="shared" si="81"/>
        <v>A679078</v>
      </c>
      <c r="AG757" s="72" t="str">
        <f>VLOOKUP(AF757,AKT!$C$4:$E$324,3,FALSE)</f>
        <v>0942</v>
      </c>
    </row>
    <row r="758" spans="30:33">
      <c r="AD758" s="72" t="s">
        <v>2773</v>
      </c>
      <c r="AE758" s="72" t="s">
        <v>2774</v>
      </c>
      <c r="AF758" s="72" t="str">
        <f t="shared" si="81"/>
        <v>A679078</v>
      </c>
      <c r="AG758" s="72" t="str">
        <f>VLOOKUP(AF758,AKT!$C$4:$E$324,3,FALSE)</f>
        <v>0942</v>
      </c>
    </row>
    <row r="759" spans="30:33">
      <c r="AD759" s="72" t="s">
        <v>2775</v>
      </c>
      <c r="AE759" s="72" t="s">
        <v>2776</v>
      </c>
      <c r="AF759" s="72" t="str">
        <f t="shared" si="81"/>
        <v>A679078</v>
      </c>
      <c r="AG759" s="72" t="str">
        <f>VLOOKUP(AF759,AKT!$C$4:$E$324,3,FALSE)</f>
        <v>0942</v>
      </c>
    </row>
    <row r="760" spans="30:33">
      <c r="AD760" s="72" t="s">
        <v>2777</v>
      </c>
      <c r="AE760" s="72" t="s">
        <v>2778</v>
      </c>
      <c r="AF760" s="72" t="str">
        <f t="shared" si="81"/>
        <v>A679078</v>
      </c>
      <c r="AG760" s="72" t="str">
        <f>VLOOKUP(AF760,AKT!$C$4:$E$324,3,FALSE)</f>
        <v>0942</v>
      </c>
    </row>
    <row r="761" spans="30:33">
      <c r="AD761" s="72" t="s">
        <v>2779</v>
      </c>
      <c r="AE761" s="72" t="s">
        <v>2780</v>
      </c>
      <c r="AF761" s="72" t="str">
        <f t="shared" si="81"/>
        <v>A679078</v>
      </c>
      <c r="AG761" s="72" t="str">
        <f>VLOOKUP(AF761,AKT!$C$4:$E$324,3,FALSE)</f>
        <v>0942</v>
      </c>
    </row>
    <row r="762" spans="30:33">
      <c r="AD762" s="72" t="s">
        <v>2781</v>
      </c>
      <c r="AE762" s="72" t="s">
        <v>2782</v>
      </c>
      <c r="AF762" s="72" t="str">
        <f t="shared" si="81"/>
        <v>A679078</v>
      </c>
      <c r="AG762" s="72" t="str">
        <f>VLOOKUP(AF762,AKT!$C$4:$E$324,3,FALSE)</f>
        <v>0942</v>
      </c>
    </row>
    <row r="763" spans="30:33">
      <c r="AD763" s="72" t="s">
        <v>2783</v>
      </c>
      <c r="AE763" s="72" t="s">
        <v>2784</v>
      </c>
      <c r="AF763" s="72" t="str">
        <f t="shared" si="81"/>
        <v>A679078</v>
      </c>
      <c r="AG763" s="72" t="str">
        <f>VLOOKUP(AF763,AKT!$C$4:$E$324,3,FALSE)</f>
        <v>0942</v>
      </c>
    </row>
    <row r="764" spans="30:33">
      <c r="AD764" s="72" t="s">
        <v>2785</v>
      </c>
      <c r="AE764" s="72" t="s">
        <v>2786</v>
      </c>
      <c r="AF764" s="72" t="str">
        <f t="shared" si="81"/>
        <v>A679078</v>
      </c>
      <c r="AG764" s="72" t="str">
        <f>VLOOKUP(AF764,AKT!$C$4:$E$324,3,FALSE)</f>
        <v>0942</v>
      </c>
    </row>
    <row r="765" spans="30:33">
      <c r="AD765" s="72" t="s">
        <v>2787</v>
      </c>
      <c r="AE765" s="72" t="s">
        <v>2788</v>
      </c>
      <c r="AF765" s="72" t="str">
        <f t="shared" si="81"/>
        <v>A679078</v>
      </c>
      <c r="AG765" s="72" t="str">
        <f>VLOOKUP(AF765,AKT!$C$4:$E$324,3,FALSE)</f>
        <v>0942</v>
      </c>
    </row>
    <row r="766" spans="30:33">
      <c r="AD766" s="72" t="s">
        <v>2789</v>
      </c>
      <c r="AE766" s="72" t="s">
        <v>2790</v>
      </c>
      <c r="AF766" s="72" t="str">
        <f t="shared" si="81"/>
        <v>A679078</v>
      </c>
      <c r="AG766" s="72" t="str">
        <f>VLOOKUP(AF766,AKT!$C$4:$E$324,3,FALSE)</f>
        <v>0942</v>
      </c>
    </row>
    <row r="767" spans="30:33">
      <c r="AD767" s="72" t="s">
        <v>2791</v>
      </c>
      <c r="AE767" s="72" t="s">
        <v>2792</v>
      </c>
      <c r="AF767" s="72" t="str">
        <f t="shared" si="81"/>
        <v>A679078</v>
      </c>
      <c r="AG767" s="72" t="str">
        <f>VLOOKUP(AF767,AKT!$C$4:$E$324,3,FALSE)</f>
        <v>0942</v>
      </c>
    </row>
    <row r="768" spans="30:33">
      <c r="AD768" s="72" t="s">
        <v>2793</v>
      </c>
      <c r="AE768" s="72" t="s">
        <v>2794</v>
      </c>
      <c r="AF768" s="72" t="str">
        <f t="shared" si="81"/>
        <v>A679078</v>
      </c>
      <c r="AG768" s="72" t="str">
        <f>VLOOKUP(AF768,AKT!$C$4:$E$324,3,FALSE)</f>
        <v>0942</v>
      </c>
    </row>
    <row r="769" spans="30:33">
      <c r="AD769" s="72" t="s">
        <v>2795</v>
      </c>
      <c r="AE769" s="72" t="s">
        <v>2796</v>
      </c>
      <c r="AF769" s="72" t="str">
        <f t="shared" si="81"/>
        <v>A679078</v>
      </c>
      <c r="AG769" s="72" t="str">
        <f>VLOOKUP(AF769,AKT!$C$4:$E$324,3,FALSE)</f>
        <v>0942</v>
      </c>
    </row>
    <row r="770" spans="30:33">
      <c r="AD770" s="72" t="s">
        <v>2797</v>
      </c>
      <c r="AE770" s="72" t="s">
        <v>2798</v>
      </c>
      <c r="AF770" s="72" t="str">
        <f t="shared" si="81"/>
        <v>A679078</v>
      </c>
      <c r="AG770" s="72" t="str">
        <f>VLOOKUP(AF770,AKT!$C$4:$E$324,3,FALSE)</f>
        <v>0942</v>
      </c>
    </row>
    <row r="771" spans="30:33">
      <c r="AD771" s="72" t="s">
        <v>2799</v>
      </c>
      <c r="AE771" s="72" t="s">
        <v>2800</v>
      </c>
      <c r="AF771" s="72" t="str">
        <f t="shared" si="81"/>
        <v>A679078</v>
      </c>
      <c r="AG771" s="72" t="str">
        <f>VLOOKUP(AF771,AKT!$C$4:$E$324,3,FALSE)</f>
        <v>0942</v>
      </c>
    </row>
    <row r="772" spans="30:33">
      <c r="AD772" s="72" t="s">
        <v>2801</v>
      </c>
      <c r="AE772" s="72" t="s">
        <v>2802</v>
      </c>
      <c r="AF772" s="72" t="str">
        <f t="shared" si="81"/>
        <v>A679078</v>
      </c>
      <c r="AG772" s="72" t="str">
        <f>VLOOKUP(AF772,AKT!$C$4:$E$324,3,FALSE)</f>
        <v>0942</v>
      </c>
    </row>
    <row r="773" spans="30:33">
      <c r="AD773" s="72" t="s">
        <v>2803</v>
      </c>
      <c r="AE773" s="72" t="s">
        <v>2804</v>
      </c>
      <c r="AF773" s="72" t="str">
        <f t="shared" si="81"/>
        <v>A679078</v>
      </c>
      <c r="AG773" s="72" t="str">
        <f>VLOOKUP(AF773,AKT!$C$4:$E$324,3,FALSE)</f>
        <v>0942</v>
      </c>
    </row>
    <row r="774" spans="30:33">
      <c r="AD774" s="72" t="s">
        <v>2805</v>
      </c>
      <c r="AE774" s="72" t="s">
        <v>2806</v>
      </c>
      <c r="AF774" s="72" t="str">
        <f t="shared" si="81"/>
        <v>A679078</v>
      </c>
      <c r="AG774" s="72" t="str">
        <f>VLOOKUP(AF774,AKT!$C$4:$E$324,3,FALSE)</f>
        <v>0942</v>
      </c>
    </row>
    <row r="775" spans="30:33">
      <c r="AD775" s="72" t="s">
        <v>2807</v>
      </c>
      <c r="AE775" s="72" t="s">
        <v>2808</v>
      </c>
      <c r="AF775" s="72" t="str">
        <f t="shared" si="81"/>
        <v>A679078</v>
      </c>
      <c r="AG775" s="72" t="str">
        <f>VLOOKUP(AF775,AKT!$C$4:$E$324,3,FALSE)</f>
        <v>0942</v>
      </c>
    </row>
    <row r="776" spans="30:33">
      <c r="AD776" s="72" t="s">
        <v>2809</v>
      </c>
      <c r="AE776" s="72" t="s">
        <v>2810</v>
      </c>
      <c r="AF776" s="72" t="str">
        <f t="shared" si="81"/>
        <v>A679078</v>
      </c>
      <c r="AG776" s="72" t="str">
        <f>VLOOKUP(AF776,AKT!$C$4:$E$324,3,FALSE)</f>
        <v>0942</v>
      </c>
    </row>
    <row r="777" spans="30:33">
      <c r="AD777" s="72" t="s">
        <v>2811</v>
      </c>
      <c r="AE777" s="72" t="s">
        <v>2812</v>
      </c>
      <c r="AF777" s="72" t="str">
        <f t="shared" si="81"/>
        <v>A679078</v>
      </c>
      <c r="AG777" s="72" t="str">
        <f>VLOOKUP(AF777,AKT!$C$4:$E$324,3,FALSE)</f>
        <v>0942</v>
      </c>
    </row>
    <row r="778" spans="30:33">
      <c r="AD778" s="72" t="s">
        <v>2813</v>
      </c>
      <c r="AE778" s="72" t="s">
        <v>2814</v>
      </c>
      <c r="AF778" s="72" t="str">
        <f t="shared" si="81"/>
        <v>A679078</v>
      </c>
      <c r="AG778" s="72" t="str">
        <f>VLOOKUP(AF778,AKT!$C$4:$E$324,3,FALSE)</f>
        <v>0942</v>
      </c>
    </row>
    <row r="779" spans="30:33">
      <c r="AD779" s="72" t="s">
        <v>2815</v>
      </c>
      <c r="AE779" s="72" t="s">
        <v>2816</v>
      </c>
      <c r="AF779" s="72" t="str">
        <f t="shared" si="81"/>
        <v>A679078</v>
      </c>
      <c r="AG779" s="72" t="str">
        <f>VLOOKUP(AF779,AKT!$C$4:$E$324,3,FALSE)</f>
        <v>0942</v>
      </c>
    </row>
    <row r="780" spans="30:33">
      <c r="AD780" s="72" t="s">
        <v>2817</v>
      </c>
      <c r="AE780" s="72" t="s">
        <v>2818</v>
      </c>
      <c r="AF780" s="72" t="str">
        <f t="shared" si="81"/>
        <v>A679078</v>
      </c>
      <c r="AG780" s="72" t="str">
        <f>VLOOKUP(AF780,AKT!$C$4:$E$324,3,FALSE)</f>
        <v>0942</v>
      </c>
    </row>
    <row r="781" spans="30:33">
      <c r="AD781" s="72" t="s">
        <v>2819</v>
      </c>
      <c r="AE781" s="72" t="s">
        <v>2820</v>
      </c>
      <c r="AF781" s="72" t="str">
        <f t="shared" si="81"/>
        <v>A679078</v>
      </c>
      <c r="AG781" s="72" t="str">
        <f>VLOOKUP(AF781,AKT!$C$4:$E$324,3,FALSE)</f>
        <v>0942</v>
      </c>
    </row>
    <row r="782" spans="30:33">
      <c r="AD782" s="72" t="s">
        <v>2821</v>
      </c>
      <c r="AE782" s="72" t="s">
        <v>2822</v>
      </c>
      <c r="AF782" s="72" t="str">
        <f t="shared" si="81"/>
        <v>A679078</v>
      </c>
      <c r="AG782" s="72" t="str">
        <f>VLOOKUP(AF782,AKT!$C$4:$E$324,3,FALSE)</f>
        <v>0942</v>
      </c>
    </row>
    <row r="783" spans="30:33">
      <c r="AD783" s="72" t="s">
        <v>2823</v>
      </c>
      <c r="AE783" s="72" t="s">
        <v>2766</v>
      </c>
      <c r="AF783" s="72" t="str">
        <f t="shared" si="81"/>
        <v>A679078</v>
      </c>
      <c r="AG783" s="72" t="str">
        <f>VLOOKUP(AF783,AKT!$C$4:$E$324,3,FALSE)</f>
        <v>0942</v>
      </c>
    </row>
    <row r="784" spans="30:33">
      <c r="AD784" s="72" t="s">
        <v>2824</v>
      </c>
      <c r="AE784" s="72" t="s">
        <v>2772</v>
      </c>
      <c r="AF784" s="72" t="str">
        <f t="shared" si="81"/>
        <v>A679078</v>
      </c>
      <c r="AG784" s="72" t="str">
        <f>VLOOKUP(AF784,AKT!$C$4:$E$324,3,FALSE)</f>
        <v>0942</v>
      </c>
    </row>
    <row r="785" spans="30:33">
      <c r="AD785" s="72" t="s">
        <v>2825</v>
      </c>
      <c r="AE785" s="72" t="s">
        <v>2826</v>
      </c>
      <c r="AF785" s="72" t="str">
        <f t="shared" si="81"/>
        <v>A679078</v>
      </c>
      <c r="AG785" s="72" t="str">
        <f>VLOOKUP(AF785,AKT!$C$4:$E$324,3,FALSE)</f>
        <v>0942</v>
      </c>
    </row>
    <row r="786" spans="30:33">
      <c r="AD786" s="72" t="s">
        <v>2827</v>
      </c>
      <c r="AE786" s="72" t="s">
        <v>2828</v>
      </c>
      <c r="AF786" s="72" t="str">
        <f t="shared" si="81"/>
        <v>A679078</v>
      </c>
      <c r="AG786" s="72" t="str">
        <f>VLOOKUP(AF786,AKT!$C$4:$E$324,3,FALSE)</f>
        <v>0942</v>
      </c>
    </row>
    <row r="787" spans="30:33">
      <c r="AD787" s="72" t="s">
        <v>2829</v>
      </c>
      <c r="AE787" s="72" t="s">
        <v>2830</v>
      </c>
      <c r="AF787" s="72" t="str">
        <f t="shared" ref="AF787:AF850" si="82">LEFT(AD787,7)</f>
        <v>A679078</v>
      </c>
      <c r="AG787" s="72" t="str">
        <f>VLOOKUP(AF787,AKT!$C$4:$E$324,3,FALSE)</f>
        <v>0942</v>
      </c>
    </row>
    <row r="788" spans="30:33">
      <c r="AD788" s="72" t="s">
        <v>2831</v>
      </c>
      <c r="AE788" s="72" t="s">
        <v>2832</v>
      </c>
      <c r="AF788" s="72" t="str">
        <f t="shared" si="82"/>
        <v>A679078</v>
      </c>
      <c r="AG788" s="72" t="str">
        <f>VLOOKUP(AF788,AKT!$C$4:$E$324,3,FALSE)</f>
        <v>0942</v>
      </c>
    </row>
    <row r="789" spans="30:33">
      <c r="AD789" s="72" t="s">
        <v>2833</v>
      </c>
      <c r="AE789" s="72" t="s">
        <v>3194</v>
      </c>
      <c r="AF789" s="72" t="str">
        <f t="shared" si="82"/>
        <v>A679078</v>
      </c>
      <c r="AG789" s="72" t="str">
        <f>VLOOKUP(AF789,AKT!$C$4:$E$324,3,FALSE)</f>
        <v>0942</v>
      </c>
    </row>
    <row r="790" spans="30:33">
      <c r="AD790" s="72" t="s">
        <v>2834</v>
      </c>
      <c r="AE790" s="72" t="s">
        <v>2835</v>
      </c>
      <c r="AF790" s="72" t="str">
        <f t="shared" si="82"/>
        <v>A679078</v>
      </c>
      <c r="AG790" s="72" t="str">
        <f>VLOOKUP(AF790,AKT!$C$4:$E$324,3,FALSE)</f>
        <v>0942</v>
      </c>
    </row>
    <row r="791" spans="30:33">
      <c r="AD791" s="72" t="s">
        <v>2836</v>
      </c>
      <c r="AE791" s="72" t="s">
        <v>2837</v>
      </c>
      <c r="AF791" s="72" t="str">
        <f t="shared" si="82"/>
        <v>A679078</v>
      </c>
      <c r="AG791" s="72" t="str">
        <f>VLOOKUP(AF791,AKT!$C$4:$E$324,3,FALSE)</f>
        <v>0942</v>
      </c>
    </row>
    <row r="792" spans="30:33">
      <c r="AD792" s="72" t="s">
        <v>2838</v>
      </c>
      <c r="AE792" s="72" t="s">
        <v>2839</v>
      </c>
      <c r="AF792" s="72" t="str">
        <f t="shared" si="82"/>
        <v>A679078</v>
      </c>
      <c r="AG792" s="72" t="str">
        <f>VLOOKUP(AF792,AKT!$C$4:$E$324,3,FALSE)</f>
        <v>0942</v>
      </c>
    </row>
    <row r="793" spans="30:33">
      <c r="AD793" s="72" t="s">
        <v>2840</v>
      </c>
      <c r="AE793" s="72" t="s">
        <v>2841</v>
      </c>
      <c r="AF793" s="72" t="str">
        <f t="shared" si="82"/>
        <v>A679078</v>
      </c>
      <c r="AG793" s="72" t="str">
        <f>VLOOKUP(AF793,AKT!$C$4:$E$324,3,FALSE)</f>
        <v>0942</v>
      </c>
    </row>
    <row r="794" spans="30:33">
      <c r="AD794" s="72" t="s">
        <v>2842</v>
      </c>
      <c r="AE794" s="72" t="s">
        <v>2843</v>
      </c>
      <c r="AF794" s="72" t="str">
        <f t="shared" si="82"/>
        <v>A679078</v>
      </c>
      <c r="AG794" s="72" t="str">
        <f>VLOOKUP(AF794,AKT!$C$4:$E$324,3,FALSE)</f>
        <v>0942</v>
      </c>
    </row>
    <row r="795" spans="30:33">
      <c r="AD795" s="72" t="s">
        <v>2844</v>
      </c>
      <c r="AE795" s="72" t="s">
        <v>2845</v>
      </c>
      <c r="AF795" s="72" t="str">
        <f t="shared" si="82"/>
        <v>A679078</v>
      </c>
      <c r="AG795" s="72" t="str">
        <f>VLOOKUP(AF795,AKT!$C$4:$E$324,3,FALSE)</f>
        <v>0942</v>
      </c>
    </row>
    <row r="796" spans="30:33">
      <c r="AD796" s="72" t="s">
        <v>2846</v>
      </c>
      <c r="AE796" s="72" t="s">
        <v>2847</v>
      </c>
      <c r="AF796" s="72" t="str">
        <f t="shared" si="82"/>
        <v>A679078</v>
      </c>
      <c r="AG796" s="72" t="str">
        <f>VLOOKUP(AF796,AKT!$C$4:$E$324,3,FALSE)</f>
        <v>0942</v>
      </c>
    </row>
    <row r="797" spans="30:33">
      <c r="AD797" s="72" t="s">
        <v>2848</v>
      </c>
      <c r="AE797" s="72" t="s">
        <v>2849</v>
      </c>
      <c r="AF797" s="72" t="str">
        <f t="shared" si="82"/>
        <v>A679078</v>
      </c>
      <c r="AG797" s="72" t="str">
        <f>VLOOKUP(AF797,AKT!$C$4:$E$324,3,FALSE)</f>
        <v>0942</v>
      </c>
    </row>
    <row r="798" spans="30:33">
      <c r="AD798" s="72" t="s">
        <v>2850</v>
      </c>
      <c r="AE798" s="72" t="s">
        <v>2851</v>
      </c>
      <c r="AF798" s="72" t="str">
        <f t="shared" si="82"/>
        <v>A679078</v>
      </c>
      <c r="AG798" s="72" t="str">
        <f>VLOOKUP(AF798,AKT!$C$4:$E$324,3,FALSE)</f>
        <v>0942</v>
      </c>
    </row>
    <row r="799" spans="30:33">
      <c r="AD799" s="72" t="s">
        <v>2852</v>
      </c>
      <c r="AE799" s="72" t="s">
        <v>2853</v>
      </c>
      <c r="AF799" s="72" t="str">
        <f t="shared" si="82"/>
        <v>A679078</v>
      </c>
      <c r="AG799" s="72" t="str">
        <f>VLOOKUP(AF799,AKT!$C$4:$E$324,3,FALSE)</f>
        <v>0942</v>
      </c>
    </row>
    <row r="800" spans="30:33">
      <c r="AD800" s="72" t="s">
        <v>2854</v>
      </c>
      <c r="AE800" s="72" t="s">
        <v>2855</v>
      </c>
      <c r="AF800" s="72" t="str">
        <f t="shared" si="82"/>
        <v>A679078</v>
      </c>
      <c r="AG800" s="72" t="str">
        <f>VLOOKUP(AF800,AKT!$C$4:$E$324,3,FALSE)</f>
        <v>0942</v>
      </c>
    </row>
    <row r="801" spans="30:33">
      <c r="AD801" s="72" t="s">
        <v>2856</v>
      </c>
      <c r="AE801" s="72" t="s">
        <v>2857</v>
      </c>
      <c r="AF801" s="72" t="str">
        <f t="shared" si="82"/>
        <v>A679078</v>
      </c>
      <c r="AG801" s="72" t="str">
        <f>VLOOKUP(AF801,AKT!$C$4:$E$324,3,FALSE)</f>
        <v>0942</v>
      </c>
    </row>
    <row r="802" spans="30:33">
      <c r="AD802" s="72" t="s">
        <v>2858</v>
      </c>
      <c r="AE802" s="72" t="s">
        <v>2859</v>
      </c>
      <c r="AF802" s="72" t="str">
        <f t="shared" si="82"/>
        <v>A679078</v>
      </c>
      <c r="AG802" s="72" t="str">
        <f>VLOOKUP(AF802,AKT!$C$4:$E$324,3,FALSE)</f>
        <v>0942</v>
      </c>
    </row>
    <row r="803" spans="30:33">
      <c r="AD803" s="72" t="s">
        <v>2860</v>
      </c>
      <c r="AE803" s="72" t="s">
        <v>2861</v>
      </c>
      <c r="AF803" s="72" t="str">
        <f t="shared" si="82"/>
        <v>A679078</v>
      </c>
      <c r="AG803" s="72" t="str">
        <f>VLOOKUP(AF803,AKT!$C$4:$E$324,3,FALSE)</f>
        <v>0942</v>
      </c>
    </row>
    <row r="804" spans="30:33">
      <c r="AD804" s="72" t="s">
        <v>2862</v>
      </c>
      <c r="AE804" s="72" t="s">
        <v>2863</v>
      </c>
      <c r="AF804" s="72" t="str">
        <f t="shared" si="82"/>
        <v>A679078</v>
      </c>
      <c r="AG804" s="72" t="str">
        <f>VLOOKUP(AF804,AKT!$C$4:$E$324,3,FALSE)</f>
        <v>0942</v>
      </c>
    </row>
    <row r="805" spans="30:33">
      <c r="AD805" s="72" t="s">
        <v>2864</v>
      </c>
      <c r="AE805" s="72" t="s">
        <v>2865</v>
      </c>
      <c r="AF805" s="72" t="str">
        <f t="shared" si="82"/>
        <v>A679078</v>
      </c>
      <c r="AG805" s="72" t="str">
        <f>VLOOKUP(AF805,AKT!$C$4:$E$324,3,FALSE)</f>
        <v>0942</v>
      </c>
    </row>
    <row r="806" spans="30:33">
      <c r="AD806" s="72" t="s">
        <v>2866</v>
      </c>
      <c r="AE806" s="72" t="s">
        <v>2867</v>
      </c>
      <c r="AF806" s="72" t="str">
        <f t="shared" si="82"/>
        <v>A679078</v>
      </c>
      <c r="AG806" s="72" t="str">
        <f>VLOOKUP(AF806,AKT!$C$4:$E$324,3,FALSE)</f>
        <v>0942</v>
      </c>
    </row>
    <row r="807" spans="30:33">
      <c r="AD807" s="72" t="s">
        <v>2868</v>
      </c>
      <c r="AE807" s="72" t="s">
        <v>2869</v>
      </c>
      <c r="AF807" s="72" t="str">
        <f t="shared" si="82"/>
        <v>A679078</v>
      </c>
      <c r="AG807" s="72" t="str">
        <f>VLOOKUP(AF807,AKT!$C$4:$E$324,3,FALSE)</f>
        <v>0942</v>
      </c>
    </row>
    <row r="808" spans="30:33">
      <c r="AD808" s="72" t="s">
        <v>2870</v>
      </c>
      <c r="AE808" s="72" t="s">
        <v>2871</v>
      </c>
      <c r="AF808" s="72" t="str">
        <f t="shared" si="82"/>
        <v>A679078</v>
      </c>
      <c r="AG808" s="72" t="str">
        <f>VLOOKUP(AF808,AKT!$C$4:$E$324,3,FALSE)</f>
        <v>0942</v>
      </c>
    </row>
    <row r="809" spans="30:33">
      <c r="AD809" s="72" t="s">
        <v>2872</v>
      </c>
      <c r="AE809" s="72" t="s">
        <v>2873</v>
      </c>
      <c r="AF809" s="72" t="str">
        <f t="shared" si="82"/>
        <v>A679078</v>
      </c>
      <c r="AG809" s="72" t="str">
        <f>VLOOKUP(AF809,AKT!$C$4:$E$324,3,FALSE)</f>
        <v>0942</v>
      </c>
    </row>
    <row r="810" spans="30:33">
      <c r="AD810" s="72" t="s">
        <v>2874</v>
      </c>
      <c r="AE810" s="72" t="s">
        <v>2875</v>
      </c>
      <c r="AF810" s="72" t="str">
        <f t="shared" si="82"/>
        <v>A679078</v>
      </c>
      <c r="AG810" s="72" t="str">
        <f>VLOOKUP(AF810,AKT!$C$4:$E$324,3,FALSE)</f>
        <v>0942</v>
      </c>
    </row>
    <row r="811" spans="30:33">
      <c r="AD811" s="72" t="s">
        <v>2876</v>
      </c>
      <c r="AE811" s="72" t="s">
        <v>2877</v>
      </c>
      <c r="AF811" s="72" t="str">
        <f t="shared" si="82"/>
        <v>A679078</v>
      </c>
      <c r="AG811" s="72" t="str">
        <f>VLOOKUP(AF811,AKT!$C$4:$E$324,3,FALSE)</f>
        <v>0942</v>
      </c>
    </row>
    <row r="812" spans="30:33">
      <c r="AD812" s="72" t="s">
        <v>2878</v>
      </c>
      <c r="AE812" s="72" t="s">
        <v>2879</v>
      </c>
      <c r="AF812" s="72" t="str">
        <f t="shared" si="82"/>
        <v>A679078</v>
      </c>
      <c r="AG812" s="72" t="str">
        <f>VLOOKUP(AF812,AKT!$C$4:$E$324,3,FALSE)</f>
        <v>0942</v>
      </c>
    </row>
    <row r="813" spans="30:33">
      <c r="AD813" s="72" t="s">
        <v>2880</v>
      </c>
      <c r="AE813" s="72" t="s">
        <v>2881</v>
      </c>
      <c r="AF813" s="72" t="str">
        <f t="shared" si="82"/>
        <v>A679078</v>
      </c>
      <c r="AG813" s="72" t="str">
        <f>VLOOKUP(AF813,AKT!$C$4:$E$324,3,FALSE)</f>
        <v>0942</v>
      </c>
    </row>
    <row r="814" spans="30:33">
      <c r="AD814" s="72" t="s">
        <v>2882</v>
      </c>
      <c r="AE814" s="72" t="s">
        <v>2883</v>
      </c>
      <c r="AF814" s="72" t="str">
        <f t="shared" si="82"/>
        <v>A679078</v>
      </c>
      <c r="AG814" s="72" t="str">
        <f>VLOOKUP(AF814,AKT!$C$4:$E$324,3,FALSE)</f>
        <v>0942</v>
      </c>
    </row>
    <row r="815" spans="30:33">
      <c r="AD815" s="72" t="s">
        <v>2884</v>
      </c>
      <c r="AE815" s="72" t="s">
        <v>2885</v>
      </c>
      <c r="AF815" s="72" t="str">
        <f t="shared" si="82"/>
        <v>A679078</v>
      </c>
      <c r="AG815" s="72" t="str">
        <f>VLOOKUP(AF815,AKT!$C$4:$E$324,3,FALSE)</f>
        <v>0942</v>
      </c>
    </row>
    <row r="816" spans="30:33">
      <c r="AD816" s="72" t="s">
        <v>2886</v>
      </c>
      <c r="AE816" s="72" t="s">
        <v>2887</v>
      </c>
      <c r="AF816" s="72" t="str">
        <f t="shared" si="82"/>
        <v>A679078</v>
      </c>
      <c r="AG816" s="72" t="str">
        <f>VLOOKUP(AF816,AKT!$C$4:$E$324,3,FALSE)</f>
        <v>0942</v>
      </c>
    </row>
    <row r="817" spans="30:33">
      <c r="AD817" s="72" t="s">
        <v>2888</v>
      </c>
      <c r="AE817" s="72" t="s">
        <v>2889</v>
      </c>
      <c r="AF817" s="72" t="str">
        <f t="shared" si="82"/>
        <v>A679078</v>
      </c>
      <c r="AG817" s="72" t="str">
        <f>VLOOKUP(AF817,AKT!$C$4:$E$324,3,FALSE)</f>
        <v>0942</v>
      </c>
    </row>
    <row r="818" spans="30:33">
      <c r="AD818" s="72" t="s">
        <v>2890</v>
      </c>
      <c r="AE818" s="72" t="s">
        <v>2647</v>
      </c>
      <c r="AF818" s="72" t="str">
        <f t="shared" si="82"/>
        <v>A679078</v>
      </c>
      <c r="AG818" s="72" t="str">
        <f>VLOOKUP(AF818,AKT!$C$4:$E$324,3,FALSE)</f>
        <v>0942</v>
      </c>
    </row>
    <row r="819" spans="30:33">
      <c r="AD819" s="72" t="s">
        <v>2891</v>
      </c>
      <c r="AE819" s="72" t="s">
        <v>2892</v>
      </c>
      <c r="AF819" s="72" t="str">
        <f t="shared" si="82"/>
        <v>A679078</v>
      </c>
      <c r="AG819" s="72" t="str">
        <f>VLOOKUP(AF819,AKT!$C$4:$E$324,3,FALSE)</f>
        <v>0942</v>
      </c>
    </row>
    <row r="820" spans="30:33">
      <c r="AD820" s="72" t="s">
        <v>2893</v>
      </c>
      <c r="AE820" s="72" t="s">
        <v>2894</v>
      </c>
      <c r="AF820" s="72" t="str">
        <f t="shared" si="82"/>
        <v>A679078</v>
      </c>
      <c r="AG820" s="72" t="str">
        <f>VLOOKUP(AF820,AKT!$C$4:$E$324,3,FALSE)</f>
        <v>0942</v>
      </c>
    </row>
    <row r="821" spans="30:33">
      <c r="AD821" s="72" t="s">
        <v>2895</v>
      </c>
      <c r="AE821" s="72" t="s">
        <v>2896</v>
      </c>
      <c r="AF821" s="72" t="str">
        <f t="shared" si="82"/>
        <v>A679078</v>
      </c>
      <c r="AG821" s="72" t="str">
        <f>VLOOKUP(AF821,AKT!$C$4:$E$324,3,FALSE)</f>
        <v>0942</v>
      </c>
    </row>
    <row r="822" spans="30:33">
      <c r="AD822" s="72" t="s">
        <v>2897</v>
      </c>
      <c r="AE822" s="72" t="s">
        <v>2898</v>
      </c>
      <c r="AF822" s="72" t="str">
        <f t="shared" si="82"/>
        <v>A679078</v>
      </c>
      <c r="AG822" s="72" t="str">
        <f>VLOOKUP(AF822,AKT!$C$4:$E$324,3,FALSE)</f>
        <v>0942</v>
      </c>
    </row>
    <row r="823" spans="30:33">
      <c r="AD823" s="72" t="s">
        <v>2899</v>
      </c>
      <c r="AE823" s="72" t="s">
        <v>2900</v>
      </c>
      <c r="AF823" s="72" t="str">
        <f t="shared" si="82"/>
        <v>A679078</v>
      </c>
      <c r="AG823" s="72" t="str">
        <f>VLOOKUP(AF823,AKT!$C$4:$E$324,3,FALSE)</f>
        <v>0942</v>
      </c>
    </row>
    <row r="824" spans="30:33">
      <c r="AD824" s="72" t="s">
        <v>2901</v>
      </c>
      <c r="AE824" s="72" t="s">
        <v>2902</v>
      </c>
      <c r="AF824" s="72" t="str">
        <f t="shared" si="82"/>
        <v>A679078</v>
      </c>
      <c r="AG824" s="72" t="str">
        <f>VLOOKUP(AF824,AKT!$C$4:$E$324,3,FALSE)</f>
        <v>0942</v>
      </c>
    </row>
    <row r="825" spans="30:33">
      <c r="AD825" s="72" t="s">
        <v>2903</v>
      </c>
      <c r="AE825" s="72" t="s">
        <v>2904</v>
      </c>
      <c r="AF825" s="72" t="str">
        <f t="shared" si="82"/>
        <v>A679078</v>
      </c>
      <c r="AG825" s="72" t="str">
        <f>VLOOKUP(AF825,AKT!$C$4:$E$324,3,FALSE)</f>
        <v>0942</v>
      </c>
    </row>
    <row r="826" spans="30:33">
      <c r="AD826" s="72" t="s">
        <v>2905</v>
      </c>
      <c r="AE826" s="72" t="s">
        <v>2906</v>
      </c>
      <c r="AF826" s="72" t="str">
        <f t="shared" si="82"/>
        <v>A679078</v>
      </c>
      <c r="AG826" s="72" t="str">
        <f>VLOOKUP(AF826,AKT!$C$4:$E$324,3,FALSE)</f>
        <v>0942</v>
      </c>
    </row>
    <row r="827" spans="30:33">
      <c r="AD827" s="72" t="s">
        <v>3195</v>
      </c>
      <c r="AE827" s="72" t="s">
        <v>3196</v>
      </c>
      <c r="AF827" s="72" t="str">
        <f t="shared" si="82"/>
        <v>A679078</v>
      </c>
      <c r="AG827" s="72" t="str">
        <f>VLOOKUP(AF827,AKT!$C$4:$E$324,3,FALSE)</f>
        <v>0942</v>
      </c>
    </row>
    <row r="828" spans="30:33">
      <c r="AD828" s="72" t="s">
        <v>2907</v>
      </c>
      <c r="AE828" s="72" t="s">
        <v>2908</v>
      </c>
      <c r="AF828" s="72" t="str">
        <f t="shared" si="82"/>
        <v>A679078</v>
      </c>
      <c r="AG828" s="72" t="str">
        <f>VLOOKUP(AF828,AKT!$C$4:$E$324,3,FALSE)</f>
        <v>0942</v>
      </c>
    </row>
    <row r="829" spans="30:33">
      <c r="AD829" s="72" t="s">
        <v>2909</v>
      </c>
      <c r="AE829" s="72" t="s">
        <v>2910</v>
      </c>
      <c r="AF829" s="72" t="str">
        <f t="shared" si="82"/>
        <v>A679078</v>
      </c>
      <c r="AG829" s="72" t="str">
        <f>VLOOKUP(AF829,AKT!$C$4:$E$324,3,FALSE)</f>
        <v>0942</v>
      </c>
    </row>
    <row r="830" spans="30:33">
      <c r="AD830" s="72" t="s">
        <v>2911</v>
      </c>
      <c r="AE830" s="72" t="s">
        <v>2912</v>
      </c>
      <c r="AF830" s="72" t="str">
        <f t="shared" si="82"/>
        <v>A679078</v>
      </c>
      <c r="AG830" s="72" t="str">
        <f>VLOOKUP(AF830,AKT!$C$4:$E$324,3,FALSE)</f>
        <v>0942</v>
      </c>
    </row>
    <row r="831" spans="30:33">
      <c r="AD831" s="72" t="s">
        <v>3197</v>
      </c>
      <c r="AE831" s="72" t="s">
        <v>3198</v>
      </c>
      <c r="AF831" s="72" t="str">
        <f t="shared" si="82"/>
        <v>A679078</v>
      </c>
      <c r="AG831" s="72" t="str">
        <f>VLOOKUP(AF831,AKT!$C$4:$E$324,3,FALSE)</f>
        <v>0942</v>
      </c>
    </row>
    <row r="832" spans="30:33">
      <c r="AD832" s="72" t="s">
        <v>3199</v>
      </c>
      <c r="AE832" s="72" t="s">
        <v>3200</v>
      </c>
      <c r="AF832" s="72" t="str">
        <f t="shared" si="82"/>
        <v>A679078</v>
      </c>
      <c r="AG832" s="72" t="str">
        <f>VLOOKUP(AF832,AKT!$C$4:$E$324,3,FALSE)</f>
        <v>0942</v>
      </c>
    </row>
    <row r="833" spans="30:33">
      <c r="AD833" s="72" t="s">
        <v>3201</v>
      </c>
      <c r="AE833" s="72" t="s">
        <v>3202</v>
      </c>
      <c r="AF833" s="72" t="str">
        <f t="shared" si="82"/>
        <v>A679078</v>
      </c>
      <c r="AG833" s="72" t="str">
        <f>VLOOKUP(AF833,AKT!$C$4:$E$324,3,FALSE)</f>
        <v>0942</v>
      </c>
    </row>
    <row r="834" spans="30:33">
      <c r="AD834" s="72" t="s">
        <v>3203</v>
      </c>
      <c r="AE834" s="72" t="s">
        <v>3204</v>
      </c>
      <c r="AF834" s="72" t="str">
        <f t="shared" si="82"/>
        <v>A679078</v>
      </c>
      <c r="AG834" s="72" t="str">
        <f>VLOOKUP(AF834,AKT!$C$4:$E$324,3,FALSE)</f>
        <v>0942</v>
      </c>
    </row>
    <row r="835" spans="30:33">
      <c r="AD835" s="72" t="s">
        <v>3205</v>
      </c>
      <c r="AE835" s="72" t="s">
        <v>3206</v>
      </c>
      <c r="AF835" s="72" t="str">
        <f t="shared" si="82"/>
        <v>A679078</v>
      </c>
      <c r="AG835" s="72" t="str">
        <f>VLOOKUP(AF835,AKT!$C$4:$E$324,3,FALSE)</f>
        <v>0942</v>
      </c>
    </row>
    <row r="836" spans="30:33">
      <c r="AD836" s="72" t="s">
        <v>3207</v>
      </c>
      <c r="AE836" s="72" t="s">
        <v>3208</v>
      </c>
      <c r="AF836" s="72" t="str">
        <f t="shared" si="82"/>
        <v>A679078</v>
      </c>
      <c r="AG836" s="72" t="str">
        <f>VLOOKUP(AF836,AKT!$C$4:$E$324,3,FALSE)</f>
        <v>0942</v>
      </c>
    </row>
    <row r="837" spans="30:33">
      <c r="AD837" s="72" t="s">
        <v>3209</v>
      </c>
      <c r="AE837" s="72" t="s">
        <v>3210</v>
      </c>
      <c r="AF837" s="72" t="str">
        <f t="shared" si="82"/>
        <v>A679078</v>
      </c>
      <c r="AG837" s="72" t="str">
        <f>VLOOKUP(AF837,AKT!$C$4:$E$324,3,FALSE)</f>
        <v>0942</v>
      </c>
    </row>
    <row r="838" spans="30:33">
      <c r="AD838" s="72" t="s">
        <v>3211</v>
      </c>
      <c r="AE838" s="72" t="s">
        <v>3212</v>
      </c>
      <c r="AF838" s="72" t="str">
        <f t="shared" si="82"/>
        <v>A679078</v>
      </c>
      <c r="AG838" s="72" t="str">
        <f>VLOOKUP(AF838,AKT!$C$4:$E$324,3,FALSE)</f>
        <v>0942</v>
      </c>
    </row>
    <row r="839" spans="30:33">
      <c r="AD839" s="72" t="s">
        <v>3213</v>
      </c>
      <c r="AE839" s="72" t="s">
        <v>3214</v>
      </c>
      <c r="AF839" s="72" t="str">
        <f t="shared" si="82"/>
        <v>A679078</v>
      </c>
      <c r="AG839" s="72" t="str">
        <f>VLOOKUP(AF839,AKT!$C$4:$E$324,3,FALSE)</f>
        <v>0942</v>
      </c>
    </row>
    <row r="840" spans="30:33">
      <c r="AD840" s="72" t="s">
        <v>3215</v>
      </c>
      <c r="AE840" s="72" t="s">
        <v>3216</v>
      </c>
      <c r="AF840" s="72" t="str">
        <f t="shared" si="82"/>
        <v>A679078</v>
      </c>
      <c r="AG840" s="72" t="str">
        <f>VLOOKUP(AF840,AKT!$C$4:$E$324,3,FALSE)</f>
        <v>0942</v>
      </c>
    </row>
    <row r="841" spans="30:33">
      <c r="AD841" s="72" t="s">
        <v>3217</v>
      </c>
      <c r="AE841" s="72" t="s">
        <v>3218</v>
      </c>
      <c r="AF841" s="72" t="str">
        <f t="shared" si="82"/>
        <v>A679078</v>
      </c>
      <c r="AG841" s="72" t="str">
        <f>VLOOKUP(AF841,AKT!$C$4:$E$324,3,FALSE)</f>
        <v>0942</v>
      </c>
    </row>
    <row r="842" spans="30:33">
      <c r="AD842" s="72" t="s">
        <v>3219</v>
      </c>
      <c r="AE842" s="72" t="s">
        <v>3220</v>
      </c>
      <c r="AF842" s="72" t="str">
        <f t="shared" si="82"/>
        <v>A679078</v>
      </c>
      <c r="AG842" s="72" t="str">
        <f>VLOOKUP(AF842,AKT!$C$4:$E$324,3,FALSE)</f>
        <v>0942</v>
      </c>
    </row>
    <row r="843" spans="30:33">
      <c r="AD843" s="72" t="s">
        <v>3221</v>
      </c>
      <c r="AE843" s="72" t="s">
        <v>3222</v>
      </c>
      <c r="AF843" s="72" t="str">
        <f t="shared" si="82"/>
        <v>A679078</v>
      </c>
      <c r="AG843" s="72" t="str">
        <f>VLOOKUP(AF843,AKT!$C$4:$E$324,3,FALSE)</f>
        <v>0942</v>
      </c>
    </row>
    <row r="844" spans="30:33">
      <c r="AD844" s="72" t="s">
        <v>3223</v>
      </c>
      <c r="AE844" s="72" t="s">
        <v>3224</v>
      </c>
      <c r="AF844" s="72" t="str">
        <f t="shared" si="82"/>
        <v>A679078</v>
      </c>
      <c r="AG844" s="72" t="str">
        <f>VLOOKUP(AF844,AKT!$C$4:$E$324,3,FALSE)</f>
        <v>0942</v>
      </c>
    </row>
    <row r="845" spans="30:33">
      <c r="AD845" s="72" t="s">
        <v>3225</v>
      </c>
      <c r="AE845" s="72" t="s">
        <v>3226</v>
      </c>
      <c r="AF845" s="72" t="str">
        <f t="shared" si="82"/>
        <v>A679078</v>
      </c>
      <c r="AG845" s="72" t="str">
        <f>VLOOKUP(AF845,AKT!$C$4:$E$324,3,FALSE)</f>
        <v>0942</v>
      </c>
    </row>
    <row r="846" spans="30:33">
      <c r="AD846" s="72" t="s">
        <v>3227</v>
      </c>
      <c r="AE846" s="72" t="s">
        <v>3228</v>
      </c>
      <c r="AF846" s="72" t="str">
        <f t="shared" si="82"/>
        <v>A679078</v>
      </c>
      <c r="AG846" s="72" t="str">
        <f>VLOOKUP(AF846,AKT!$C$4:$E$324,3,FALSE)</f>
        <v>0942</v>
      </c>
    </row>
    <row r="847" spans="30:33">
      <c r="AD847" s="72" t="s">
        <v>3229</v>
      </c>
      <c r="AE847" s="72" t="s">
        <v>3230</v>
      </c>
      <c r="AF847" s="72" t="str">
        <f t="shared" si="82"/>
        <v>A679078</v>
      </c>
      <c r="AG847" s="72" t="str">
        <f>VLOOKUP(AF847,AKT!$C$4:$E$324,3,FALSE)</f>
        <v>0942</v>
      </c>
    </row>
    <row r="848" spans="30:33">
      <c r="AD848" s="72" t="s">
        <v>3231</v>
      </c>
      <c r="AE848" s="72" t="s">
        <v>2808</v>
      </c>
      <c r="AF848" s="72" t="str">
        <f t="shared" si="82"/>
        <v>A679078</v>
      </c>
      <c r="AG848" s="72" t="str">
        <f>VLOOKUP(AF848,AKT!$C$4:$E$324,3,FALSE)</f>
        <v>0942</v>
      </c>
    </row>
    <row r="849" spans="30:33">
      <c r="AD849" s="72" t="s">
        <v>3232</v>
      </c>
      <c r="AE849" s="72" t="s">
        <v>3126</v>
      </c>
      <c r="AF849" s="72" t="str">
        <f t="shared" si="82"/>
        <v>A679078</v>
      </c>
      <c r="AG849" s="72" t="str">
        <f>VLOOKUP(AF849,AKT!$C$4:$E$324,3,FALSE)</f>
        <v>0942</v>
      </c>
    </row>
    <row r="850" spans="30:33">
      <c r="AD850" s="72" t="s">
        <v>3233</v>
      </c>
      <c r="AE850" s="72" t="s">
        <v>3234</v>
      </c>
      <c r="AF850" s="72" t="str">
        <f t="shared" si="82"/>
        <v>A679078</v>
      </c>
      <c r="AG850" s="72" t="str">
        <f>VLOOKUP(AF850,AKT!$C$4:$E$324,3,FALSE)</f>
        <v>0942</v>
      </c>
    </row>
    <row r="851" spans="30:33">
      <c r="AD851" s="72" t="s">
        <v>3235</v>
      </c>
      <c r="AE851" s="72" t="s">
        <v>3236</v>
      </c>
      <c r="AF851" s="72" t="str">
        <f t="shared" ref="AF851:AF914" si="83">LEFT(AD851,7)</f>
        <v>A679078</v>
      </c>
      <c r="AG851" s="72" t="str">
        <f>VLOOKUP(AF851,AKT!$C$4:$E$324,3,FALSE)</f>
        <v>0942</v>
      </c>
    </row>
    <row r="852" spans="30:33">
      <c r="AD852" s="72" t="s">
        <v>3237</v>
      </c>
      <c r="AE852" s="72" t="s">
        <v>3238</v>
      </c>
      <c r="AF852" s="72" t="str">
        <f t="shared" si="83"/>
        <v>A679078</v>
      </c>
      <c r="AG852" s="72" t="str">
        <f>VLOOKUP(AF852,AKT!$C$4:$E$324,3,FALSE)</f>
        <v>0942</v>
      </c>
    </row>
    <row r="853" spans="30:33">
      <c r="AD853" s="72" t="s">
        <v>3239</v>
      </c>
      <c r="AE853" s="72" t="s">
        <v>3240</v>
      </c>
      <c r="AF853" s="72" t="str">
        <f t="shared" si="83"/>
        <v>A679078</v>
      </c>
      <c r="AG853" s="72" t="str">
        <f>VLOOKUP(AF853,AKT!$C$4:$E$324,3,FALSE)</f>
        <v>0942</v>
      </c>
    </row>
    <row r="854" spans="30:33">
      <c r="AD854" s="72" t="s">
        <v>3241</v>
      </c>
      <c r="AE854" s="72" t="s">
        <v>3242</v>
      </c>
      <c r="AF854" s="72" t="str">
        <f t="shared" si="83"/>
        <v>A679078</v>
      </c>
      <c r="AG854" s="72" t="str">
        <f>VLOOKUP(AF854,AKT!$C$4:$E$324,3,FALSE)</f>
        <v>0942</v>
      </c>
    </row>
    <row r="855" spans="30:33">
      <c r="AD855" s="72" t="s">
        <v>3243</v>
      </c>
      <c r="AE855" s="72" t="s">
        <v>3244</v>
      </c>
      <c r="AF855" s="72" t="str">
        <f t="shared" si="83"/>
        <v>A679078</v>
      </c>
      <c r="AG855" s="72" t="str">
        <f>VLOOKUP(AF855,AKT!$C$4:$E$324,3,FALSE)</f>
        <v>0942</v>
      </c>
    </row>
    <row r="856" spans="30:33">
      <c r="AD856" s="72" t="s">
        <v>3245</v>
      </c>
      <c r="AE856" s="72" t="s">
        <v>2479</v>
      </c>
      <c r="AF856" s="72" t="str">
        <f t="shared" si="83"/>
        <v>A679078</v>
      </c>
      <c r="AG856" s="72" t="str">
        <f>VLOOKUP(AF856,AKT!$C$4:$E$324,3,FALSE)</f>
        <v>0942</v>
      </c>
    </row>
    <row r="857" spans="30:33">
      <c r="AD857" s="72" t="s">
        <v>3246</v>
      </c>
      <c r="AE857" s="72" t="s">
        <v>3247</v>
      </c>
      <c r="AF857" s="72" t="str">
        <f t="shared" si="83"/>
        <v>A679078</v>
      </c>
      <c r="AG857" s="72" t="str">
        <f>VLOOKUP(AF857,AKT!$C$4:$E$324,3,FALSE)</f>
        <v>0942</v>
      </c>
    </row>
    <row r="858" spans="30:33">
      <c r="AD858" s="72" t="s">
        <v>3248</v>
      </c>
      <c r="AE858" s="72" t="s">
        <v>3249</v>
      </c>
      <c r="AF858" s="72" t="str">
        <f t="shared" si="83"/>
        <v>A679078</v>
      </c>
      <c r="AG858" s="72" t="str">
        <f>VLOOKUP(AF858,AKT!$C$4:$E$324,3,FALSE)</f>
        <v>0942</v>
      </c>
    </row>
    <row r="859" spans="30:33">
      <c r="AD859" s="72" t="s">
        <v>3250</v>
      </c>
      <c r="AE859" s="72" t="s">
        <v>3251</v>
      </c>
      <c r="AF859" s="72" t="str">
        <f t="shared" si="83"/>
        <v>A679078</v>
      </c>
      <c r="AG859" s="72" t="str">
        <f>VLOOKUP(AF859,AKT!$C$4:$E$324,3,FALSE)</f>
        <v>0942</v>
      </c>
    </row>
    <row r="860" spans="30:33">
      <c r="AD860" s="72" t="s">
        <v>3252</v>
      </c>
      <c r="AE860" s="72" t="s">
        <v>3253</v>
      </c>
      <c r="AF860" s="72" t="str">
        <f t="shared" si="83"/>
        <v>A679078</v>
      </c>
      <c r="AG860" s="72" t="str">
        <f>VLOOKUP(AF860,AKT!$C$4:$E$324,3,FALSE)</f>
        <v>0942</v>
      </c>
    </row>
    <row r="861" spans="30:33">
      <c r="AD861" s="72" t="s">
        <v>3254</v>
      </c>
      <c r="AE861" s="72" t="s">
        <v>3255</v>
      </c>
      <c r="AF861" s="72" t="str">
        <f t="shared" si="83"/>
        <v>A679078</v>
      </c>
      <c r="AG861" s="72" t="str">
        <f>VLOOKUP(AF861,AKT!$C$4:$E$324,3,FALSE)</f>
        <v>0942</v>
      </c>
    </row>
    <row r="862" spans="30:33">
      <c r="AD862" s="72" t="s">
        <v>3256</v>
      </c>
      <c r="AE862" s="72" t="s">
        <v>3257</v>
      </c>
      <c r="AF862" s="72" t="str">
        <f t="shared" si="83"/>
        <v>A679078</v>
      </c>
      <c r="AG862" s="72" t="str">
        <f>VLOOKUP(AF862,AKT!$C$4:$E$324,3,FALSE)</f>
        <v>0942</v>
      </c>
    </row>
    <row r="863" spans="30:33">
      <c r="AD863" s="72" t="s">
        <v>3258</v>
      </c>
      <c r="AE863" s="72" t="s">
        <v>3259</v>
      </c>
      <c r="AF863" s="72" t="str">
        <f t="shared" si="83"/>
        <v>A679078</v>
      </c>
      <c r="AG863" s="72" t="str">
        <f>VLOOKUP(AF863,AKT!$C$4:$E$324,3,FALSE)</f>
        <v>0942</v>
      </c>
    </row>
    <row r="864" spans="30:33">
      <c r="AD864" s="72" t="s">
        <v>3260</v>
      </c>
      <c r="AE864" s="72" t="s">
        <v>3261</v>
      </c>
      <c r="AF864" s="72" t="str">
        <f t="shared" si="83"/>
        <v>A679078</v>
      </c>
      <c r="AG864" s="72" t="str">
        <f>VLOOKUP(AF864,AKT!$C$4:$E$324,3,FALSE)</f>
        <v>0942</v>
      </c>
    </row>
    <row r="865" spans="30:33">
      <c r="AD865" s="72" t="s">
        <v>3262</v>
      </c>
      <c r="AE865" s="72" t="s">
        <v>3263</v>
      </c>
      <c r="AF865" s="72" t="str">
        <f t="shared" si="83"/>
        <v>A679078</v>
      </c>
      <c r="AG865" s="72" t="str">
        <f>VLOOKUP(AF865,AKT!$C$4:$E$324,3,FALSE)</f>
        <v>0942</v>
      </c>
    </row>
    <row r="866" spans="30:33">
      <c r="AD866" s="72" t="s">
        <v>3264</v>
      </c>
      <c r="AE866" s="72" t="s">
        <v>3265</v>
      </c>
      <c r="AF866" s="72" t="str">
        <f t="shared" si="83"/>
        <v>A679078</v>
      </c>
      <c r="AG866" s="72" t="str">
        <f>VLOOKUP(AF866,AKT!$C$4:$E$324,3,FALSE)</f>
        <v>0942</v>
      </c>
    </row>
    <row r="867" spans="30:33">
      <c r="AD867" s="72" t="s">
        <v>3266</v>
      </c>
      <c r="AE867" s="72" t="s">
        <v>3267</v>
      </c>
      <c r="AF867" s="72" t="str">
        <f t="shared" si="83"/>
        <v>A679078</v>
      </c>
      <c r="AG867" s="72" t="str">
        <f>VLOOKUP(AF867,AKT!$C$4:$E$324,3,FALSE)</f>
        <v>0942</v>
      </c>
    </row>
    <row r="868" spans="30:33">
      <c r="AD868" s="72" t="s">
        <v>3268</v>
      </c>
      <c r="AE868" s="72" t="s">
        <v>3269</v>
      </c>
      <c r="AF868" s="72" t="str">
        <f t="shared" si="83"/>
        <v>A679078</v>
      </c>
      <c r="AG868" s="72" t="str">
        <f>VLOOKUP(AF868,AKT!$C$4:$E$324,3,FALSE)</f>
        <v>0942</v>
      </c>
    </row>
    <row r="869" spans="30:33">
      <c r="AD869" s="72" t="s">
        <v>3270</v>
      </c>
      <c r="AE869" s="72" t="s">
        <v>3271</v>
      </c>
      <c r="AF869" s="72" t="str">
        <f t="shared" si="83"/>
        <v>A679078</v>
      </c>
      <c r="AG869" s="72" t="str">
        <f>VLOOKUP(AF869,AKT!$C$4:$E$324,3,FALSE)</f>
        <v>0942</v>
      </c>
    </row>
    <row r="870" spans="30:33">
      <c r="AD870" s="72" t="s">
        <v>3272</v>
      </c>
      <c r="AE870" s="72" t="s">
        <v>3273</v>
      </c>
      <c r="AF870" s="72" t="str">
        <f t="shared" si="83"/>
        <v>A679078</v>
      </c>
      <c r="AG870" s="72" t="str">
        <f>VLOOKUP(AF870,AKT!$C$4:$E$324,3,FALSE)</f>
        <v>0942</v>
      </c>
    </row>
    <row r="871" spans="30:33">
      <c r="AD871" s="72" t="s">
        <v>3274</v>
      </c>
      <c r="AE871" s="72" t="s">
        <v>3275</v>
      </c>
      <c r="AF871" s="72" t="str">
        <f t="shared" si="83"/>
        <v>A679078</v>
      </c>
      <c r="AG871" s="72" t="str">
        <f>VLOOKUP(AF871,AKT!$C$4:$E$324,3,FALSE)</f>
        <v>0942</v>
      </c>
    </row>
    <row r="872" spans="30:33">
      <c r="AD872" s="72" t="s">
        <v>3276</v>
      </c>
      <c r="AE872" s="72" t="s">
        <v>3277</v>
      </c>
      <c r="AF872" s="72" t="str">
        <f t="shared" si="83"/>
        <v>A679078</v>
      </c>
      <c r="AG872" s="72" t="str">
        <f>VLOOKUP(AF872,AKT!$C$4:$E$324,3,FALSE)</f>
        <v>0942</v>
      </c>
    </row>
    <row r="873" spans="30:33">
      <c r="AD873" s="72" t="s">
        <v>3278</v>
      </c>
      <c r="AE873" s="72" t="s">
        <v>3279</v>
      </c>
      <c r="AF873" s="72" t="str">
        <f t="shared" si="83"/>
        <v>A679078</v>
      </c>
      <c r="AG873" s="72" t="str">
        <f>VLOOKUP(AF873,AKT!$C$4:$E$324,3,FALSE)</f>
        <v>0942</v>
      </c>
    </row>
    <row r="874" spans="30:33">
      <c r="AD874" s="72" t="s">
        <v>3280</v>
      </c>
      <c r="AE874" s="72" t="s">
        <v>3281</v>
      </c>
      <c r="AF874" s="72" t="str">
        <f t="shared" si="83"/>
        <v>A679078</v>
      </c>
      <c r="AG874" s="72" t="str">
        <f>VLOOKUP(AF874,AKT!$C$4:$E$324,3,FALSE)</f>
        <v>0942</v>
      </c>
    </row>
    <row r="875" spans="30:33">
      <c r="AD875" s="72" t="s">
        <v>3282</v>
      </c>
      <c r="AE875" s="72" t="s">
        <v>3283</v>
      </c>
      <c r="AF875" s="72" t="str">
        <f t="shared" si="83"/>
        <v>A679078</v>
      </c>
      <c r="AG875" s="72" t="str">
        <f>VLOOKUP(AF875,AKT!$C$4:$E$324,3,FALSE)</f>
        <v>0942</v>
      </c>
    </row>
    <row r="876" spans="30:33">
      <c r="AD876" s="72" t="s">
        <v>3284</v>
      </c>
      <c r="AE876" s="72" t="s">
        <v>3285</v>
      </c>
      <c r="AF876" s="72" t="str">
        <f t="shared" si="83"/>
        <v>A679078</v>
      </c>
      <c r="AG876" s="72" t="str">
        <f>VLOOKUP(AF876,AKT!$C$4:$E$324,3,FALSE)</f>
        <v>0942</v>
      </c>
    </row>
    <row r="877" spans="30:33">
      <c r="AD877" s="72" t="s">
        <v>3286</v>
      </c>
      <c r="AE877" s="72" t="s">
        <v>3287</v>
      </c>
      <c r="AF877" s="72" t="str">
        <f t="shared" si="83"/>
        <v>A679078</v>
      </c>
      <c r="AG877" s="72" t="str">
        <f>VLOOKUP(AF877,AKT!$C$4:$E$324,3,FALSE)</f>
        <v>0942</v>
      </c>
    </row>
    <row r="878" spans="30:33">
      <c r="AD878" s="72" t="s">
        <v>3288</v>
      </c>
      <c r="AE878" s="72" t="s">
        <v>3289</v>
      </c>
      <c r="AF878" s="72" t="str">
        <f t="shared" si="83"/>
        <v>A679078</v>
      </c>
      <c r="AG878" s="72" t="str">
        <f>VLOOKUP(AF878,AKT!$C$4:$E$324,3,FALSE)</f>
        <v>0942</v>
      </c>
    </row>
    <row r="879" spans="30:33">
      <c r="AD879" s="72" t="s">
        <v>3290</v>
      </c>
      <c r="AE879" s="72" t="s">
        <v>3291</v>
      </c>
      <c r="AF879" s="72" t="str">
        <f t="shared" si="83"/>
        <v>A679078</v>
      </c>
      <c r="AG879" s="72" t="str">
        <f>VLOOKUP(AF879,AKT!$C$4:$E$324,3,FALSE)</f>
        <v>0942</v>
      </c>
    </row>
    <row r="880" spans="30:33">
      <c r="AD880" s="72" t="s">
        <v>3292</v>
      </c>
      <c r="AE880" s="72" t="s">
        <v>3293</v>
      </c>
      <c r="AF880" s="72" t="str">
        <f t="shared" si="83"/>
        <v>A679078</v>
      </c>
      <c r="AG880" s="72" t="str">
        <f>VLOOKUP(AF880,AKT!$C$4:$E$324,3,FALSE)</f>
        <v>0942</v>
      </c>
    </row>
    <row r="881" spans="30:33">
      <c r="AD881" s="72" t="s">
        <v>3294</v>
      </c>
      <c r="AE881" s="72" t="s">
        <v>3295</v>
      </c>
      <c r="AF881" s="72" t="str">
        <f t="shared" si="83"/>
        <v>A679078</v>
      </c>
      <c r="AG881" s="72" t="str">
        <f>VLOOKUP(AF881,AKT!$C$4:$E$324,3,FALSE)</f>
        <v>0942</v>
      </c>
    </row>
    <row r="882" spans="30:33">
      <c r="AD882" s="72" t="s">
        <v>3296</v>
      </c>
      <c r="AE882" s="72" t="s">
        <v>3297</v>
      </c>
      <c r="AF882" s="72" t="str">
        <f t="shared" si="83"/>
        <v>A679078</v>
      </c>
      <c r="AG882" s="72" t="str">
        <f>VLOOKUP(AF882,AKT!$C$4:$E$324,3,FALSE)</f>
        <v>0942</v>
      </c>
    </row>
    <row r="883" spans="30:33">
      <c r="AD883" s="72" t="s">
        <v>3298</v>
      </c>
      <c r="AE883" s="72" t="s">
        <v>3299</v>
      </c>
      <c r="AF883" s="72" t="str">
        <f t="shared" si="83"/>
        <v>A679078</v>
      </c>
      <c r="AG883" s="72" t="str">
        <f>VLOOKUP(AF883,AKT!$C$4:$E$324,3,FALSE)</f>
        <v>0942</v>
      </c>
    </row>
    <row r="884" spans="30:33">
      <c r="AD884" s="72" t="s">
        <v>3300</v>
      </c>
      <c r="AE884" s="72" t="s">
        <v>3301</v>
      </c>
      <c r="AF884" s="72" t="str">
        <f t="shared" si="83"/>
        <v>A679078</v>
      </c>
      <c r="AG884" s="72" t="str">
        <f>VLOOKUP(AF884,AKT!$C$4:$E$324,3,FALSE)</f>
        <v>0942</v>
      </c>
    </row>
    <row r="885" spans="30:33">
      <c r="AD885" s="72" t="s">
        <v>3302</v>
      </c>
      <c r="AE885" s="72" t="s">
        <v>3303</v>
      </c>
      <c r="AF885" s="72" t="str">
        <f t="shared" si="83"/>
        <v>A679078</v>
      </c>
      <c r="AG885" s="72" t="str">
        <f>VLOOKUP(AF885,AKT!$C$4:$E$324,3,FALSE)</f>
        <v>0942</v>
      </c>
    </row>
    <row r="886" spans="30:33">
      <c r="AD886" s="72" t="s">
        <v>3304</v>
      </c>
      <c r="AE886" s="72" t="s">
        <v>3305</v>
      </c>
      <c r="AF886" s="72" t="str">
        <f t="shared" si="83"/>
        <v>A679078</v>
      </c>
      <c r="AG886" s="72" t="str">
        <f>VLOOKUP(AF886,AKT!$C$4:$E$324,3,FALSE)</f>
        <v>0942</v>
      </c>
    </row>
    <row r="887" spans="30:33">
      <c r="AD887" s="72" t="s">
        <v>3306</v>
      </c>
      <c r="AE887" s="72" t="s">
        <v>3307</v>
      </c>
      <c r="AF887" s="72" t="str">
        <f t="shared" si="83"/>
        <v>A679078</v>
      </c>
      <c r="AG887" s="72" t="str">
        <f>VLOOKUP(AF887,AKT!$C$4:$E$324,3,FALSE)</f>
        <v>0942</v>
      </c>
    </row>
    <row r="888" spans="30:33">
      <c r="AD888" s="72" t="s">
        <v>3308</v>
      </c>
      <c r="AE888" s="72" t="s">
        <v>3309</v>
      </c>
      <c r="AF888" s="72" t="str">
        <f t="shared" si="83"/>
        <v>A679078</v>
      </c>
      <c r="AG888" s="72" t="str">
        <f>VLOOKUP(AF888,AKT!$C$4:$E$324,3,FALSE)</f>
        <v>0942</v>
      </c>
    </row>
    <row r="889" spans="30:33">
      <c r="AD889" s="72" t="s">
        <v>3310</v>
      </c>
      <c r="AE889" s="72" t="s">
        <v>3311</v>
      </c>
      <c r="AF889" s="72" t="str">
        <f t="shared" si="83"/>
        <v>A679078</v>
      </c>
      <c r="AG889" s="72" t="str">
        <f>VLOOKUP(AF889,AKT!$C$4:$E$324,3,FALSE)</f>
        <v>0942</v>
      </c>
    </row>
    <row r="890" spans="30:33">
      <c r="AD890" s="72" t="s">
        <v>3312</v>
      </c>
      <c r="AE890" s="72" t="s">
        <v>3313</v>
      </c>
      <c r="AF890" s="72" t="str">
        <f t="shared" si="83"/>
        <v>A679078</v>
      </c>
      <c r="AG890" s="72" t="str">
        <f>VLOOKUP(AF890,AKT!$C$4:$E$324,3,FALSE)</f>
        <v>0942</v>
      </c>
    </row>
    <row r="891" spans="30:33">
      <c r="AD891" s="72" t="s">
        <v>3314</v>
      </c>
      <c r="AE891" s="72" t="s">
        <v>3315</v>
      </c>
      <c r="AF891" s="72" t="str">
        <f t="shared" si="83"/>
        <v>A679078</v>
      </c>
      <c r="AG891" s="72" t="str">
        <f>VLOOKUP(AF891,AKT!$C$4:$E$324,3,FALSE)</f>
        <v>0942</v>
      </c>
    </row>
    <row r="892" spans="30:33">
      <c r="AD892" s="72" t="s">
        <v>3316</v>
      </c>
      <c r="AE892" s="72" t="s">
        <v>3317</v>
      </c>
      <c r="AF892" s="72" t="str">
        <f t="shared" si="83"/>
        <v>A679078</v>
      </c>
      <c r="AG892" s="72" t="str">
        <f>VLOOKUP(AF892,AKT!$C$4:$E$324,3,FALSE)</f>
        <v>0942</v>
      </c>
    </row>
    <row r="893" spans="30:33">
      <c r="AD893" s="72" t="s">
        <v>3318</v>
      </c>
      <c r="AE893" s="72" t="s">
        <v>3319</v>
      </c>
      <c r="AF893" s="72" t="str">
        <f t="shared" si="83"/>
        <v>A679078</v>
      </c>
      <c r="AG893" s="72" t="str">
        <f>VLOOKUP(AF893,AKT!$C$4:$E$324,3,FALSE)</f>
        <v>0942</v>
      </c>
    </row>
    <row r="894" spans="30:33">
      <c r="AD894" s="72" t="s">
        <v>3320</v>
      </c>
      <c r="AE894" s="72" t="s">
        <v>3321</v>
      </c>
      <c r="AF894" s="72" t="str">
        <f t="shared" si="83"/>
        <v>A679078</v>
      </c>
      <c r="AG894" s="72" t="str">
        <f>VLOOKUP(AF894,AKT!$C$4:$E$324,3,FALSE)</f>
        <v>0942</v>
      </c>
    </row>
    <row r="895" spans="30:33">
      <c r="AD895" s="72" t="s">
        <v>3322</v>
      </c>
      <c r="AE895" s="72" t="s">
        <v>3323</v>
      </c>
      <c r="AF895" s="72" t="str">
        <f t="shared" si="83"/>
        <v>A679078</v>
      </c>
      <c r="AG895" s="72" t="str">
        <f>VLOOKUP(AF895,AKT!$C$4:$E$324,3,FALSE)</f>
        <v>0942</v>
      </c>
    </row>
    <row r="896" spans="30:33">
      <c r="AD896" s="72" t="s">
        <v>3324</v>
      </c>
      <c r="AE896" s="72" t="s">
        <v>3325</v>
      </c>
      <c r="AF896" s="72" t="str">
        <f t="shared" si="83"/>
        <v>A679078</v>
      </c>
      <c r="AG896" s="72" t="str">
        <f>VLOOKUP(AF896,AKT!$C$4:$E$324,3,FALSE)</f>
        <v>0942</v>
      </c>
    </row>
    <row r="897" spans="30:33">
      <c r="AD897" s="72" t="s">
        <v>3326</v>
      </c>
      <c r="AE897" s="72" t="s">
        <v>3327</v>
      </c>
      <c r="AF897" s="72" t="str">
        <f t="shared" si="83"/>
        <v>A679078</v>
      </c>
      <c r="AG897" s="72" t="str">
        <f>VLOOKUP(AF897,AKT!$C$4:$E$324,3,FALSE)</f>
        <v>0942</v>
      </c>
    </row>
    <row r="898" spans="30:33">
      <c r="AD898" s="72" t="s">
        <v>3328</v>
      </c>
      <c r="AE898" s="72" t="s">
        <v>3329</v>
      </c>
      <c r="AF898" s="72" t="str">
        <f t="shared" si="83"/>
        <v>A679078</v>
      </c>
      <c r="AG898" s="72" t="str">
        <f>VLOOKUP(AF898,AKT!$C$4:$E$324,3,FALSE)</f>
        <v>0942</v>
      </c>
    </row>
    <row r="899" spans="30:33">
      <c r="AD899" s="72" t="s">
        <v>3330</v>
      </c>
      <c r="AE899" s="72" t="s">
        <v>3331</v>
      </c>
      <c r="AF899" s="72" t="str">
        <f t="shared" si="83"/>
        <v>A679078</v>
      </c>
      <c r="AG899" s="72" t="str">
        <f>VLOOKUP(AF899,AKT!$C$4:$E$324,3,FALSE)</f>
        <v>0942</v>
      </c>
    </row>
    <row r="900" spans="30:33">
      <c r="AD900" s="72" t="s">
        <v>3332</v>
      </c>
      <c r="AE900" s="72" t="s">
        <v>3333</v>
      </c>
      <c r="AF900" s="72" t="str">
        <f t="shared" si="83"/>
        <v>A679078</v>
      </c>
      <c r="AG900" s="72" t="str">
        <f>VLOOKUP(AF900,AKT!$C$4:$E$324,3,FALSE)</f>
        <v>0942</v>
      </c>
    </row>
    <row r="901" spans="30:33">
      <c r="AD901" s="72" t="s">
        <v>3334</v>
      </c>
      <c r="AE901" s="72" t="s">
        <v>3335</v>
      </c>
      <c r="AF901" s="72" t="str">
        <f t="shared" si="83"/>
        <v>A679078</v>
      </c>
      <c r="AG901" s="72" t="str">
        <f>VLOOKUP(AF901,AKT!$C$4:$E$324,3,FALSE)</f>
        <v>0942</v>
      </c>
    </row>
    <row r="902" spans="30:33">
      <c r="AD902" s="72" t="s">
        <v>3336</v>
      </c>
      <c r="AE902" s="72" t="s">
        <v>3337</v>
      </c>
      <c r="AF902" s="72" t="str">
        <f t="shared" si="83"/>
        <v>A679078</v>
      </c>
      <c r="AG902" s="72" t="str">
        <f>VLOOKUP(AF902,AKT!$C$4:$E$324,3,FALSE)</f>
        <v>0942</v>
      </c>
    </row>
    <row r="903" spans="30:33">
      <c r="AD903" s="72" t="s">
        <v>3338</v>
      </c>
      <c r="AE903" s="72" t="s">
        <v>3339</v>
      </c>
      <c r="AF903" s="72" t="str">
        <f t="shared" si="83"/>
        <v>A679078</v>
      </c>
      <c r="AG903" s="72" t="str">
        <f>VLOOKUP(AF903,AKT!$C$4:$E$324,3,FALSE)</f>
        <v>0942</v>
      </c>
    </row>
    <row r="904" spans="30:33">
      <c r="AD904" s="72" t="s">
        <v>3340</v>
      </c>
      <c r="AE904" s="72" t="s">
        <v>3341</v>
      </c>
      <c r="AF904" s="72" t="str">
        <f t="shared" si="83"/>
        <v>A679078</v>
      </c>
      <c r="AG904" s="72" t="str">
        <f>VLOOKUP(AF904,AKT!$C$4:$E$324,3,FALSE)</f>
        <v>0942</v>
      </c>
    </row>
    <row r="905" spans="30:33">
      <c r="AD905" s="72" t="s">
        <v>3342</v>
      </c>
      <c r="AE905" s="72" t="s">
        <v>3343</v>
      </c>
      <c r="AF905" s="72" t="str">
        <f t="shared" si="83"/>
        <v>A679078</v>
      </c>
      <c r="AG905" s="72" t="str">
        <f>VLOOKUP(AF905,AKT!$C$4:$E$324,3,FALSE)</f>
        <v>0942</v>
      </c>
    </row>
    <row r="906" spans="30:33">
      <c r="AD906" s="72" t="s">
        <v>3344</v>
      </c>
      <c r="AE906" s="72" t="s">
        <v>3345</v>
      </c>
      <c r="AF906" s="72" t="str">
        <f t="shared" si="83"/>
        <v>A679078</v>
      </c>
      <c r="AG906" s="72" t="str">
        <f>VLOOKUP(AF906,AKT!$C$4:$E$324,3,FALSE)</f>
        <v>0942</v>
      </c>
    </row>
    <row r="907" spans="30:33">
      <c r="AD907" s="72" t="s">
        <v>3346</v>
      </c>
      <c r="AE907" s="72" t="s">
        <v>3347</v>
      </c>
      <c r="AF907" s="72" t="str">
        <f t="shared" si="83"/>
        <v>A679078</v>
      </c>
      <c r="AG907" s="72" t="str">
        <f>VLOOKUP(AF907,AKT!$C$4:$E$324,3,FALSE)</f>
        <v>0942</v>
      </c>
    </row>
    <row r="908" spans="30:33">
      <c r="AD908" s="72" t="s">
        <v>3348</v>
      </c>
      <c r="AE908" s="72" t="s">
        <v>3349</v>
      </c>
      <c r="AF908" s="72" t="str">
        <f t="shared" si="83"/>
        <v>A679078</v>
      </c>
      <c r="AG908" s="72" t="str">
        <f>VLOOKUP(AF908,AKT!$C$4:$E$324,3,FALSE)</f>
        <v>0942</v>
      </c>
    </row>
    <row r="909" spans="30:33">
      <c r="AD909" s="72" t="s">
        <v>3350</v>
      </c>
      <c r="AE909" s="72" t="s">
        <v>3351</v>
      </c>
      <c r="AF909" s="72" t="str">
        <f t="shared" si="83"/>
        <v>A679078</v>
      </c>
      <c r="AG909" s="72" t="str">
        <f>VLOOKUP(AF909,AKT!$C$4:$E$324,3,FALSE)</f>
        <v>0942</v>
      </c>
    </row>
    <row r="910" spans="30:33">
      <c r="AD910" s="72" t="s">
        <v>3352</v>
      </c>
      <c r="AE910" s="72" t="s">
        <v>3353</v>
      </c>
      <c r="AF910" s="72" t="str">
        <f t="shared" si="83"/>
        <v>A679078</v>
      </c>
      <c r="AG910" s="72" t="str">
        <f>VLOOKUP(AF910,AKT!$C$4:$E$324,3,FALSE)</f>
        <v>0942</v>
      </c>
    </row>
    <row r="911" spans="30:33">
      <c r="AD911" s="72" t="s">
        <v>3354</v>
      </c>
      <c r="AE911" s="72" t="s">
        <v>3355</v>
      </c>
      <c r="AF911" s="72" t="str">
        <f t="shared" si="83"/>
        <v>A679078</v>
      </c>
      <c r="AG911" s="72" t="str">
        <f>VLOOKUP(AF911,AKT!$C$4:$E$324,3,FALSE)</f>
        <v>0942</v>
      </c>
    </row>
    <row r="912" spans="30:33">
      <c r="AD912" s="72" t="s">
        <v>3356</v>
      </c>
      <c r="AE912" s="72" t="s">
        <v>3357</v>
      </c>
      <c r="AF912" s="72" t="str">
        <f t="shared" si="83"/>
        <v>A679078</v>
      </c>
      <c r="AG912" s="72" t="str">
        <f>VLOOKUP(AF912,AKT!$C$4:$E$324,3,FALSE)</f>
        <v>0942</v>
      </c>
    </row>
    <row r="913" spans="30:33">
      <c r="AD913" s="72" t="s">
        <v>3358</v>
      </c>
      <c r="AE913" s="72" t="s">
        <v>1274</v>
      </c>
      <c r="AF913" s="72" t="str">
        <f t="shared" si="83"/>
        <v>A679078</v>
      </c>
      <c r="AG913" s="72" t="str">
        <f>VLOOKUP(AF913,AKT!$C$4:$E$324,3,FALSE)</f>
        <v>0942</v>
      </c>
    </row>
    <row r="914" spans="30:33">
      <c r="AD914" s="72" t="s">
        <v>3359</v>
      </c>
      <c r="AE914" s="72" t="s">
        <v>2041</v>
      </c>
      <c r="AF914" s="72" t="str">
        <f t="shared" si="83"/>
        <v>A679078</v>
      </c>
      <c r="AG914" s="72" t="str">
        <f>VLOOKUP(AF914,AKT!$C$4:$E$324,3,FALSE)</f>
        <v>0942</v>
      </c>
    </row>
    <row r="915" spans="30:33">
      <c r="AD915" s="72" t="s">
        <v>3360</v>
      </c>
      <c r="AE915" s="72" t="s">
        <v>3361</v>
      </c>
      <c r="AF915" s="72" t="str">
        <f t="shared" ref="AF915:AF978" si="84">LEFT(AD915,7)</f>
        <v>A679078</v>
      </c>
      <c r="AG915" s="72" t="str">
        <f>VLOOKUP(AF915,AKT!$C$4:$E$324,3,FALSE)</f>
        <v>0942</v>
      </c>
    </row>
    <row r="916" spans="30:33">
      <c r="AD916" s="72" t="s">
        <v>3362</v>
      </c>
      <c r="AE916" s="72" t="s">
        <v>2924</v>
      </c>
      <c r="AF916" s="72" t="str">
        <f t="shared" si="84"/>
        <v>A679078</v>
      </c>
      <c r="AG916" s="72" t="str">
        <f>VLOOKUP(AF916,AKT!$C$4:$E$324,3,FALSE)</f>
        <v>0942</v>
      </c>
    </row>
    <row r="917" spans="30:33">
      <c r="AD917" s="72" t="s">
        <v>3363</v>
      </c>
      <c r="AE917" s="72" t="s">
        <v>1169</v>
      </c>
      <c r="AF917" s="72" t="str">
        <f t="shared" si="84"/>
        <v>A679078</v>
      </c>
      <c r="AG917" s="72" t="str">
        <f>VLOOKUP(AF917,AKT!$C$4:$E$324,3,FALSE)</f>
        <v>0942</v>
      </c>
    </row>
    <row r="918" spans="30:33">
      <c r="AD918" s="72" t="s">
        <v>3364</v>
      </c>
      <c r="AE918" s="72" t="s">
        <v>1264</v>
      </c>
      <c r="AF918" s="72" t="str">
        <f t="shared" si="84"/>
        <v>A679078</v>
      </c>
      <c r="AG918" s="72" t="str">
        <f>VLOOKUP(AF918,AKT!$C$4:$E$324,3,FALSE)</f>
        <v>0942</v>
      </c>
    </row>
    <row r="919" spans="30:33">
      <c r="AD919" s="72" t="s">
        <v>3365</v>
      </c>
      <c r="AE919" s="72" t="s">
        <v>3366</v>
      </c>
      <c r="AF919" s="72" t="str">
        <f t="shared" si="84"/>
        <v>A679078</v>
      </c>
      <c r="AG919" s="72" t="str">
        <f>VLOOKUP(AF919,AKT!$C$4:$E$324,3,FALSE)</f>
        <v>0942</v>
      </c>
    </row>
    <row r="920" spans="30:33">
      <c r="AD920" s="72" t="s">
        <v>3367</v>
      </c>
      <c r="AE920" s="72" t="s">
        <v>3368</v>
      </c>
      <c r="AF920" s="72" t="str">
        <f t="shared" si="84"/>
        <v>A679078</v>
      </c>
      <c r="AG920" s="72" t="str">
        <f>VLOOKUP(AF920,AKT!$C$4:$E$324,3,FALSE)</f>
        <v>0942</v>
      </c>
    </row>
    <row r="921" spans="30:33">
      <c r="AD921" s="72" t="s">
        <v>859</v>
      </c>
      <c r="AE921" s="72" t="s">
        <v>860</v>
      </c>
      <c r="AF921" s="72" t="str">
        <f t="shared" si="84"/>
        <v>A679081</v>
      </c>
      <c r="AG921" s="72" t="str">
        <f>VLOOKUP(AF921,AKT!$C$4:$E$324,3,FALSE)</f>
        <v>0942</v>
      </c>
    </row>
    <row r="922" spans="30:33">
      <c r="AD922" s="72" t="s">
        <v>3369</v>
      </c>
      <c r="AE922" s="72" t="s">
        <v>3370</v>
      </c>
      <c r="AF922" s="72" t="str">
        <f t="shared" si="84"/>
        <v>A679081</v>
      </c>
      <c r="AG922" s="72" t="str">
        <f>VLOOKUP(AF922,AKT!$C$4:$E$324,3,FALSE)</f>
        <v>0942</v>
      </c>
    </row>
    <row r="923" spans="30:33">
      <c r="AD923" s="72" t="s">
        <v>861</v>
      </c>
      <c r="AE923" s="72" t="s">
        <v>862</v>
      </c>
      <c r="AF923" s="72" t="str">
        <f t="shared" si="84"/>
        <v>A679081</v>
      </c>
      <c r="AG923" s="72" t="str">
        <f>VLOOKUP(AF923,AKT!$C$4:$E$324,3,FALSE)</f>
        <v>0942</v>
      </c>
    </row>
    <row r="924" spans="30:33">
      <c r="AD924" s="72" t="s">
        <v>863</v>
      </c>
      <c r="AE924" s="72" t="s">
        <v>864</v>
      </c>
      <c r="AF924" s="72" t="str">
        <f t="shared" si="84"/>
        <v>A679081</v>
      </c>
      <c r="AG924" s="72" t="str">
        <f>VLOOKUP(AF924,AKT!$C$4:$E$324,3,FALSE)</f>
        <v>0942</v>
      </c>
    </row>
    <row r="925" spans="30:33">
      <c r="AD925" s="72" t="s">
        <v>1565</v>
      </c>
      <c r="AE925" s="72" t="s">
        <v>1566</v>
      </c>
      <c r="AF925" s="72" t="str">
        <f t="shared" si="84"/>
        <v>A679081</v>
      </c>
      <c r="AG925" s="72" t="str">
        <f>VLOOKUP(AF925,AKT!$C$4:$E$324,3,FALSE)</f>
        <v>0942</v>
      </c>
    </row>
    <row r="926" spans="30:33">
      <c r="AD926" s="72" t="s">
        <v>3371</v>
      </c>
      <c r="AE926" s="72" t="s">
        <v>3372</v>
      </c>
      <c r="AF926" s="72" t="str">
        <f t="shared" si="84"/>
        <v>A679081</v>
      </c>
      <c r="AG926" s="72" t="str">
        <f>VLOOKUP(AF926,AKT!$C$4:$E$324,3,FALSE)</f>
        <v>0942</v>
      </c>
    </row>
    <row r="927" spans="30:33">
      <c r="AD927" s="72" t="s">
        <v>3373</v>
      </c>
      <c r="AE927" s="72" t="s">
        <v>3216</v>
      </c>
      <c r="AF927" s="72" t="str">
        <f t="shared" si="84"/>
        <v>A679081</v>
      </c>
      <c r="AG927" s="72" t="str">
        <f>VLOOKUP(AF927,AKT!$C$4:$E$324,3,FALSE)</f>
        <v>0942</v>
      </c>
    </row>
    <row r="928" spans="30:33">
      <c r="AD928" s="72" t="s">
        <v>3374</v>
      </c>
      <c r="AE928" s="72" t="s">
        <v>3375</v>
      </c>
      <c r="AF928" s="72" t="str">
        <f t="shared" si="84"/>
        <v>A679081</v>
      </c>
      <c r="AG928" s="72" t="str">
        <f>VLOOKUP(AF928,AKT!$C$4:$E$324,3,FALSE)</f>
        <v>0942</v>
      </c>
    </row>
    <row r="929" spans="30:33">
      <c r="AD929" s="72" t="s">
        <v>3376</v>
      </c>
      <c r="AE929" s="72" t="s">
        <v>3377</v>
      </c>
      <c r="AF929" s="72" t="str">
        <f t="shared" si="84"/>
        <v>A679081</v>
      </c>
      <c r="AG929" s="72" t="str">
        <f>VLOOKUP(AF929,AKT!$C$4:$E$324,3,FALSE)</f>
        <v>0942</v>
      </c>
    </row>
    <row r="930" spans="30:33">
      <c r="AD930" s="72" t="s">
        <v>3378</v>
      </c>
      <c r="AE930" s="72" t="s">
        <v>3379</v>
      </c>
      <c r="AF930" s="72" t="str">
        <f t="shared" si="84"/>
        <v>A679081</v>
      </c>
      <c r="AG930" s="72" t="str">
        <f>VLOOKUP(AF930,AKT!$C$4:$E$324,3,FALSE)</f>
        <v>0942</v>
      </c>
    </row>
    <row r="931" spans="30:33">
      <c r="AD931" s="72" t="s">
        <v>3380</v>
      </c>
      <c r="AE931" s="72" t="s">
        <v>3381</v>
      </c>
      <c r="AF931" s="72" t="str">
        <f t="shared" si="84"/>
        <v>A679081</v>
      </c>
      <c r="AG931" s="72" t="str">
        <f>VLOOKUP(AF931,AKT!$C$4:$E$324,3,FALSE)</f>
        <v>0942</v>
      </c>
    </row>
    <row r="932" spans="30:33">
      <c r="AD932" s="72" t="s">
        <v>2913</v>
      </c>
      <c r="AE932" s="72" t="s">
        <v>2914</v>
      </c>
      <c r="AF932" s="72" t="str">
        <f t="shared" si="84"/>
        <v>A679115</v>
      </c>
      <c r="AG932" s="72" t="str">
        <f>VLOOKUP(AF932,AKT!$C$4:$E$324,3,FALSE)</f>
        <v>0942</v>
      </c>
    </row>
    <row r="933" spans="30:33">
      <c r="AD933" s="72" t="s">
        <v>2915</v>
      </c>
      <c r="AE933" s="72" t="s">
        <v>2916</v>
      </c>
      <c r="AF933" s="72" t="str">
        <f t="shared" si="84"/>
        <v>A679115</v>
      </c>
      <c r="AG933" s="72" t="str">
        <f>VLOOKUP(AF933,AKT!$C$4:$E$324,3,FALSE)</f>
        <v>0942</v>
      </c>
    </row>
    <row r="934" spans="30:33">
      <c r="AD934" s="72" t="s">
        <v>2918</v>
      </c>
      <c r="AE934" s="72" t="s">
        <v>2917</v>
      </c>
      <c r="AF934" s="72" t="str">
        <f t="shared" si="84"/>
        <v>A679115</v>
      </c>
      <c r="AG934" s="72" t="str">
        <f>VLOOKUP(AF934,AKT!$C$4:$E$324,3,FALSE)</f>
        <v>0942</v>
      </c>
    </row>
    <row r="935" spans="30:33">
      <c r="AD935" s="72" t="s">
        <v>2919</v>
      </c>
      <c r="AE935" s="72" t="s">
        <v>2920</v>
      </c>
      <c r="AF935" s="72" t="str">
        <f t="shared" si="84"/>
        <v>A679115</v>
      </c>
      <c r="AG935" s="72" t="str">
        <f>VLOOKUP(AF935,AKT!$C$4:$E$324,3,FALSE)</f>
        <v>0942</v>
      </c>
    </row>
    <row r="936" spans="30:33">
      <c r="AD936" s="72" t="s">
        <v>2921</v>
      </c>
      <c r="AE936" s="72" t="s">
        <v>2922</v>
      </c>
      <c r="AF936" s="72" t="str">
        <f t="shared" si="84"/>
        <v>A679115</v>
      </c>
      <c r="AG936" s="72" t="str">
        <f>VLOOKUP(AF936,AKT!$C$4:$E$324,3,FALSE)</f>
        <v>0942</v>
      </c>
    </row>
    <row r="937" spans="30:33">
      <c r="AD937" s="72" t="s">
        <v>3382</v>
      </c>
      <c r="AE937" s="72" t="s">
        <v>3383</v>
      </c>
      <c r="AF937" s="72" t="str">
        <f t="shared" si="84"/>
        <v>A679115</v>
      </c>
      <c r="AG937" s="72" t="str">
        <f>VLOOKUP(AF937,AKT!$C$4:$E$324,3,FALSE)</f>
        <v>0942</v>
      </c>
    </row>
    <row r="938" spans="30:33">
      <c r="AD938" s="72" t="s">
        <v>3384</v>
      </c>
      <c r="AE938" s="72" t="s">
        <v>3385</v>
      </c>
      <c r="AF938" s="72" t="str">
        <f t="shared" si="84"/>
        <v>A679115</v>
      </c>
      <c r="AG938" s="72" t="str">
        <f>VLOOKUP(AF938,AKT!$C$4:$E$324,3,FALSE)</f>
        <v>0942</v>
      </c>
    </row>
    <row r="939" spans="30:33">
      <c r="AD939" s="72" t="s">
        <v>3386</v>
      </c>
      <c r="AE939" s="72" t="s">
        <v>3387</v>
      </c>
      <c r="AF939" s="72" t="str">
        <f t="shared" si="84"/>
        <v>A679115</v>
      </c>
      <c r="AG939" s="72" t="str">
        <f>VLOOKUP(AF939,AKT!$C$4:$E$324,3,FALSE)</f>
        <v>0942</v>
      </c>
    </row>
    <row r="940" spans="30:33">
      <c r="AD940" s="72" t="s">
        <v>865</v>
      </c>
      <c r="AE940" s="72" t="s">
        <v>257</v>
      </c>
      <c r="AF940" s="72" t="str">
        <f t="shared" si="84"/>
        <v>K679084</v>
      </c>
      <c r="AG940" s="72" t="str">
        <f>VLOOKUP(AF940,AKT!$C$4:$E$324,3,FALSE)</f>
        <v>0942</v>
      </c>
    </row>
    <row r="941" spans="30:33">
      <c r="AD941" s="72" t="s">
        <v>866</v>
      </c>
      <c r="AE941" s="72" t="s">
        <v>258</v>
      </c>
      <c r="AF941" s="72" t="str">
        <f t="shared" si="84"/>
        <v>K679084</v>
      </c>
      <c r="AG941" s="72" t="str">
        <f>VLOOKUP(AF941,AKT!$C$4:$E$324,3,FALSE)</f>
        <v>0942</v>
      </c>
    </row>
    <row r="942" spans="30:33">
      <c r="AD942" s="72" t="s">
        <v>867</v>
      </c>
      <c r="AE942" s="72" t="s">
        <v>868</v>
      </c>
      <c r="AF942" s="72" t="str">
        <f t="shared" si="84"/>
        <v>K679084</v>
      </c>
      <c r="AG942" s="72" t="str">
        <f>VLOOKUP(AF942,AKT!$C$4:$E$324,3,FALSE)</f>
        <v>0942</v>
      </c>
    </row>
    <row r="943" spans="30:33">
      <c r="AD943" s="72" t="s">
        <v>869</v>
      </c>
      <c r="AE943" s="72" t="s">
        <v>870</v>
      </c>
      <c r="AF943" s="72" t="str">
        <f t="shared" si="84"/>
        <v>K679084</v>
      </c>
      <c r="AG943" s="72" t="str">
        <f>VLOOKUP(AF943,AKT!$C$4:$E$324,3,FALSE)</f>
        <v>0942</v>
      </c>
    </row>
    <row r="944" spans="30:33">
      <c r="AD944" s="72" t="s">
        <v>1567</v>
      </c>
      <c r="AE944" s="72" t="s">
        <v>1171</v>
      </c>
      <c r="AF944" s="72" t="str">
        <f t="shared" si="84"/>
        <v>K679084</v>
      </c>
      <c r="AG944" s="72" t="str">
        <f>VLOOKUP(AF944,AKT!$C$4:$E$324,3,FALSE)</f>
        <v>0942</v>
      </c>
    </row>
    <row r="945" spans="30:33">
      <c r="AD945" s="72" t="s">
        <v>2923</v>
      </c>
      <c r="AE945" s="72" t="s">
        <v>2924</v>
      </c>
      <c r="AF945" s="72" t="str">
        <f t="shared" si="84"/>
        <v>K679084</v>
      </c>
      <c r="AG945" s="72" t="str">
        <f>VLOOKUP(AF945,AKT!$C$4:$E$324,3,FALSE)</f>
        <v>0942</v>
      </c>
    </row>
    <row r="946" spans="30:33">
      <c r="AD946" s="72" t="s">
        <v>2925</v>
      </c>
      <c r="AE946" s="72" t="s">
        <v>1178</v>
      </c>
      <c r="AF946" s="72" t="str">
        <f t="shared" si="84"/>
        <v>K679084</v>
      </c>
      <c r="AG946" s="72" t="str">
        <f>VLOOKUP(AF946,AKT!$C$4:$E$324,3,FALSE)</f>
        <v>0942</v>
      </c>
    </row>
    <row r="947" spans="30:33">
      <c r="AD947" s="72" t="s">
        <v>871</v>
      </c>
      <c r="AE947" s="72" t="s">
        <v>872</v>
      </c>
      <c r="AF947" s="72" t="str">
        <f t="shared" si="84"/>
        <v>K679106</v>
      </c>
      <c r="AG947" s="72" t="str">
        <f>VLOOKUP(AF947,AKT!$C$4:$E$324,3,FALSE)</f>
        <v>0942</v>
      </c>
    </row>
    <row r="948" spans="30:33">
      <c r="AD948" s="72" t="s">
        <v>873</v>
      </c>
      <c r="AE948" s="72" t="s">
        <v>874</v>
      </c>
      <c r="AF948" s="72" t="str">
        <f t="shared" si="84"/>
        <v>K679106</v>
      </c>
      <c r="AG948" s="72" t="str">
        <f>VLOOKUP(AF948,AKT!$C$4:$E$324,3,FALSE)</f>
        <v>0942</v>
      </c>
    </row>
    <row r="949" spans="30:33">
      <c r="AD949" s="72" t="s">
        <v>875</v>
      </c>
      <c r="AE949" s="72" t="s">
        <v>876</v>
      </c>
      <c r="AF949" s="72" t="str">
        <f t="shared" si="84"/>
        <v>K679106</v>
      </c>
      <c r="AG949" s="72" t="str">
        <f>VLOOKUP(AF949,AKT!$C$4:$E$324,3,FALSE)</f>
        <v>0942</v>
      </c>
    </row>
    <row r="950" spans="30:33">
      <c r="AD950" s="72" t="s">
        <v>2926</v>
      </c>
      <c r="AE950" s="72" t="s">
        <v>2927</v>
      </c>
      <c r="AF950" s="72" t="str">
        <f t="shared" si="84"/>
        <v>K679106</v>
      </c>
      <c r="AG950" s="72" t="str">
        <f>VLOOKUP(AF950,AKT!$C$4:$E$324,3,FALSE)</f>
        <v>0942</v>
      </c>
    </row>
    <row r="951" spans="30:33">
      <c r="AD951" s="72" t="s">
        <v>2928</v>
      </c>
      <c r="AE951" s="72" t="s">
        <v>2929</v>
      </c>
      <c r="AF951" s="72" t="str">
        <f t="shared" si="84"/>
        <v>K679106</v>
      </c>
      <c r="AG951" s="72" t="str">
        <f>VLOOKUP(AF951,AKT!$C$4:$E$324,3,FALSE)</f>
        <v>0942</v>
      </c>
    </row>
    <row r="952" spans="30:33">
      <c r="AD952" s="72" t="s">
        <v>877</v>
      </c>
      <c r="AE952" s="72" t="s">
        <v>878</v>
      </c>
      <c r="AF952" s="72" t="str">
        <f>LEFT(AD952,7)</f>
        <v>K679111</v>
      </c>
      <c r="AG952" s="72" t="str">
        <f>IFERROR(VLOOKUP(AF952,AKT!$C$4:$E$324,3,FALSE),"0942")</f>
        <v>0942</v>
      </c>
    </row>
    <row r="953" spans="30:33">
      <c r="AD953" s="72" t="s">
        <v>879</v>
      </c>
      <c r="AE953" s="72" t="s">
        <v>880</v>
      </c>
      <c r="AF953" s="72" t="str">
        <f t="shared" si="84"/>
        <v>A622125</v>
      </c>
      <c r="AG953" s="72" t="str">
        <f>VLOOKUP(AF953,AKT!$C$4:$E$324,3,FALSE)</f>
        <v>0150</v>
      </c>
    </row>
    <row r="954" spans="30:33">
      <c r="AD954" s="72" t="s">
        <v>3388</v>
      </c>
      <c r="AE954" s="72" t="s">
        <v>880</v>
      </c>
      <c r="AF954" s="72" t="str">
        <f t="shared" si="84"/>
        <v>A622125</v>
      </c>
      <c r="AG954" s="72" t="str">
        <f>VLOOKUP(AF954,AKT!$C$4:$E$324,3,FALSE)</f>
        <v>0150</v>
      </c>
    </row>
    <row r="955" spans="30:33">
      <c r="AD955" s="72" t="s">
        <v>881</v>
      </c>
      <c r="AE955" s="72" t="s">
        <v>882</v>
      </c>
      <c r="AF955" s="72" t="str">
        <f t="shared" si="84"/>
        <v>A622125</v>
      </c>
      <c r="AG955" s="72" t="str">
        <f>VLOOKUP(AF955,AKT!$C$4:$E$324,3,FALSE)</f>
        <v>0150</v>
      </c>
    </row>
    <row r="956" spans="30:33">
      <c r="AD956" s="72" t="s">
        <v>883</v>
      </c>
      <c r="AE956" s="72" t="s">
        <v>884</v>
      </c>
      <c r="AF956" s="72" t="str">
        <f t="shared" si="84"/>
        <v>A622125</v>
      </c>
      <c r="AG956" s="72" t="str">
        <f>VLOOKUP(AF956,AKT!$C$4:$E$324,3,FALSE)</f>
        <v>0150</v>
      </c>
    </row>
    <row r="957" spans="30:33">
      <c r="AD957" s="72" t="s">
        <v>885</v>
      </c>
      <c r="AE957" s="72" t="s">
        <v>886</v>
      </c>
      <c r="AF957" s="72" t="str">
        <f t="shared" si="84"/>
        <v>A622125</v>
      </c>
      <c r="AG957" s="72" t="str">
        <f>VLOOKUP(AF957,AKT!$C$4:$E$324,3,FALSE)</f>
        <v>0150</v>
      </c>
    </row>
    <row r="958" spans="30:33">
      <c r="AD958" s="72" t="s">
        <v>887</v>
      </c>
      <c r="AE958" s="72" t="s">
        <v>888</v>
      </c>
      <c r="AF958" s="72" t="str">
        <f t="shared" si="84"/>
        <v>A622125</v>
      </c>
      <c r="AG958" s="72" t="str">
        <f>VLOOKUP(AF958,AKT!$C$4:$E$324,3,FALSE)</f>
        <v>0150</v>
      </c>
    </row>
    <row r="959" spans="30:33">
      <c r="AD959" s="72" t="s">
        <v>889</v>
      </c>
      <c r="AE959" s="72" t="s">
        <v>890</v>
      </c>
      <c r="AF959" s="72" t="str">
        <f t="shared" si="84"/>
        <v>A622125</v>
      </c>
      <c r="AG959" s="72" t="str">
        <f>VLOOKUP(AF959,AKT!$C$4:$E$324,3,FALSE)</f>
        <v>0150</v>
      </c>
    </row>
    <row r="960" spans="30:33">
      <c r="AD960" s="72" t="s">
        <v>891</v>
      </c>
      <c r="AE960" s="72" t="s">
        <v>892</v>
      </c>
      <c r="AF960" s="72" t="str">
        <f t="shared" si="84"/>
        <v>A622125</v>
      </c>
      <c r="AG960" s="72" t="str">
        <f>VLOOKUP(AF960,AKT!$C$4:$E$324,3,FALSE)</f>
        <v>0150</v>
      </c>
    </row>
    <row r="961" spans="30:33">
      <c r="AD961" s="72" t="s">
        <v>893</v>
      </c>
      <c r="AE961" s="72" t="s">
        <v>894</v>
      </c>
      <c r="AF961" s="72" t="str">
        <f t="shared" si="84"/>
        <v>A622125</v>
      </c>
      <c r="AG961" s="72" t="str">
        <f>VLOOKUP(AF961,AKT!$C$4:$E$324,3,FALSE)</f>
        <v>0150</v>
      </c>
    </row>
    <row r="962" spans="30:33">
      <c r="AD962" s="72" t="s">
        <v>895</v>
      </c>
      <c r="AE962" s="72" t="s">
        <v>896</v>
      </c>
      <c r="AF962" s="72" t="str">
        <f t="shared" si="84"/>
        <v>A622125</v>
      </c>
      <c r="AG962" s="72" t="str">
        <f>VLOOKUP(AF962,AKT!$C$4:$E$324,3,FALSE)</f>
        <v>0150</v>
      </c>
    </row>
    <row r="963" spans="30:33">
      <c r="AD963" s="72" t="s">
        <v>897</v>
      </c>
      <c r="AE963" s="72" t="s">
        <v>898</v>
      </c>
      <c r="AF963" s="72" t="str">
        <f t="shared" si="84"/>
        <v>A622125</v>
      </c>
      <c r="AG963" s="72" t="str">
        <f>VLOOKUP(AF963,AKT!$C$4:$E$324,3,FALSE)</f>
        <v>0150</v>
      </c>
    </row>
    <row r="964" spans="30:33">
      <c r="AD964" s="72" t="s">
        <v>899</v>
      </c>
      <c r="AE964" s="72" t="s">
        <v>900</v>
      </c>
      <c r="AF964" s="72" t="str">
        <f t="shared" si="84"/>
        <v>A622125</v>
      </c>
      <c r="AG964" s="72" t="str">
        <f>VLOOKUP(AF964,AKT!$C$4:$E$324,3,FALSE)</f>
        <v>0150</v>
      </c>
    </row>
    <row r="965" spans="30:33">
      <c r="AD965" s="72" t="s">
        <v>901</v>
      </c>
      <c r="AE965" s="72" t="s">
        <v>902</v>
      </c>
      <c r="AF965" s="72" t="str">
        <f t="shared" si="84"/>
        <v>A622125</v>
      </c>
      <c r="AG965" s="72" t="str">
        <f>VLOOKUP(AF965,AKT!$C$4:$E$324,3,FALSE)</f>
        <v>0150</v>
      </c>
    </row>
    <row r="966" spans="30:33">
      <c r="AD966" s="72" t="s">
        <v>903</v>
      </c>
      <c r="AE966" s="72" t="s">
        <v>904</v>
      </c>
      <c r="AF966" s="72" t="str">
        <f t="shared" si="84"/>
        <v>A622125</v>
      </c>
      <c r="AG966" s="72" t="str">
        <f>VLOOKUP(AF966,AKT!$C$4:$E$324,3,FALSE)</f>
        <v>0150</v>
      </c>
    </row>
    <row r="967" spans="30:33">
      <c r="AD967" s="72" t="s">
        <v>905</v>
      </c>
      <c r="AE967" s="72" t="s">
        <v>906</v>
      </c>
      <c r="AF967" s="72" t="str">
        <f t="shared" si="84"/>
        <v>A622125</v>
      </c>
      <c r="AG967" s="72" t="str">
        <f>VLOOKUP(AF967,AKT!$C$4:$E$324,3,FALSE)</f>
        <v>0150</v>
      </c>
    </row>
    <row r="968" spans="30:33">
      <c r="AD968" s="72" t="s">
        <v>907</v>
      </c>
      <c r="AE968" s="72" t="s">
        <v>908</v>
      </c>
      <c r="AF968" s="72" t="str">
        <f t="shared" si="84"/>
        <v>A622125</v>
      </c>
      <c r="AG968" s="72" t="str">
        <f>VLOOKUP(AF968,AKT!$C$4:$E$324,3,FALSE)</f>
        <v>0150</v>
      </c>
    </row>
    <row r="969" spans="30:33">
      <c r="AD969" s="72" t="s">
        <v>909</v>
      </c>
      <c r="AE969" s="72" t="s">
        <v>910</v>
      </c>
      <c r="AF969" s="72" t="str">
        <f t="shared" si="84"/>
        <v>A622125</v>
      </c>
      <c r="AG969" s="72" t="str">
        <f>VLOOKUP(AF969,AKT!$C$4:$E$324,3,FALSE)</f>
        <v>0150</v>
      </c>
    </row>
    <row r="970" spans="30:33">
      <c r="AD970" s="72" t="s">
        <v>911</v>
      </c>
      <c r="AE970" s="72" t="s">
        <v>912</v>
      </c>
      <c r="AF970" s="72" t="str">
        <f t="shared" si="84"/>
        <v>A622125</v>
      </c>
      <c r="AG970" s="72" t="str">
        <f>VLOOKUP(AF970,AKT!$C$4:$E$324,3,FALSE)</f>
        <v>0150</v>
      </c>
    </row>
    <row r="971" spans="30:33">
      <c r="AD971" s="72" t="s">
        <v>913</v>
      </c>
      <c r="AE971" s="72" t="s">
        <v>914</v>
      </c>
      <c r="AF971" s="72" t="str">
        <f t="shared" si="84"/>
        <v>A622125</v>
      </c>
      <c r="AG971" s="72" t="str">
        <f>VLOOKUP(AF971,AKT!$C$4:$E$324,3,FALSE)</f>
        <v>0150</v>
      </c>
    </row>
    <row r="972" spans="30:33">
      <c r="AD972" s="72" t="s">
        <v>915</v>
      </c>
      <c r="AE972" s="72" t="s">
        <v>916</v>
      </c>
      <c r="AF972" s="72" t="str">
        <f t="shared" si="84"/>
        <v>A622125</v>
      </c>
      <c r="AG972" s="72" t="str">
        <f>VLOOKUP(AF972,AKT!$C$4:$E$324,3,FALSE)</f>
        <v>0150</v>
      </c>
    </row>
    <row r="973" spans="30:33">
      <c r="AD973" s="72" t="s">
        <v>917</v>
      </c>
      <c r="AE973" s="72" t="s">
        <v>918</v>
      </c>
      <c r="AF973" s="72" t="str">
        <f t="shared" si="84"/>
        <v>A622125</v>
      </c>
      <c r="AG973" s="72" t="str">
        <f>VLOOKUP(AF973,AKT!$C$4:$E$324,3,FALSE)</f>
        <v>0150</v>
      </c>
    </row>
    <row r="974" spans="30:33">
      <c r="AD974" s="72" t="s">
        <v>919</v>
      </c>
      <c r="AE974" s="72" t="s">
        <v>920</v>
      </c>
      <c r="AF974" s="72" t="str">
        <f t="shared" si="84"/>
        <v>A622125</v>
      </c>
      <c r="AG974" s="72" t="str">
        <f>VLOOKUP(AF974,AKT!$C$4:$E$324,3,FALSE)</f>
        <v>0150</v>
      </c>
    </row>
    <row r="975" spans="30:33">
      <c r="AD975" s="72" t="s">
        <v>921</v>
      </c>
      <c r="AE975" s="72" t="s">
        <v>922</v>
      </c>
      <c r="AF975" s="72" t="str">
        <f t="shared" si="84"/>
        <v>A622125</v>
      </c>
      <c r="AG975" s="72" t="str">
        <f>VLOOKUP(AF975,AKT!$C$4:$E$324,3,FALSE)</f>
        <v>0150</v>
      </c>
    </row>
    <row r="976" spans="30:33">
      <c r="AD976" s="72" t="s">
        <v>923</v>
      </c>
      <c r="AE976" s="72" t="s">
        <v>924</v>
      </c>
      <c r="AF976" s="72" t="str">
        <f t="shared" si="84"/>
        <v>A622125</v>
      </c>
      <c r="AG976" s="72" t="str">
        <f>VLOOKUP(AF976,AKT!$C$4:$E$324,3,FALSE)</f>
        <v>0150</v>
      </c>
    </row>
    <row r="977" spans="30:33">
      <c r="AD977" s="72" t="s">
        <v>925</v>
      </c>
      <c r="AE977" s="72" t="s">
        <v>926</v>
      </c>
      <c r="AF977" s="72" t="str">
        <f t="shared" si="84"/>
        <v>A622125</v>
      </c>
      <c r="AG977" s="72" t="str">
        <f>VLOOKUP(AF977,AKT!$C$4:$E$324,3,FALSE)</f>
        <v>0150</v>
      </c>
    </row>
    <row r="978" spans="30:33">
      <c r="AD978" s="72" t="s">
        <v>1568</v>
      </c>
      <c r="AE978" s="72" t="s">
        <v>1569</v>
      </c>
      <c r="AF978" s="72" t="str">
        <f t="shared" si="84"/>
        <v>A622125</v>
      </c>
      <c r="AG978" s="72" t="str">
        <f>VLOOKUP(AF978,AKT!$C$4:$E$324,3,FALSE)</f>
        <v>0150</v>
      </c>
    </row>
    <row r="979" spans="30:33">
      <c r="AD979" s="72" t="s">
        <v>1570</v>
      </c>
      <c r="AE979" s="72" t="s">
        <v>1571</v>
      </c>
      <c r="AF979" s="72" t="str">
        <f t="shared" ref="AF979:AF1042" si="85">LEFT(AD979,7)</f>
        <v>A622125</v>
      </c>
      <c r="AG979" s="72" t="str">
        <f>VLOOKUP(AF979,AKT!$C$4:$E$324,3,FALSE)</f>
        <v>0150</v>
      </c>
    </row>
    <row r="980" spans="30:33">
      <c r="AD980" s="72" t="s">
        <v>1572</v>
      </c>
      <c r="AE980" s="72" t="s">
        <v>1573</v>
      </c>
      <c r="AF980" s="72" t="str">
        <f t="shared" si="85"/>
        <v>A622125</v>
      </c>
      <c r="AG980" s="72" t="str">
        <f>VLOOKUP(AF980,AKT!$C$4:$E$324,3,FALSE)</f>
        <v>0150</v>
      </c>
    </row>
    <row r="981" spans="30:33">
      <c r="AD981" s="72" t="s">
        <v>1574</v>
      </c>
      <c r="AE981" s="72" t="s">
        <v>1575</v>
      </c>
      <c r="AF981" s="72" t="str">
        <f t="shared" si="85"/>
        <v>A622125</v>
      </c>
      <c r="AG981" s="72" t="str">
        <f>VLOOKUP(AF981,AKT!$C$4:$E$324,3,FALSE)</f>
        <v>0150</v>
      </c>
    </row>
    <row r="982" spans="30:33">
      <c r="AD982" s="72" t="s">
        <v>1576</v>
      </c>
      <c r="AE982" s="72" t="s">
        <v>1577</v>
      </c>
      <c r="AF982" s="72" t="str">
        <f t="shared" si="85"/>
        <v>A622125</v>
      </c>
      <c r="AG982" s="72" t="str">
        <f>VLOOKUP(AF982,AKT!$C$4:$E$324,3,FALSE)</f>
        <v>0150</v>
      </c>
    </row>
    <row r="983" spans="30:33">
      <c r="AD983" s="72" t="s">
        <v>1578</v>
      </c>
      <c r="AE983" s="72" t="s">
        <v>1579</v>
      </c>
      <c r="AF983" s="72" t="str">
        <f t="shared" si="85"/>
        <v>A622125</v>
      </c>
      <c r="AG983" s="72" t="str">
        <f>VLOOKUP(AF983,AKT!$C$4:$E$324,3,FALSE)</f>
        <v>0150</v>
      </c>
    </row>
    <row r="984" spans="30:33">
      <c r="AD984" s="72" t="s">
        <v>1580</v>
      </c>
      <c r="AE984" s="72" t="s">
        <v>1581</v>
      </c>
      <c r="AF984" s="72" t="str">
        <f t="shared" si="85"/>
        <v>A622125</v>
      </c>
      <c r="AG984" s="72" t="str">
        <f>VLOOKUP(AF984,AKT!$C$4:$E$324,3,FALSE)</f>
        <v>0150</v>
      </c>
    </row>
    <row r="985" spans="30:33">
      <c r="AD985" s="72" t="s">
        <v>1582</v>
      </c>
      <c r="AE985" s="72" t="s">
        <v>1583</v>
      </c>
      <c r="AF985" s="72" t="str">
        <f t="shared" si="85"/>
        <v>A622125</v>
      </c>
      <c r="AG985" s="72" t="str">
        <f>VLOOKUP(AF985,AKT!$C$4:$E$324,3,FALSE)</f>
        <v>0150</v>
      </c>
    </row>
    <row r="986" spans="30:33">
      <c r="AD986" s="72" t="s">
        <v>1584</v>
      </c>
      <c r="AE986" s="72" t="s">
        <v>1585</v>
      </c>
      <c r="AF986" s="72" t="str">
        <f t="shared" si="85"/>
        <v>A622125</v>
      </c>
      <c r="AG986" s="72" t="str">
        <f>VLOOKUP(AF986,AKT!$C$4:$E$324,3,FALSE)</f>
        <v>0150</v>
      </c>
    </row>
    <row r="987" spans="30:33">
      <c r="AD987" s="72" t="s">
        <v>1586</v>
      </c>
      <c r="AE987" s="72" t="s">
        <v>1587</v>
      </c>
      <c r="AF987" s="72" t="str">
        <f t="shared" si="85"/>
        <v>A622125</v>
      </c>
      <c r="AG987" s="72" t="str">
        <f>VLOOKUP(AF987,AKT!$C$4:$E$324,3,FALSE)</f>
        <v>0150</v>
      </c>
    </row>
    <row r="988" spans="30:33">
      <c r="AD988" s="72" t="s">
        <v>1588</v>
      </c>
      <c r="AE988" s="72" t="s">
        <v>1589</v>
      </c>
      <c r="AF988" s="72" t="str">
        <f t="shared" si="85"/>
        <v>A622125</v>
      </c>
      <c r="AG988" s="72" t="str">
        <f>VLOOKUP(AF988,AKT!$C$4:$E$324,3,FALSE)</f>
        <v>0150</v>
      </c>
    </row>
    <row r="989" spans="30:33">
      <c r="AD989" s="72" t="s">
        <v>1590</v>
      </c>
      <c r="AE989" s="72" t="s">
        <v>1591</v>
      </c>
      <c r="AF989" s="72" t="str">
        <f t="shared" si="85"/>
        <v>A622125</v>
      </c>
      <c r="AG989" s="72" t="str">
        <f>VLOOKUP(AF989,AKT!$C$4:$E$324,3,FALSE)</f>
        <v>0150</v>
      </c>
    </row>
    <row r="990" spans="30:33">
      <c r="AD990" s="72" t="s">
        <v>1592</v>
      </c>
      <c r="AE990" s="72" t="s">
        <v>1593</v>
      </c>
      <c r="AF990" s="72" t="str">
        <f t="shared" si="85"/>
        <v>A622125</v>
      </c>
      <c r="AG990" s="72" t="str">
        <f>VLOOKUP(AF990,AKT!$C$4:$E$324,3,FALSE)</f>
        <v>0150</v>
      </c>
    </row>
    <row r="991" spans="30:33">
      <c r="AD991" s="72" t="s">
        <v>1594</v>
      </c>
      <c r="AE991" s="72" t="s">
        <v>1595</v>
      </c>
      <c r="AF991" s="72" t="str">
        <f t="shared" si="85"/>
        <v>A622125</v>
      </c>
      <c r="AG991" s="72" t="str">
        <f>VLOOKUP(AF991,AKT!$C$4:$E$324,3,FALSE)</f>
        <v>0150</v>
      </c>
    </row>
    <row r="992" spans="30:33">
      <c r="AD992" s="72" t="s">
        <v>1596</v>
      </c>
      <c r="AE992" s="72" t="s">
        <v>1597</v>
      </c>
      <c r="AF992" s="72" t="str">
        <f t="shared" si="85"/>
        <v>A622125</v>
      </c>
      <c r="AG992" s="72" t="str">
        <f>VLOOKUP(AF992,AKT!$C$4:$E$324,3,FALSE)</f>
        <v>0150</v>
      </c>
    </row>
    <row r="993" spans="30:33">
      <c r="AD993" s="72" t="s">
        <v>1598</v>
      </c>
      <c r="AE993" s="72" t="s">
        <v>1599</v>
      </c>
      <c r="AF993" s="72" t="str">
        <f t="shared" si="85"/>
        <v>A622125</v>
      </c>
      <c r="AG993" s="72" t="str">
        <f>VLOOKUP(AF993,AKT!$C$4:$E$324,3,FALSE)</f>
        <v>0150</v>
      </c>
    </row>
    <row r="994" spans="30:33">
      <c r="AD994" s="72" t="s">
        <v>1600</v>
      </c>
      <c r="AE994" s="72" t="s">
        <v>1601</v>
      </c>
      <c r="AF994" s="72" t="str">
        <f t="shared" si="85"/>
        <v>A622125</v>
      </c>
      <c r="AG994" s="72" t="str">
        <f>VLOOKUP(AF994,AKT!$C$4:$E$324,3,FALSE)</f>
        <v>0150</v>
      </c>
    </row>
    <row r="995" spans="30:33">
      <c r="AD995" s="72" t="s">
        <v>1602</v>
      </c>
      <c r="AE995" s="72" t="s">
        <v>1603</v>
      </c>
      <c r="AF995" s="72" t="str">
        <f t="shared" si="85"/>
        <v>A622125</v>
      </c>
      <c r="AG995" s="72" t="str">
        <f>VLOOKUP(AF995,AKT!$C$4:$E$324,3,FALSE)</f>
        <v>0150</v>
      </c>
    </row>
    <row r="996" spans="30:33">
      <c r="AD996" s="72" t="s">
        <v>1604</v>
      </c>
      <c r="AE996" s="72" t="s">
        <v>1605</v>
      </c>
      <c r="AF996" s="72" t="str">
        <f t="shared" si="85"/>
        <v>A622125</v>
      </c>
      <c r="AG996" s="72" t="str">
        <f>VLOOKUP(AF996,AKT!$C$4:$E$324,3,FALSE)</f>
        <v>0150</v>
      </c>
    </row>
    <row r="997" spans="30:33">
      <c r="AD997" s="72" t="s">
        <v>1606</v>
      </c>
      <c r="AE997" s="72" t="s">
        <v>1607</v>
      </c>
      <c r="AF997" s="72" t="str">
        <f t="shared" si="85"/>
        <v>A622125</v>
      </c>
      <c r="AG997" s="72" t="str">
        <f>VLOOKUP(AF997,AKT!$C$4:$E$324,3,FALSE)</f>
        <v>0150</v>
      </c>
    </row>
    <row r="998" spans="30:33">
      <c r="AD998" s="72" t="s">
        <v>1608</v>
      </c>
      <c r="AE998" s="72" t="s">
        <v>1609</v>
      </c>
      <c r="AF998" s="72" t="str">
        <f t="shared" si="85"/>
        <v>A622125</v>
      </c>
      <c r="AG998" s="72" t="str">
        <f>VLOOKUP(AF998,AKT!$C$4:$E$324,3,FALSE)</f>
        <v>0150</v>
      </c>
    </row>
    <row r="999" spans="30:33">
      <c r="AD999" s="72" t="s">
        <v>1610</v>
      </c>
      <c r="AE999" s="72" t="s">
        <v>1611</v>
      </c>
      <c r="AF999" s="72" t="str">
        <f t="shared" si="85"/>
        <v>A622125</v>
      </c>
      <c r="AG999" s="72" t="str">
        <f>VLOOKUP(AF999,AKT!$C$4:$E$324,3,FALSE)</f>
        <v>0150</v>
      </c>
    </row>
    <row r="1000" spans="30:33">
      <c r="AD1000" s="72" t="s">
        <v>1612</v>
      </c>
      <c r="AE1000" s="72" t="s">
        <v>1613</v>
      </c>
      <c r="AF1000" s="72" t="str">
        <f t="shared" si="85"/>
        <v>A622125</v>
      </c>
      <c r="AG1000" s="72" t="str">
        <f>VLOOKUP(AF1000,AKT!$C$4:$E$324,3,FALSE)</f>
        <v>0150</v>
      </c>
    </row>
    <row r="1001" spans="30:33">
      <c r="AD1001" s="72" t="s">
        <v>2930</v>
      </c>
      <c r="AE1001" s="72" t="s">
        <v>2931</v>
      </c>
      <c r="AF1001" s="72" t="str">
        <f t="shared" si="85"/>
        <v>A622125</v>
      </c>
      <c r="AG1001" s="72" t="str">
        <f>VLOOKUP(AF1001,AKT!$C$4:$E$324,3,FALSE)</f>
        <v>0150</v>
      </c>
    </row>
    <row r="1002" spans="30:33">
      <c r="AD1002" s="72" t="s">
        <v>2932</v>
      </c>
      <c r="AE1002" s="72" t="s">
        <v>2933</v>
      </c>
      <c r="AF1002" s="72" t="str">
        <f t="shared" si="85"/>
        <v>A622125</v>
      </c>
      <c r="AG1002" s="72" t="str">
        <f>VLOOKUP(AF1002,AKT!$C$4:$E$324,3,FALSE)</f>
        <v>0150</v>
      </c>
    </row>
    <row r="1003" spans="30:33">
      <c r="AD1003" s="72" t="s">
        <v>2934</v>
      </c>
      <c r="AE1003" s="72" t="s">
        <v>2935</v>
      </c>
      <c r="AF1003" s="72" t="str">
        <f t="shared" si="85"/>
        <v>A622125</v>
      </c>
      <c r="AG1003" s="72" t="str">
        <f>VLOOKUP(AF1003,AKT!$C$4:$E$324,3,FALSE)</f>
        <v>0150</v>
      </c>
    </row>
    <row r="1004" spans="30:33">
      <c r="AD1004" s="72" t="s">
        <v>2936</v>
      </c>
      <c r="AE1004" s="72" t="s">
        <v>2937</v>
      </c>
      <c r="AF1004" s="72" t="str">
        <f t="shared" si="85"/>
        <v>A622125</v>
      </c>
      <c r="AG1004" s="72" t="str">
        <f>VLOOKUP(AF1004,AKT!$C$4:$E$324,3,FALSE)</f>
        <v>0150</v>
      </c>
    </row>
    <row r="1005" spans="30:33">
      <c r="AD1005" s="72" t="s">
        <v>2938</v>
      </c>
      <c r="AE1005" s="72" t="s">
        <v>2939</v>
      </c>
      <c r="AF1005" s="72" t="str">
        <f t="shared" si="85"/>
        <v>A622125</v>
      </c>
      <c r="AG1005" s="72" t="str">
        <f>VLOOKUP(AF1005,AKT!$C$4:$E$324,3,FALSE)</f>
        <v>0150</v>
      </c>
    </row>
    <row r="1006" spans="30:33">
      <c r="AD1006" s="72" t="s">
        <v>2940</v>
      </c>
      <c r="AE1006" s="72" t="s">
        <v>2941</v>
      </c>
      <c r="AF1006" s="72" t="str">
        <f t="shared" si="85"/>
        <v>A622125</v>
      </c>
      <c r="AG1006" s="72" t="str">
        <f>VLOOKUP(AF1006,AKT!$C$4:$E$324,3,FALSE)</f>
        <v>0150</v>
      </c>
    </row>
    <row r="1007" spans="30:33">
      <c r="AD1007" s="72" t="s">
        <v>2942</v>
      </c>
      <c r="AE1007" s="72" t="s">
        <v>2943</v>
      </c>
      <c r="AF1007" s="72" t="str">
        <f t="shared" si="85"/>
        <v>A622125</v>
      </c>
      <c r="AG1007" s="72" t="str">
        <f>VLOOKUP(AF1007,AKT!$C$4:$E$324,3,FALSE)</f>
        <v>0150</v>
      </c>
    </row>
    <row r="1008" spans="30:33">
      <c r="AD1008" s="72" t="s">
        <v>2944</v>
      </c>
      <c r="AE1008" s="72" t="s">
        <v>2945</v>
      </c>
      <c r="AF1008" s="72" t="str">
        <f t="shared" si="85"/>
        <v>A622125</v>
      </c>
      <c r="AG1008" s="72" t="str">
        <f>VLOOKUP(AF1008,AKT!$C$4:$E$324,3,FALSE)</f>
        <v>0150</v>
      </c>
    </row>
    <row r="1009" spans="30:33">
      <c r="AD1009" s="72" t="s">
        <v>2946</v>
      </c>
      <c r="AE1009" s="72" t="s">
        <v>2947</v>
      </c>
      <c r="AF1009" s="72" t="str">
        <f t="shared" si="85"/>
        <v>A622125</v>
      </c>
      <c r="AG1009" s="72" t="str">
        <f>VLOOKUP(AF1009,AKT!$C$4:$E$324,3,FALSE)</f>
        <v>0150</v>
      </c>
    </row>
    <row r="1010" spans="30:33">
      <c r="AD1010" s="72" t="s">
        <v>2948</v>
      </c>
      <c r="AE1010" s="72" t="s">
        <v>2949</v>
      </c>
      <c r="AF1010" s="72" t="str">
        <f t="shared" si="85"/>
        <v>A622125</v>
      </c>
      <c r="AG1010" s="72" t="str">
        <f>VLOOKUP(AF1010,AKT!$C$4:$E$324,3,FALSE)</f>
        <v>0150</v>
      </c>
    </row>
    <row r="1011" spans="30:33">
      <c r="AD1011" s="72" t="s">
        <v>2950</v>
      </c>
      <c r="AE1011" s="72" t="s">
        <v>2951</v>
      </c>
      <c r="AF1011" s="72" t="str">
        <f t="shared" si="85"/>
        <v>A622125</v>
      </c>
      <c r="AG1011" s="72" t="str">
        <f>VLOOKUP(AF1011,AKT!$C$4:$E$324,3,FALSE)</f>
        <v>0150</v>
      </c>
    </row>
    <row r="1012" spans="30:33">
      <c r="AD1012" s="72" t="s">
        <v>2952</v>
      </c>
      <c r="AE1012" s="72" t="s">
        <v>2953</v>
      </c>
      <c r="AF1012" s="72" t="str">
        <f t="shared" si="85"/>
        <v>A622125</v>
      </c>
      <c r="AG1012" s="72" t="str">
        <f>VLOOKUP(AF1012,AKT!$C$4:$E$324,3,FALSE)</f>
        <v>0150</v>
      </c>
    </row>
    <row r="1013" spans="30:33">
      <c r="AD1013" s="72" t="s">
        <v>2954</v>
      </c>
      <c r="AE1013" s="72" t="s">
        <v>2955</v>
      </c>
      <c r="AF1013" s="72" t="str">
        <f t="shared" si="85"/>
        <v>A622125</v>
      </c>
      <c r="AG1013" s="72" t="str">
        <f>VLOOKUP(AF1013,AKT!$C$4:$E$324,3,FALSE)</f>
        <v>0150</v>
      </c>
    </row>
    <row r="1014" spans="30:33">
      <c r="AD1014" s="72" t="s">
        <v>2956</v>
      </c>
      <c r="AE1014" s="72" t="s">
        <v>2957</v>
      </c>
      <c r="AF1014" s="72" t="str">
        <f t="shared" si="85"/>
        <v>A622125</v>
      </c>
      <c r="AG1014" s="72" t="str">
        <f>VLOOKUP(AF1014,AKT!$C$4:$E$324,3,FALSE)</f>
        <v>0150</v>
      </c>
    </row>
    <row r="1015" spans="30:33">
      <c r="AD1015" s="72" t="s">
        <v>2958</v>
      </c>
      <c r="AE1015" s="72" t="s">
        <v>2959</v>
      </c>
      <c r="AF1015" s="72" t="str">
        <f t="shared" si="85"/>
        <v>A622125</v>
      </c>
      <c r="AG1015" s="72" t="str">
        <f>VLOOKUP(AF1015,AKT!$C$4:$E$324,3,FALSE)</f>
        <v>0150</v>
      </c>
    </row>
    <row r="1016" spans="30:33">
      <c r="AD1016" s="72" t="s">
        <v>2960</v>
      </c>
      <c r="AE1016" s="72" t="s">
        <v>2961</v>
      </c>
      <c r="AF1016" s="72" t="str">
        <f t="shared" si="85"/>
        <v>A622125</v>
      </c>
      <c r="AG1016" s="72" t="str">
        <f>VLOOKUP(AF1016,AKT!$C$4:$E$324,3,FALSE)</f>
        <v>0150</v>
      </c>
    </row>
    <row r="1017" spans="30:33">
      <c r="AD1017" s="72" t="s">
        <v>2962</v>
      </c>
      <c r="AE1017" s="72" t="s">
        <v>2963</v>
      </c>
      <c r="AF1017" s="72" t="str">
        <f t="shared" si="85"/>
        <v>A622125</v>
      </c>
      <c r="AG1017" s="72" t="str">
        <f>VLOOKUP(AF1017,AKT!$C$4:$E$324,3,FALSE)</f>
        <v>0150</v>
      </c>
    </row>
    <row r="1018" spans="30:33">
      <c r="AD1018" s="72" t="s">
        <v>2964</v>
      </c>
      <c r="AE1018" s="72" t="s">
        <v>2965</v>
      </c>
      <c r="AF1018" s="72" t="str">
        <f t="shared" si="85"/>
        <v>A622125</v>
      </c>
      <c r="AG1018" s="72" t="str">
        <f>VLOOKUP(AF1018,AKT!$C$4:$E$324,3,FALSE)</f>
        <v>0150</v>
      </c>
    </row>
    <row r="1019" spans="30:33">
      <c r="AD1019" s="72" t="s">
        <v>2966</v>
      </c>
      <c r="AE1019" s="72" t="s">
        <v>2967</v>
      </c>
      <c r="AF1019" s="72" t="str">
        <f t="shared" si="85"/>
        <v>A622125</v>
      </c>
      <c r="AG1019" s="72" t="str">
        <f>VLOOKUP(AF1019,AKT!$C$4:$E$324,3,FALSE)</f>
        <v>0150</v>
      </c>
    </row>
    <row r="1020" spans="30:33">
      <c r="AD1020" s="72" t="s">
        <v>2968</v>
      </c>
      <c r="AE1020" s="72" t="s">
        <v>2969</v>
      </c>
      <c r="AF1020" s="72" t="str">
        <f t="shared" si="85"/>
        <v>A622125</v>
      </c>
      <c r="AG1020" s="72" t="str">
        <f>VLOOKUP(AF1020,AKT!$C$4:$E$324,3,FALSE)</f>
        <v>0150</v>
      </c>
    </row>
    <row r="1021" spans="30:33">
      <c r="AD1021" s="72" t="s">
        <v>2970</v>
      </c>
      <c r="AE1021" s="72" t="s">
        <v>2971</v>
      </c>
      <c r="AF1021" s="72" t="str">
        <f t="shared" si="85"/>
        <v>A622125</v>
      </c>
      <c r="AG1021" s="72" t="str">
        <f>VLOOKUP(AF1021,AKT!$C$4:$E$324,3,FALSE)</f>
        <v>0150</v>
      </c>
    </row>
    <row r="1022" spans="30:33">
      <c r="AD1022" s="72" t="s">
        <v>2972</v>
      </c>
      <c r="AE1022" s="72" t="s">
        <v>2973</v>
      </c>
      <c r="AF1022" s="72" t="str">
        <f t="shared" si="85"/>
        <v>A622125</v>
      </c>
      <c r="AG1022" s="72" t="str">
        <f>VLOOKUP(AF1022,AKT!$C$4:$E$324,3,FALSE)</f>
        <v>0150</v>
      </c>
    </row>
    <row r="1023" spans="30:33">
      <c r="AD1023" s="72" t="s">
        <v>2974</v>
      </c>
      <c r="AE1023" s="72" t="s">
        <v>2975</v>
      </c>
      <c r="AF1023" s="72" t="str">
        <f t="shared" si="85"/>
        <v>A622125</v>
      </c>
      <c r="AG1023" s="72" t="str">
        <f>VLOOKUP(AF1023,AKT!$C$4:$E$324,3,FALSE)</f>
        <v>0150</v>
      </c>
    </row>
    <row r="1024" spans="30:33">
      <c r="AD1024" s="72" t="s">
        <v>2976</v>
      </c>
      <c r="AE1024" s="72" t="s">
        <v>2977</v>
      </c>
      <c r="AF1024" s="72" t="str">
        <f t="shared" si="85"/>
        <v>A622125</v>
      </c>
      <c r="AG1024" s="72" t="str">
        <f>VLOOKUP(AF1024,AKT!$C$4:$E$324,3,FALSE)</f>
        <v>0150</v>
      </c>
    </row>
    <row r="1025" spans="30:33">
      <c r="AD1025" s="72" t="s">
        <v>2978</v>
      </c>
      <c r="AE1025" s="72" t="s">
        <v>2979</v>
      </c>
      <c r="AF1025" s="72" t="str">
        <f t="shared" si="85"/>
        <v>A622125</v>
      </c>
      <c r="AG1025" s="72" t="str">
        <f>VLOOKUP(AF1025,AKT!$C$4:$E$324,3,FALSE)</f>
        <v>0150</v>
      </c>
    </row>
    <row r="1026" spans="30:33">
      <c r="AD1026" s="72" t="s">
        <v>2980</v>
      </c>
      <c r="AE1026" s="72" t="s">
        <v>2981</v>
      </c>
      <c r="AF1026" s="72" t="str">
        <f t="shared" si="85"/>
        <v>A622125</v>
      </c>
      <c r="AG1026" s="72" t="str">
        <f>VLOOKUP(AF1026,AKT!$C$4:$E$324,3,FALSE)</f>
        <v>0150</v>
      </c>
    </row>
    <row r="1027" spans="30:33">
      <c r="AD1027" s="72" t="s">
        <v>2982</v>
      </c>
      <c r="AE1027" s="72" t="s">
        <v>3389</v>
      </c>
      <c r="AF1027" s="72" t="str">
        <f t="shared" si="85"/>
        <v>A622125</v>
      </c>
      <c r="AG1027" s="72" t="str">
        <f>VLOOKUP(AF1027,AKT!$C$4:$E$324,3,FALSE)</f>
        <v>0150</v>
      </c>
    </row>
    <row r="1028" spans="30:33">
      <c r="AD1028" s="72" t="s">
        <v>2983</v>
      </c>
      <c r="AE1028" s="72" t="s">
        <v>2984</v>
      </c>
      <c r="AF1028" s="72" t="str">
        <f t="shared" si="85"/>
        <v>A622125</v>
      </c>
      <c r="AG1028" s="72" t="str">
        <f>VLOOKUP(AF1028,AKT!$C$4:$E$324,3,FALSE)</f>
        <v>0150</v>
      </c>
    </row>
    <row r="1029" spans="30:33">
      <c r="AD1029" s="72" t="s">
        <v>2985</v>
      </c>
      <c r="AE1029" s="72" t="s">
        <v>2986</v>
      </c>
      <c r="AF1029" s="72" t="str">
        <f t="shared" si="85"/>
        <v>A622125</v>
      </c>
      <c r="AG1029" s="72" t="str">
        <f>VLOOKUP(AF1029,AKT!$C$4:$E$324,3,FALSE)</f>
        <v>0150</v>
      </c>
    </row>
    <row r="1030" spans="30:33">
      <c r="AD1030" s="72" t="s">
        <v>3390</v>
      </c>
      <c r="AE1030" s="72" t="s">
        <v>3391</v>
      </c>
      <c r="AF1030" s="72" t="str">
        <f t="shared" si="85"/>
        <v>A622125</v>
      </c>
      <c r="AG1030" s="72" t="str">
        <f>VLOOKUP(AF1030,AKT!$C$4:$E$324,3,FALSE)</f>
        <v>0150</v>
      </c>
    </row>
    <row r="1031" spans="30:33">
      <c r="AD1031" s="72" t="s">
        <v>2987</v>
      </c>
      <c r="AE1031" s="72" t="s">
        <v>2988</v>
      </c>
      <c r="AF1031" s="72" t="str">
        <f t="shared" si="85"/>
        <v>A622125</v>
      </c>
      <c r="AG1031" s="72" t="str">
        <f>VLOOKUP(AF1031,AKT!$C$4:$E$324,3,FALSE)</f>
        <v>0150</v>
      </c>
    </row>
    <row r="1032" spans="30:33">
      <c r="AD1032" s="72" t="s">
        <v>2989</v>
      </c>
      <c r="AE1032" s="72" t="s">
        <v>1593</v>
      </c>
      <c r="AF1032" s="72" t="str">
        <f t="shared" si="85"/>
        <v>A622125</v>
      </c>
      <c r="AG1032" s="72" t="str">
        <f>VLOOKUP(AF1032,AKT!$C$4:$E$324,3,FALSE)</f>
        <v>0150</v>
      </c>
    </row>
    <row r="1033" spans="30:33">
      <c r="AD1033" s="72" t="s">
        <v>2990</v>
      </c>
      <c r="AE1033" s="72" t="s">
        <v>2991</v>
      </c>
      <c r="AF1033" s="72" t="str">
        <f t="shared" si="85"/>
        <v>A622125</v>
      </c>
      <c r="AG1033" s="72" t="str">
        <f>VLOOKUP(AF1033,AKT!$C$4:$E$324,3,FALSE)</f>
        <v>0150</v>
      </c>
    </row>
    <row r="1034" spans="30:33">
      <c r="AD1034" s="72" t="s">
        <v>2992</v>
      </c>
      <c r="AE1034" s="72" t="s">
        <v>2993</v>
      </c>
      <c r="AF1034" s="72" t="str">
        <f t="shared" si="85"/>
        <v>A622125</v>
      </c>
      <c r="AG1034" s="72" t="str">
        <f>VLOOKUP(AF1034,AKT!$C$4:$E$324,3,FALSE)</f>
        <v>0150</v>
      </c>
    </row>
    <row r="1035" spans="30:33">
      <c r="AD1035" s="72" t="s">
        <v>2995</v>
      </c>
      <c r="AE1035" s="72" t="s">
        <v>2996</v>
      </c>
      <c r="AF1035" s="72" t="str">
        <f t="shared" si="85"/>
        <v>A622125</v>
      </c>
      <c r="AG1035" s="72" t="str">
        <f>VLOOKUP(AF1035,AKT!$C$4:$E$324,3,FALSE)</f>
        <v>0150</v>
      </c>
    </row>
    <row r="1036" spans="30:33">
      <c r="AD1036" s="72" t="s">
        <v>2997</v>
      </c>
      <c r="AE1036" s="72" t="s">
        <v>2986</v>
      </c>
      <c r="AF1036" s="72" t="str">
        <f t="shared" si="85"/>
        <v>A622125</v>
      </c>
      <c r="AG1036" s="72" t="str">
        <f>VLOOKUP(AF1036,AKT!$C$4:$E$324,3,FALSE)</f>
        <v>0150</v>
      </c>
    </row>
    <row r="1037" spans="30:33">
      <c r="AD1037" s="72" t="s">
        <v>2998</v>
      </c>
      <c r="AE1037" s="72" t="s">
        <v>2994</v>
      </c>
      <c r="AF1037" s="72" t="str">
        <f t="shared" si="85"/>
        <v>A622125</v>
      </c>
      <c r="AG1037" s="72" t="str">
        <f>VLOOKUP(AF1037,AKT!$C$4:$E$324,3,FALSE)</f>
        <v>0150</v>
      </c>
    </row>
    <row r="1038" spans="30:33">
      <c r="AD1038" s="72" t="s">
        <v>2999</v>
      </c>
      <c r="AE1038" s="72" t="s">
        <v>3000</v>
      </c>
      <c r="AF1038" s="72" t="str">
        <f t="shared" si="85"/>
        <v>A622125</v>
      </c>
      <c r="AG1038" s="72" t="str">
        <f>VLOOKUP(AF1038,AKT!$C$4:$E$324,3,FALSE)</f>
        <v>0150</v>
      </c>
    </row>
    <row r="1039" spans="30:33">
      <c r="AD1039" s="72" t="s">
        <v>3001</v>
      </c>
      <c r="AE1039" s="72" t="s">
        <v>3002</v>
      </c>
      <c r="AF1039" s="72" t="str">
        <f t="shared" si="85"/>
        <v>A622125</v>
      </c>
      <c r="AG1039" s="72" t="str">
        <f>VLOOKUP(AF1039,AKT!$C$4:$E$324,3,FALSE)</f>
        <v>0150</v>
      </c>
    </row>
    <row r="1040" spans="30:33">
      <c r="AD1040" s="72" t="s">
        <v>3003</v>
      </c>
      <c r="AE1040" s="72" t="s">
        <v>3004</v>
      </c>
      <c r="AF1040" s="72" t="str">
        <f t="shared" si="85"/>
        <v>A622125</v>
      </c>
      <c r="AG1040" s="72" t="str">
        <f>VLOOKUP(AF1040,AKT!$C$4:$E$324,3,FALSE)</f>
        <v>0150</v>
      </c>
    </row>
    <row r="1041" spans="30:33">
      <c r="AD1041" s="72" t="s">
        <v>3005</v>
      </c>
      <c r="AE1041" s="72" t="s">
        <v>3006</v>
      </c>
      <c r="AF1041" s="72" t="str">
        <f t="shared" si="85"/>
        <v>A622125</v>
      </c>
      <c r="AG1041" s="72" t="str">
        <f>VLOOKUP(AF1041,AKT!$C$4:$E$324,3,FALSE)</f>
        <v>0150</v>
      </c>
    </row>
    <row r="1042" spans="30:33">
      <c r="AD1042" s="72" t="s">
        <v>3007</v>
      </c>
      <c r="AE1042" s="72" t="s">
        <v>3008</v>
      </c>
      <c r="AF1042" s="72" t="str">
        <f t="shared" si="85"/>
        <v>A622125</v>
      </c>
      <c r="AG1042" s="72" t="str">
        <f>VLOOKUP(AF1042,AKT!$C$4:$E$324,3,FALSE)</f>
        <v>0150</v>
      </c>
    </row>
    <row r="1043" spans="30:33">
      <c r="AD1043" s="72" t="s">
        <v>3009</v>
      </c>
      <c r="AE1043" s="72" t="s">
        <v>3010</v>
      </c>
      <c r="AF1043" s="72" t="str">
        <f t="shared" ref="AF1043:AF1101" si="86">LEFT(AD1043,7)</f>
        <v>A622125</v>
      </c>
      <c r="AG1043" s="72" t="str">
        <f>VLOOKUP(AF1043,AKT!$C$4:$E$324,3,FALSE)</f>
        <v>0150</v>
      </c>
    </row>
    <row r="1044" spans="30:33">
      <c r="AD1044" s="72" t="s">
        <v>3011</v>
      </c>
      <c r="AE1044" s="72" t="s">
        <v>3012</v>
      </c>
      <c r="AF1044" s="72" t="str">
        <f t="shared" si="86"/>
        <v>A622125</v>
      </c>
      <c r="AG1044" s="72" t="str">
        <f>VLOOKUP(AF1044,AKT!$C$4:$E$324,3,FALSE)</f>
        <v>0150</v>
      </c>
    </row>
    <row r="1045" spans="30:33">
      <c r="AD1045" s="72" t="s">
        <v>3013</v>
      </c>
      <c r="AE1045" s="72" t="s">
        <v>3014</v>
      </c>
      <c r="AF1045" s="72" t="str">
        <f t="shared" si="86"/>
        <v>A622125</v>
      </c>
      <c r="AG1045" s="72" t="str">
        <f>VLOOKUP(AF1045,AKT!$C$4:$E$324,3,FALSE)</f>
        <v>0150</v>
      </c>
    </row>
    <row r="1046" spans="30:33">
      <c r="AD1046" s="72" t="s">
        <v>3392</v>
      </c>
      <c r="AE1046" s="72" t="s">
        <v>3393</v>
      </c>
      <c r="AF1046" s="72" t="str">
        <f t="shared" si="86"/>
        <v>A622125</v>
      </c>
      <c r="AG1046" s="72" t="str">
        <f>VLOOKUP(AF1046,AKT!$C$4:$E$324,3,FALSE)</f>
        <v>0150</v>
      </c>
    </row>
    <row r="1047" spans="30:33">
      <c r="AD1047" s="72" t="s">
        <v>3394</v>
      </c>
      <c r="AE1047" s="72" t="s">
        <v>3395</v>
      </c>
      <c r="AF1047" s="72" t="str">
        <f t="shared" si="86"/>
        <v>A622125</v>
      </c>
      <c r="AG1047" s="72" t="str">
        <f>VLOOKUP(AF1047,AKT!$C$4:$E$324,3,FALSE)</f>
        <v>0150</v>
      </c>
    </row>
    <row r="1048" spans="30:33">
      <c r="AD1048" s="72" t="s">
        <v>3396</v>
      </c>
      <c r="AE1048" s="72" t="s">
        <v>3397</v>
      </c>
      <c r="AF1048" s="72" t="str">
        <f t="shared" si="86"/>
        <v>A622125</v>
      </c>
      <c r="AG1048" s="72" t="str">
        <f>VLOOKUP(AF1048,AKT!$C$4:$E$324,3,FALSE)</f>
        <v>0150</v>
      </c>
    </row>
    <row r="1049" spans="30:33">
      <c r="AD1049" s="72" t="s">
        <v>3398</v>
      </c>
      <c r="AE1049" s="72" t="s">
        <v>3399</v>
      </c>
      <c r="AF1049" s="72" t="str">
        <f t="shared" si="86"/>
        <v>A622125</v>
      </c>
      <c r="AG1049" s="72" t="str">
        <f>VLOOKUP(AF1049,AKT!$C$4:$E$324,3,FALSE)</f>
        <v>0150</v>
      </c>
    </row>
    <row r="1050" spans="30:33">
      <c r="AD1050" s="72" t="s">
        <v>3400</v>
      </c>
      <c r="AE1050" s="72" t="s">
        <v>3401</v>
      </c>
      <c r="AF1050" s="72" t="str">
        <f t="shared" si="86"/>
        <v>A622125</v>
      </c>
      <c r="AG1050" s="72" t="str">
        <f>VLOOKUP(AF1050,AKT!$C$4:$E$324,3,FALSE)</f>
        <v>0150</v>
      </c>
    </row>
    <row r="1051" spans="30:33">
      <c r="AD1051" s="72" t="s">
        <v>3402</v>
      </c>
      <c r="AE1051" s="72" t="s">
        <v>3403</v>
      </c>
      <c r="AF1051" s="72" t="str">
        <f t="shared" si="86"/>
        <v>A622125</v>
      </c>
      <c r="AG1051" s="72" t="str">
        <f>VLOOKUP(AF1051,AKT!$C$4:$E$324,3,FALSE)</f>
        <v>0150</v>
      </c>
    </row>
    <row r="1052" spans="30:33">
      <c r="AD1052" s="72" t="s">
        <v>3404</v>
      </c>
      <c r="AE1052" s="72" t="s">
        <v>3405</v>
      </c>
      <c r="AF1052" s="72" t="str">
        <f t="shared" si="86"/>
        <v>A622125</v>
      </c>
      <c r="AG1052" s="72" t="str">
        <f>VLOOKUP(AF1052,AKT!$C$4:$E$324,3,FALSE)</f>
        <v>0150</v>
      </c>
    </row>
    <row r="1053" spans="30:33">
      <c r="AD1053" s="72" t="s">
        <v>3406</v>
      </c>
      <c r="AE1053" s="72" t="s">
        <v>3407</v>
      </c>
      <c r="AF1053" s="72" t="str">
        <f t="shared" si="86"/>
        <v>A622125</v>
      </c>
      <c r="AG1053" s="72" t="str">
        <f>VLOOKUP(AF1053,AKT!$C$4:$E$324,3,FALSE)</f>
        <v>0150</v>
      </c>
    </row>
    <row r="1054" spans="30:33">
      <c r="AD1054" s="72" t="s">
        <v>3408</v>
      </c>
      <c r="AE1054" s="72" t="s">
        <v>2808</v>
      </c>
      <c r="AF1054" s="72" t="str">
        <f t="shared" si="86"/>
        <v>A622125</v>
      </c>
      <c r="AG1054" s="72" t="str">
        <f>VLOOKUP(AF1054,AKT!$C$4:$E$324,3,FALSE)</f>
        <v>0150</v>
      </c>
    </row>
    <row r="1055" spans="30:33">
      <c r="AD1055" s="72" t="s">
        <v>3409</v>
      </c>
      <c r="AE1055" s="72" t="s">
        <v>3410</v>
      </c>
      <c r="AF1055" s="72" t="str">
        <f t="shared" si="86"/>
        <v>A622125</v>
      </c>
      <c r="AG1055" s="72" t="str">
        <f>VLOOKUP(AF1055,AKT!$C$4:$E$324,3,FALSE)</f>
        <v>0150</v>
      </c>
    </row>
    <row r="1056" spans="30:33">
      <c r="AD1056" s="72" t="s">
        <v>3411</v>
      </c>
      <c r="AE1056" s="72" t="s">
        <v>3412</v>
      </c>
      <c r="AF1056" s="72" t="str">
        <f t="shared" si="86"/>
        <v>A622125</v>
      </c>
      <c r="AG1056" s="72" t="str">
        <f>VLOOKUP(AF1056,AKT!$C$4:$E$324,3,FALSE)</f>
        <v>0150</v>
      </c>
    </row>
    <row r="1057" spans="30:33">
      <c r="AD1057" s="72" t="s">
        <v>3413</v>
      </c>
      <c r="AE1057" s="72" t="s">
        <v>3414</v>
      </c>
      <c r="AF1057" s="72" t="str">
        <f t="shared" si="86"/>
        <v>A622125</v>
      </c>
      <c r="AG1057" s="72" t="str">
        <f>VLOOKUP(AF1057,AKT!$C$4:$E$324,3,FALSE)</f>
        <v>0150</v>
      </c>
    </row>
    <row r="1058" spans="30:33">
      <c r="AD1058" s="72" t="s">
        <v>3415</v>
      </c>
      <c r="AE1058" s="72" t="s">
        <v>3416</v>
      </c>
      <c r="AF1058" s="72" t="str">
        <f t="shared" si="86"/>
        <v>A622125</v>
      </c>
      <c r="AG1058" s="72" t="str">
        <f>VLOOKUP(AF1058,AKT!$C$4:$E$324,3,FALSE)</f>
        <v>0150</v>
      </c>
    </row>
    <row r="1059" spans="30:33">
      <c r="AD1059" s="72" t="s">
        <v>3417</v>
      </c>
      <c r="AE1059" s="72" t="s">
        <v>3418</v>
      </c>
      <c r="AF1059" s="72" t="str">
        <f t="shared" si="86"/>
        <v>A622125</v>
      </c>
      <c r="AG1059" s="72" t="str">
        <f>VLOOKUP(AF1059,AKT!$C$4:$E$324,3,FALSE)</f>
        <v>0150</v>
      </c>
    </row>
    <row r="1060" spans="30:33">
      <c r="AD1060" s="72" t="s">
        <v>3419</v>
      </c>
      <c r="AE1060" s="72" t="s">
        <v>1266</v>
      </c>
      <c r="AF1060" s="72" t="str">
        <f t="shared" si="86"/>
        <v>A622125</v>
      </c>
      <c r="AG1060" s="72" t="str">
        <f>VLOOKUP(AF1060,AKT!$C$4:$E$324,3,FALSE)</f>
        <v>0150</v>
      </c>
    </row>
    <row r="1061" spans="30:33">
      <c r="AD1061" s="72" t="s">
        <v>3420</v>
      </c>
      <c r="AE1061" s="72" t="s">
        <v>3421</v>
      </c>
      <c r="AF1061" s="72" t="str">
        <f t="shared" si="86"/>
        <v>A622125</v>
      </c>
      <c r="AG1061" s="72" t="str">
        <f>VLOOKUP(AF1061,AKT!$C$4:$E$324,3,FALSE)</f>
        <v>0150</v>
      </c>
    </row>
    <row r="1062" spans="30:33">
      <c r="AD1062" s="72" t="s">
        <v>3422</v>
      </c>
      <c r="AE1062" s="72" t="s">
        <v>3423</v>
      </c>
      <c r="AF1062" s="72" t="str">
        <f t="shared" si="86"/>
        <v>A622125</v>
      </c>
      <c r="AG1062" s="72" t="str">
        <f>VLOOKUP(AF1062,AKT!$C$4:$E$324,3,FALSE)</f>
        <v>0150</v>
      </c>
    </row>
    <row r="1063" spans="30:33">
      <c r="AD1063" s="72" t="s">
        <v>3424</v>
      </c>
      <c r="AE1063" s="72" t="s">
        <v>3425</v>
      </c>
      <c r="AF1063" s="72" t="str">
        <f t="shared" si="86"/>
        <v>A622125</v>
      </c>
      <c r="AG1063" s="72" t="str">
        <f>VLOOKUP(AF1063,AKT!$C$4:$E$324,3,FALSE)</f>
        <v>0150</v>
      </c>
    </row>
    <row r="1064" spans="30:33">
      <c r="AD1064" s="72" t="s">
        <v>3426</v>
      </c>
      <c r="AE1064" s="72" t="s">
        <v>3427</v>
      </c>
      <c r="AF1064" s="72" t="str">
        <f t="shared" si="86"/>
        <v>A622125</v>
      </c>
      <c r="AG1064" s="72" t="str">
        <f>VLOOKUP(AF1064,AKT!$C$4:$E$324,3,FALSE)</f>
        <v>0150</v>
      </c>
    </row>
    <row r="1065" spans="30:33">
      <c r="AD1065" s="72" t="s">
        <v>3428</v>
      </c>
      <c r="AE1065" s="72" t="s">
        <v>3429</v>
      </c>
      <c r="AF1065" s="72" t="str">
        <f t="shared" si="86"/>
        <v>A622125</v>
      </c>
      <c r="AG1065" s="72" t="str">
        <f>VLOOKUP(AF1065,AKT!$C$4:$E$324,3,FALSE)</f>
        <v>0150</v>
      </c>
    </row>
    <row r="1066" spans="30:33">
      <c r="AD1066" s="72" t="s">
        <v>3430</v>
      </c>
      <c r="AE1066" s="72" t="s">
        <v>3431</v>
      </c>
      <c r="AF1066" s="72" t="str">
        <f t="shared" si="86"/>
        <v>A622125</v>
      </c>
      <c r="AG1066" s="72" t="str">
        <f>VLOOKUP(AF1066,AKT!$C$4:$E$324,3,FALSE)</f>
        <v>0150</v>
      </c>
    </row>
    <row r="1067" spans="30:33">
      <c r="AD1067" s="72" t="s">
        <v>3432</v>
      </c>
      <c r="AE1067" s="72" t="s">
        <v>3433</v>
      </c>
      <c r="AF1067" s="72" t="str">
        <f t="shared" si="86"/>
        <v>A622125</v>
      </c>
      <c r="AG1067" s="72" t="str">
        <f>VLOOKUP(AF1067,AKT!$C$4:$E$324,3,FALSE)</f>
        <v>0150</v>
      </c>
    </row>
    <row r="1068" spans="30:33">
      <c r="AD1068" s="72" t="s">
        <v>3434</v>
      </c>
      <c r="AE1068" s="72" t="s">
        <v>3435</v>
      </c>
      <c r="AF1068" s="72" t="str">
        <f t="shared" si="86"/>
        <v>A622125</v>
      </c>
      <c r="AG1068" s="72" t="str">
        <f>VLOOKUP(AF1068,AKT!$C$4:$E$324,3,FALSE)</f>
        <v>0150</v>
      </c>
    </row>
    <row r="1069" spans="30:33">
      <c r="AD1069" s="72" t="s">
        <v>3436</v>
      </c>
      <c r="AE1069" s="72" t="s">
        <v>3437</v>
      </c>
      <c r="AF1069" s="72" t="str">
        <f t="shared" si="86"/>
        <v>A622125</v>
      </c>
      <c r="AG1069" s="72" t="str">
        <f>VLOOKUP(AF1069,AKT!$C$4:$E$324,3,FALSE)</f>
        <v>0150</v>
      </c>
    </row>
    <row r="1070" spans="30:33">
      <c r="AD1070" s="72" t="s">
        <v>3438</v>
      </c>
      <c r="AE1070" s="72" t="s">
        <v>3267</v>
      </c>
      <c r="AF1070" s="72" t="str">
        <f t="shared" si="86"/>
        <v>A622125</v>
      </c>
      <c r="AG1070" s="72" t="str">
        <f>VLOOKUP(AF1070,AKT!$C$4:$E$324,3,FALSE)</f>
        <v>0150</v>
      </c>
    </row>
    <row r="1071" spans="30:33">
      <c r="AD1071" s="72" t="s">
        <v>3439</v>
      </c>
      <c r="AE1071" s="72" t="s">
        <v>3440</v>
      </c>
      <c r="AF1071" s="72" t="str">
        <f t="shared" si="86"/>
        <v>A622125</v>
      </c>
      <c r="AG1071" s="72" t="str">
        <f>VLOOKUP(AF1071,AKT!$C$4:$E$324,3,FALSE)</f>
        <v>0150</v>
      </c>
    </row>
    <row r="1072" spans="30:33">
      <c r="AD1072" s="72" t="s">
        <v>3441</v>
      </c>
      <c r="AE1072" s="72" t="s">
        <v>3442</v>
      </c>
      <c r="AF1072" s="72" t="str">
        <f t="shared" si="86"/>
        <v>A622125</v>
      </c>
      <c r="AG1072" s="72" t="str">
        <f>VLOOKUP(AF1072,AKT!$C$4:$E$324,3,FALSE)</f>
        <v>0150</v>
      </c>
    </row>
    <row r="1073" spans="30:33">
      <c r="AD1073" s="72" t="s">
        <v>3443</v>
      </c>
      <c r="AE1073" s="72" t="s">
        <v>3444</v>
      </c>
      <c r="AF1073" s="72" t="str">
        <f t="shared" si="86"/>
        <v>A622125</v>
      </c>
      <c r="AG1073" s="72" t="str">
        <f>VLOOKUP(AF1073,AKT!$C$4:$E$324,3,FALSE)</f>
        <v>0150</v>
      </c>
    </row>
    <row r="1074" spans="30:33">
      <c r="AD1074" s="72" t="s">
        <v>3445</v>
      </c>
      <c r="AE1074" s="72" t="s">
        <v>3446</v>
      </c>
      <c r="AF1074" s="72" t="str">
        <f t="shared" si="86"/>
        <v>A622125</v>
      </c>
      <c r="AG1074" s="72" t="str">
        <f>VLOOKUP(AF1074,AKT!$C$4:$E$324,3,FALSE)</f>
        <v>0150</v>
      </c>
    </row>
    <row r="1075" spans="30:33">
      <c r="AD1075" s="72" t="s">
        <v>3447</v>
      </c>
      <c r="AE1075" s="72" t="s">
        <v>3448</v>
      </c>
      <c r="AF1075" s="72" t="str">
        <f t="shared" si="86"/>
        <v>A622125</v>
      </c>
      <c r="AG1075" s="72" t="str">
        <f>VLOOKUP(AF1075,AKT!$C$4:$E$324,3,FALSE)</f>
        <v>0150</v>
      </c>
    </row>
    <row r="1076" spans="30:33">
      <c r="AD1076" s="72" t="s">
        <v>3449</v>
      </c>
      <c r="AE1076" s="72" t="s">
        <v>3450</v>
      </c>
      <c r="AF1076" s="72" t="str">
        <f t="shared" si="86"/>
        <v>A622125</v>
      </c>
      <c r="AG1076" s="72" t="str">
        <f>VLOOKUP(AF1076,AKT!$C$4:$E$324,3,FALSE)</f>
        <v>0150</v>
      </c>
    </row>
    <row r="1077" spans="30:33">
      <c r="AD1077" s="72" t="s">
        <v>3451</v>
      </c>
      <c r="AE1077" s="72" t="s">
        <v>1390</v>
      </c>
      <c r="AF1077" s="72" t="str">
        <f t="shared" si="86"/>
        <v>A622125</v>
      </c>
      <c r="AG1077" s="72" t="str">
        <f>VLOOKUP(AF1077,AKT!$C$4:$E$324,3,FALSE)</f>
        <v>0150</v>
      </c>
    </row>
    <row r="1078" spans="30:33">
      <c r="AD1078" s="72" t="s">
        <v>3452</v>
      </c>
      <c r="AE1078" s="72" t="s">
        <v>3453</v>
      </c>
      <c r="AF1078" s="72" t="str">
        <f t="shared" si="86"/>
        <v>A622125</v>
      </c>
      <c r="AG1078" s="72" t="str">
        <f>VLOOKUP(AF1078,AKT!$C$4:$E$324,3,FALSE)</f>
        <v>0150</v>
      </c>
    </row>
    <row r="1079" spans="30:33">
      <c r="AD1079" s="72" t="s">
        <v>927</v>
      </c>
      <c r="AE1079" s="72" t="s">
        <v>257</v>
      </c>
      <c r="AF1079" s="72" t="str">
        <f t="shared" si="86"/>
        <v>K622128</v>
      </c>
      <c r="AG1079" s="72" t="str">
        <f>VLOOKUP(AF1079,AKT!$C$4:$E$324,3,FALSE)</f>
        <v>0150</v>
      </c>
    </row>
    <row r="1080" spans="30:33">
      <c r="AD1080" s="72" t="s">
        <v>928</v>
      </c>
      <c r="AE1080" s="72" t="s">
        <v>258</v>
      </c>
      <c r="AF1080" s="72" t="str">
        <f t="shared" si="86"/>
        <v>K622128</v>
      </c>
      <c r="AG1080" s="72" t="str">
        <f>VLOOKUP(AF1080,AKT!$C$4:$E$324,3,FALSE)</f>
        <v>0150</v>
      </c>
    </row>
    <row r="1081" spans="30:33">
      <c r="AD1081" s="72" t="s">
        <v>929</v>
      </c>
      <c r="AE1081" s="72" t="s">
        <v>930</v>
      </c>
      <c r="AF1081" s="72" t="str">
        <f t="shared" si="86"/>
        <v>K622128</v>
      </c>
      <c r="AG1081" s="72" t="str">
        <f>VLOOKUP(AF1081,AKT!$C$4:$E$324,3,FALSE)</f>
        <v>0150</v>
      </c>
    </row>
    <row r="1082" spans="30:33">
      <c r="AD1082" s="72" t="s">
        <v>931</v>
      </c>
      <c r="AE1082" s="72" t="s">
        <v>868</v>
      </c>
      <c r="AF1082" s="72" t="str">
        <f t="shared" si="86"/>
        <v>K622128</v>
      </c>
      <c r="AG1082" s="72" t="str">
        <f>VLOOKUP(AF1082,AKT!$C$4:$E$324,3,FALSE)</f>
        <v>0150</v>
      </c>
    </row>
    <row r="1083" spans="30:33">
      <c r="AD1083" s="72" t="s">
        <v>1614</v>
      </c>
      <c r="AE1083" s="72" t="s">
        <v>1615</v>
      </c>
      <c r="AF1083" s="72" t="str">
        <f t="shared" si="86"/>
        <v>K622128</v>
      </c>
      <c r="AG1083" s="72" t="str">
        <f>VLOOKUP(AF1083,AKT!$C$4:$E$324,3,FALSE)</f>
        <v>0150</v>
      </c>
    </row>
    <row r="1084" spans="30:33">
      <c r="AD1084" s="72" t="s">
        <v>1616</v>
      </c>
      <c r="AE1084" s="72" t="s">
        <v>1171</v>
      </c>
      <c r="AF1084" s="72" t="str">
        <f t="shared" si="86"/>
        <v>K622128</v>
      </c>
      <c r="AG1084" s="72" t="str">
        <f>VLOOKUP(AF1084,AKT!$C$4:$E$324,3,FALSE)</f>
        <v>0150</v>
      </c>
    </row>
    <row r="1085" spans="30:33">
      <c r="AD1085" s="72" t="s">
        <v>3015</v>
      </c>
      <c r="AE1085" s="72" t="s">
        <v>2924</v>
      </c>
      <c r="AF1085" s="72" t="str">
        <f t="shared" si="86"/>
        <v>K622128</v>
      </c>
      <c r="AG1085" s="72" t="str">
        <f>VLOOKUP(AF1085,AKT!$C$4:$E$324,3,FALSE)</f>
        <v>0150</v>
      </c>
    </row>
    <row r="1086" spans="30:33">
      <c r="AD1086" s="72" t="s">
        <v>3454</v>
      </c>
      <c r="AE1086" s="72" t="s">
        <v>1178</v>
      </c>
      <c r="AF1086" s="72" t="str">
        <f t="shared" si="86"/>
        <v>K622128</v>
      </c>
      <c r="AG1086" s="72" t="str">
        <f>VLOOKUP(AF1086,AKT!$C$4:$E$324,3,FALSE)</f>
        <v>0150</v>
      </c>
    </row>
    <row r="1087" spans="30:33">
      <c r="AD1087" s="72" t="s">
        <v>1183</v>
      </c>
      <c r="AE1087" s="72" t="s">
        <v>1184</v>
      </c>
      <c r="AF1087" s="72" t="str">
        <f t="shared" si="86"/>
        <v>K628080</v>
      </c>
      <c r="AG1087" s="72" t="str">
        <f>VLOOKUP(AF1087,AKT!$C$4:$E$324,3,FALSE)</f>
        <v>0970</v>
      </c>
    </row>
    <row r="1088" spans="30:33">
      <c r="AD1088" s="72" t="s">
        <v>3455</v>
      </c>
      <c r="AE1088" s="72" t="s">
        <v>3456</v>
      </c>
      <c r="AF1088" s="72" t="str">
        <f t="shared" si="86"/>
        <v>K628080</v>
      </c>
      <c r="AG1088" s="72" t="str">
        <f>VLOOKUP(AF1088,AKT!$C$4:$E$324,3,FALSE)</f>
        <v>0970</v>
      </c>
    </row>
    <row r="1089" spans="30:33">
      <c r="AD1089" s="72" t="s">
        <v>1185</v>
      </c>
      <c r="AE1089" s="72" t="s">
        <v>1186</v>
      </c>
      <c r="AF1089" s="72" t="str">
        <f t="shared" si="86"/>
        <v>K628081</v>
      </c>
      <c r="AG1089" s="72" t="str">
        <f>VLOOKUP(AF1089,AKT!$C$4:$E$324,3,FALSE)</f>
        <v>0970</v>
      </c>
    </row>
    <row r="1090" spans="30:33">
      <c r="AD1090" s="72" t="s">
        <v>1187</v>
      </c>
      <c r="AE1090" s="72" t="s">
        <v>1188</v>
      </c>
      <c r="AF1090" s="72" t="str">
        <f t="shared" si="86"/>
        <v>K628081</v>
      </c>
      <c r="AG1090" s="72" t="str">
        <f>VLOOKUP(AF1090,AKT!$C$4:$E$324,3,FALSE)</f>
        <v>0970</v>
      </c>
    </row>
    <row r="1091" spans="30:33">
      <c r="AD1091" s="72" t="s">
        <v>3457</v>
      </c>
      <c r="AE1091" s="72" t="s">
        <v>3456</v>
      </c>
      <c r="AF1091" s="72" t="str">
        <f t="shared" si="86"/>
        <v>K628081</v>
      </c>
      <c r="AG1091" s="72" t="str">
        <f>VLOOKUP(AF1091,AKT!$C$4:$E$324,3,FALSE)</f>
        <v>0970</v>
      </c>
    </row>
    <row r="1092" spans="30:33">
      <c r="AD1092" s="72" t="s">
        <v>1189</v>
      </c>
      <c r="AE1092" s="72" t="s">
        <v>1190</v>
      </c>
      <c r="AF1092" s="72" t="str">
        <f t="shared" si="86"/>
        <v>K628087</v>
      </c>
      <c r="AG1092" s="72" t="str">
        <f>VLOOKUP(AF1092,AKT!$C$4:$E$324,3,FALSE)</f>
        <v>0133</v>
      </c>
    </row>
    <row r="1093" spans="30:33">
      <c r="AD1093" s="72" t="s">
        <v>1191</v>
      </c>
      <c r="AE1093" s="72" t="s">
        <v>1192</v>
      </c>
      <c r="AF1093" s="72" t="str">
        <f t="shared" si="86"/>
        <v>K628087</v>
      </c>
      <c r="AG1093" s="72" t="str">
        <f>VLOOKUP(AF1093,AKT!$C$4:$E$324,3,FALSE)</f>
        <v>0133</v>
      </c>
    </row>
    <row r="1094" spans="30:33">
      <c r="AD1094" s="72" t="s">
        <v>1193</v>
      </c>
      <c r="AE1094" s="72" t="s">
        <v>1194</v>
      </c>
      <c r="AF1094" s="72" t="str">
        <f t="shared" si="86"/>
        <v>K848038</v>
      </c>
      <c r="AG1094" s="72" t="str">
        <f>VLOOKUP(AF1094,AKT!$C$4:$E$324,3,FALSE)</f>
        <v>0950</v>
      </c>
    </row>
    <row r="1095" spans="30:33">
      <c r="AD1095" s="72" t="s">
        <v>1195</v>
      </c>
      <c r="AE1095" s="72" t="s">
        <v>1196</v>
      </c>
      <c r="AF1095" s="72" t="str">
        <f t="shared" si="86"/>
        <v>K848038</v>
      </c>
      <c r="AG1095" s="72" t="str">
        <f>VLOOKUP(AF1095,AKT!$C$4:$E$324,3,FALSE)</f>
        <v>0950</v>
      </c>
    </row>
    <row r="1096" spans="30:33">
      <c r="AD1096" s="72" t="s">
        <v>1197</v>
      </c>
      <c r="AE1096" s="72" t="s">
        <v>1198</v>
      </c>
      <c r="AF1096" s="72" t="str">
        <f t="shared" si="86"/>
        <v>K848038</v>
      </c>
      <c r="AG1096" s="72" t="str">
        <f>VLOOKUP(AF1096,AKT!$C$4:$E$324,3,FALSE)</f>
        <v>0950</v>
      </c>
    </row>
    <row r="1097" spans="30:33">
      <c r="AD1097" s="72" t="s">
        <v>1199</v>
      </c>
      <c r="AE1097" s="72" t="s">
        <v>1200</v>
      </c>
      <c r="AF1097" s="72" t="str">
        <f t="shared" si="86"/>
        <v>K848038</v>
      </c>
      <c r="AG1097" s="72" t="str">
        <f>VLOOKUP(AF1097,AKT!$C$4:$E$324,3,FALSE)</f>
        <v>0950</v>
      </c>
    </row>
    <row r="1098" spans="30:33">
      <c r="AD1098" s="72" t="s">
        <v>1201</v>
      </c>
      <c r="AE1098" s="72" t="s">
        <v>1202</v>
      </c>
      <c r="AF1098" s="72" t="str">
        <f t="shared" si="86"/>
        <v>K848038</v>
      </c>
      <c r="AG1098" s="72" t="str">
        <f>VLOOKUP(AF1098,AKT!$C$4:$E$324,3,FALSE)</f>
        <v>0950</v>
      </c>
    </row>
    <row r="1099" spans="30:33">
      <c r="AD1099" s="72" t="s">
        <v>1203</v>
      </c>
      <c r="AE1099" s="72" t="s">
        <v>1204</v>
      </c>
      <c r="AF1099" s="72" t="str">
        <f t="shared" si="86"/>
        <v>K848038</v>
      </c>
      <c r="AG1099" s="72" t="str">
        <f>VLOOKUP(AF1099,AKT!$C$4:$E$324,3,FALSE)</f>
        <v>0950</v>
      </c>
    </row>
    <row r="1100" spans="30:33">
      <c r="AD1100" s="72" t="s">
        <v>3461</v>
      </c>
      <c r="AE1100" s="72" t="s">
        <v>1153</v>
      </c>
      <c r="AF1100" s="72" t="str">
        <f t="shared" si="86"/>
        <v>K733069</v>
      </c>
      <c r="AG1100" s="72" t="str">
        <f>VLOOKUP(AF1100,AKT!$C$4:$E$324,3,FALSE)</f>
        <v>0150</v>
      </c>
    </row>
    <row r="1101" spans="30:33">
      <c r="AD1101" s="72" t="s">
        <v>3462</v>
      </c>
      <c r="AE1101" s="72" t="s">
        <v>1155</v>
      </c>
      <c r="AF1101" s="72" t="str">
        <f t="shared" si="86"/>
        <v>K733069</v>
      </c>
      <c r="AG1101" s="72" t="str">
        <f>VLOOKUP(AF1101,AKT!$C$4:$E$324,3,FALSE)</f>
        <v>0150</v>
      </c>
    </row>
  </sheetData>
  <sheetProtection selectLockedCells="1"/>
  <autoFilter ref="A2:J512" xr:uid="{A8BA2974-F12A-4F39-ABDC-CDB9ADC9C7C2}"/>
  <sortState ref="AD9:AE250">
    <sortCondition ref="AD9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12" xr:uid="{00000000-0002-0000-0300-000000000000}">
      <formula1>$X$5:$X$140</formula1>
    </dataValidation>
    <dataValidation type="whole" allowBlank="1" showInputMessage="1" showErrorMessage="1" errorTitle="GREŠKA" error="U ovo polje je dozvoljen unos samo brojčanih vrijednosti (bez decimala!)" sqref="H3:J512" xr:uid="{00000000-0002-0000-0300-000001000000}">
      <formula1>-100000000000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12" xr:uid="{00000000-0002-0000-0300-000002000000}">
      <formula1>$U$6:$U$34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12" xr:uid="{00000000-0002-0000-0300-000003000000}">
      <formula1>$AD$6:$AD$1101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U59"/>
  <sheetViews>
    <sheetView showGridLines="0" zoomScale="80" zoomScaleNormal="8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D36" sqref="D36:N36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401" t="s">
        <v>5078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</row>
    <row r="2" spans="1:21" ht="15.6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</row>
    <row r="3" spans="1:21" ht="15.6" customHeight="1">
      <c r="A3" s="401" t="s">
        <v>5079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1" ht="15.6" customHeight="1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</row>
    <row r="5" spans="1:21" ht="15.6" customHeight="1">
      <c r="A5" s="401" t="s">
        <v>5103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</row>
    <row r="6" spans="1:21" s="38" customFormat="1" ht="15">
      <c r="A6" s="37"/>
      <c r="B6" s="37"/>
      <c r="C6" s="37"/>
      <c r="R6" s="39"/>
      <c r="U6" s="294" t="s">
        <v>5251</v>
      </c>
    </row>
    <row r="7" spans="1:21" s="38" customFormat="1" ht="89.25">
      <c r="A7" s="40" t="s">
        <v>237</v>
      </c>
      <c r="B7" s="40" t="s">
        <v>238</v>
      </c>
      <c r="C7" s="179" t="s">
        <v>239</v>
      </c>
      <c r="D7" s="136" t="s">
        <v>259</v>
      </c>
      <c r="E7" s="136" t="s">
        <v>251</v>
      </c>
      <c r="F7" s="137" t="s">
        <v>16</v>
      </c>
      <c r="G7" s="137" t="s">
        <v>1229</v>
      </c>
      <c r="H7" s="137" t="s">
        <v>17</v>
      </c>
      <c r="I7" s="137" t="s">
        <v>240</v>
      </c>
      <c r="J7" s="137" t="s">
        <v>241</v>
      </c>
      <c r="K7" s="137" t="s">
        <v>1230</v>
      </c>
      <c r="L7" s="137" t="s">
        <v>242</v>
      </c>
      <c r="M7" s="137" t="s">
        <v>243</v>
      </c>
      <c r="N7" s="137" t="s">
        <v>244</v>
      </c>
      <c r="O7" s="137" t="s">
        <v>1231</v>
      </c>
      <c r="P7" s="137" t="s">
        <v>1232</v>
      </c>
      <c r="Q7" s="137" t="s">
        <v>1707</v>
      </c>
      <c r="R7" s="41" t="s">
        <v>3016</v>
      </c>
      <c r="S7" s="137" t="s">
        <v>245</v>
      </c>
      <c r="T7" s="41" t="s">
        <v>246</v>
      </c>
      <c r="U7" s="41" t="s">
        <v>250</v>
      </c>
    </row>
    <row r="8" spans="1:21" s="38" customFormat="1" ht="20.25" customHeight="1">
      <c r="A8" s="331">
        <v>2023</v>
      </c>
      <c r="B8" s="331" t="s">
        <v>5265</v>
      </c>
      <c r="C8" s="367">
        <f>SUM(D8:U8)</f>
        <v>8996228</v>
      </c>
      <c r="D8" s="378">
        <f>+D19+D16</f>
        <v>4387971</v>
      </c>
      <c r="E8" s="378">
        <f>+E19+E16</f>
        <v>111795</v>
      </c>
      <c r="F8" s="378">
        <f>+F19+F16</f>
        <v>85475</v>
      </c>
      <c r="G8" s="378">
        <f t="shared" ref="G8:U8" si="0">+G19+G16</f>
        <v>0</v>
      </c>
      <c r="H8" s="378">
        <f t="shared" si="0"/>
        <v>1559264</v>
      </c>
      <c r="I8" s="378">
        <f>+I19+I16</f>
        <v>0</v>
      </c>
      <c r="J8" s="378">
        <f t="shared" si="0"/>
        <v>162000</v>
      </c>
      <c r="K8" s="378">
        <f t="shared" si="0"/>
        <v>0</v>
      </c>
      <c r="L8" s="378">
        <f t="shared" si="0"/>
        <v>0</v>
      </c>
      <c r="M8" s="378">
        <f t="shared" si="0"/>
        <v>0</v>
      </c>
      <c r="N8" s="378">
        <f t="shared" si="0"/>
        <v>2689723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0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5082</v>
      </c>
      <c r="B9" s="57" t="s">
        <v>5081</v>
      </c>
      <c r="C9" s="366">
        <f t="shared" ref="C9:C18" si="1">SUM(D9:U9)</f>
        <v>0</v>
      </c>
      <c r="D9" s="116">
        <f>SUMIFS('Unos prihoda i primitaka'!$G$3:$G$504,'Unos prihoda i primitaka'!$C$3:$C$504,"=11",'Unos prihoda i primitaka'!$L$3:$L$504,"=61")</f>
        <v>0</v>
      </c>
      <c r="E9" s="116">
        <f>SUMIFS('Unos prihoda i primitaka'!$G$3:$G$504,'Unos prihoda i primitaka'!$C$3:$C$504,"=12",'Unos prihoda i primitaka'!$L$3:$L$504,"=61")</f>
        <v>0</v>
      </c>
      <c r="F9" s="116">
        <f>SUMIFS('Unos prihoda i primitaka'!$G$3:$G$504,'Unos prihoda i primitaka'!$C$3:$C$504,"=31",'Unos prihoda i primitaka'!$L$3:$L$504,"=61")</f>
        <v>0</v>
      </c>
      <c r="G9" s="116">
        <f>SUMIFS('Unos prihoda i primitaka'!$G$3:$G$504,'Unos prihoda i primitaka'!$C$3:$C$504,"=41",'Unos prihoda i primitaka'!$L$3:$L$504,"=61")</f>
        <v>0</v>
      </c>
      <c r="H9" s="116">
        <f>SUMIFS('Unos prihoda i primitaka'!$G$3:$G$504,'Unos prihoda i primitaka'!$C$3:$C$504,"=43",'Unos prihoda i primitaka'!$L$3:$L$504,"=61")</f>
        <v>0</v>
      </c>
      <c r="I9" s="116">
        <f>SUMIFS('Unos prihoda i primitaka'!$G$3:$G$504,'Unos prihoda i primitaka'!$C$3:$C$504,"=51",'Unos prihoda i primitaka'!$L$3:$L$504,"=61")</f>
        <v>0</v>
      </c>
      <c r="J9" s="116">
        <f>SUMIFS('Unos prihoda i primitaka'!$G$3:$G$504,'Unos prihoda i primitaka'!$C$3:$C$504,"=52",'Unos prihoda i primitaka'!$L$3:$L$504,"=61")</f>
        <v>0</v>
      </c>
      <c r="K9" s="116">
        <f>SUMIFS('Unos prihoda i primitaka'!$G$3:$G$504,'Unos prihoda i primitaka'!$C$3:$C$504,"=552",'Unos prihoda i primitaka'!$L$3:$L$504,"=61")</f>
        <v>0</v>
      </c>
      <c r="L9" s="116">
        <f>SUMIFS('Unos prihoda i primitaka'!$G$3:$G$504,'Unos prihoda i primitaka'!$C$3:$C$504,"=559",'Unos prihoda i primitaka'!$L$3:$L$504,"=61")</f>
        <v>0</v>
      </c>
      <c r="M9" s="116">
        <f>SUMIFS('Unos prihoda i primitaka'!$G$3:$G$504,'Unos prihoda i primitaka'!$C$3:$C$504,"=561",'Unos prihoda i primitaka'!$L$3:$L$504,"=61")</f>
        <v>0</v>
      </c>
      <c r="N9" s="116">
        <f>SUMIFS('Unos prihoda i primitaka'!$G$3:$G$504,'Unos prihoda i primitaka'!$C$3:$C$504,"=563",'Unos prihoda i primitaka'!$L$3:$L$504,"=61")</f>
        <v>0</v>
      </c>
      <c r="O9" s="116">
        <f>SUMIFS('Unos prihoda i primitaka'!$G$3:$G$504,'Unos prihoda i primitaka'!$C$3:$C$504,"=573",'Unos prihoda i primitaka'!$L$3:$L$504,"=61")</f>
        <v>0</v>
      </c>
      <c r="P9" s="116">
        <f>SUMIFS('Unos prihoda i primitaka'!$G$3:$G$504,'Unos prihoda i primitaka'!$C$3:$C$504,"=575",'Unos prihoda i primitaka'!$L$3:$L$504,"=61")</f>
        <v>0</v>
      </c>
      <c r="Q9" s="116">
        <f>SUMIFS('Unos prihoda i primitaka'!$G$3:$G$504,'Unos prihoda i primitaka'!$C$3:$C$504,"=576",'Unos prihoda i primitaka'!$L$3:$L$504,"=61")</f>
        <v>0</v>
      </c>
      <c r="R9" s="116">
        <f>SUMIFS('Unos prihoda i primitaka'!$G$3:$G$504,'Unos prihoda i primitaka'!$C$3:$C$504,"=581",'Unos prihoda i primitaka'!$L$3:$L$504,"=61")</f>
        <v>0</v>
      </c>
      <c r="S9" s="116">
        <f>SUMIFS('Unos prihoda i primitaka'!$G$3:$G$504,'Unos prihoda i primitaka'!$C$3:$C$504,"=61",'Unos prihoda i primitaka'!$L$3:$L$504,"=61")</f>
        <v>0</v>
      </c>
      <c r="T9" s="116">
        <f>SUMIFS('Unos prihoda i primitaka'!$G$3:$G$504,'Unos prihoda i primitaka'!$C$3:$C$504,"=63",'Unos prihoda i primitaka'!$L$3:$L$504,"=61")</f>
        <v>0</v>
      </c>
      <c r="U9" s="116">
        <f>SUMIFS('Unos prihoda i primitaka'!$G$3:$G$504,'Unos prihoda i primitaka'!$C$3:$C$504,"=71",'Unos prihoda i primitaka'!$L$3:$L$504,"=61")</f>
        <v>0</v>
      </c>
    </row>
    <row r="10" spans="1:21" s="38" customFormat="1" ht="12.75" customHeight="1">
      <c r="A10" s="44" t="s">
        <v>5084</v>
      </c>
      <c r="B10" s="57" t="s">
        <v>5083</v>
      </c>
      <c r="C10" s="366">
        <f t="shared" si="1"/>
        <v>2851723</v>
      </c>
      <c r="D10" s="116">
        <f>SUMIFS('Unos prihoda i primitaka'!$G$3:$G$504,'Unos prihoda i primitaka'!$C$3:$C$504,"=11",'Unos prihoda i primitaka'!$L$3:$L$504,"=63")</f>
        <v>0</v>
      </c>
      <c r="E10" s="116"/>
      <c r="F10" s="116">
        <f>SUMIFS('Unos prihoda i primitaka'!$G$3:$G$504,'Unos prihoda i primitaka'!$C$3:$C$504,"=31",'Unos prihoda i primitaka'!$L$3:$L$504,"=63")</f>
        <v>0</v>
      </c>
      <c r="G10" s="116">
        <f>SUMIFS('Unos prihoda i primitaka'!$G$3:$G$504,'Unos prihoda i primitaka'!$C$3:$C$504,"=41",'Unos prihoda i primitaka'!$L$3:$L$504,"=63")</f>
        <v>0</v>
      </c>
      <c r="H10" s="116">
        <f>SUMIFS('Unos prihoda i primitaka'!$G$3:$G$504,'Unos prihoda i primitaka'!$C$3:$C$504,"=43",'Unos prihoda i primitaka'!$L$3:$L$504,"=63")</f>
        <v>0</v>
      </c>
      <c r="I10" s="116">
        <f>SUMIFS('Unos prihoda i primitaka'!$G$3:$G$504,'Unos prihoda i primitaka'!$C$3:$C$504,"=51",'Unos prihoda i primitaka'!$L$3:$L$504,"=63")</f>
        <v>0</v>
      </c>
      <c r="J10" s="116">
        <f>'Unos prihoda i primitaka'!G14+'Unos prihoda i primitaka'!G15+'Unos prihoda i primitaka'!G16+'Unos prihoda i primitaka'!G17+'Unos prihoda i primitaka'!G18+'Unos prihoda i primitaka'!G19+'Unos prihoda i primitaka'!G20</f>
        <v>162000</v>
      </c>
      <c r="K10" s="116">
        <f>SUMIFS('Unos prihoda i primitaka'!$G$3:$G$504,'Unos prihoda i primitaka'!$C$3:$C$504,"=552",'Unos prihoda i primitaka'!$L$3:$L$504,"=63")</f>
        <v>0</v>
      </c>
      <c r="L10" s="116">
        <f>SUMIFS('Unos prihoda i primitaka'!$G$3:$G$504,'Unos prihoda i primitaka'!$C$3:$C$504,"=559",'Unos prihoda i primitaka'!$L$3:$L$504,"=63")</f>
        <v>0</v>
      </c>
      <c r="M10" s="116">
        <f>SUMIFS('Unos prihoda i primitaka'!$G$3:$G$504,'Unos prihoda i primitaka'!$C$3:$C$504,"=561",'Unos prihoda i primitaka'!$L$3:$L$504,"=63")</f>
        <v>0</v>
      </c>
      <c r="N10" s="116">
        <f>'Unos prihoda i primitaka'!G21+'Unos prihoda i primitaka'!G22</f>
        <v>2689723</v>
      </c>
      <c r="O10" s="116">
        <f>SUMIFS('Unos prihoda i primitaka'!$G$3:$G$504,'Unos prihoda i primitaka'!$C$3:$C$504,"=573",'Unos prihoda i primitaka'!$L$3:$L$504,"=63")</f>
        <v>0</v>
      </c>
      <c r="P10" s="116">
        <f>SUMIFS('Unos prihoda i primitaka'!$G$3:$G$504,'Unos prihoda i primitaka'!$C$3:$C$504,"=575",'Unos prihoda i primitaka'!$L$3:$L$504,"=63")</f>
        <v>0</v>
      </c>
      <c r="Q10" s="116">
        <f>SUMIFS('Unos prihoda i primitaka'!$G$3:$G$504,'Unos prihoda i primitaka'!$C$3:$C$504,"=576",'Unos prihoda i primitaka'!$L$3:$L$504,"=63")</f>
        <v>0</v>
      </c>
      <c r="R10" s="116">
        <f>SUMIFS('Unos prihoda i primitaka'!$G$3:$G$504,'Unos prihoda i primitaka'!$C$3:$C$504,"=581",'Unos prihoda i primitaka'!$L$3:$L$504,"=63")</f>
        <v>0</v>
      </c>
      <c r="S10" s="116">
        <f>SUMIFS('Unos prihoda i primitaka'!$G$3:$G$504,'Unos prihoda i primitaka'!$C$3:$C$504,"=61",'Unos prihoda i primitaka'!$L$3:$L$504,"=63")</f>
        <v>0</v>
      </c>
      <c r="T10" s="116">
        <f>SUMIFS('Unos prihoda i primitaka'!$G$3:$G$504,'Unos prihoda i primitaka'!$C$3:$C$504,"=63",'Unos prihoda i primitaka'!$L$3:$L$504,"=63")</f>
        <v>0</v>
      </c>
      <c r="U10" s="116">
        <f>SUMIFS('Unos prihoda i primitaka'!$G$3:$G$504,'Unos prihoda i primitaka'!$C$3:$C$504,"=71",'Unos prihoda i primitaka'!$L$3:$L$504,"=63")</f>
        <v>0</v>
      </c>
    </row>
    <row r="11" spans="1:21" s="38" customFormat="1">
      <c r="A11" s="42" t="s">
        <v>5086</v>
      </c>
      <c r="B11" s="43" t="s">
        <v>5085</v>
      </c>
      <c r="C11" s="366">
        <f t="shared" si="1"/>
        <v>10500</v>
      </c>
      <c r="D11" s="116">
        <f>SUMIFS('Unos prihoda i primitaka'!$G$3:$G$504,'Unos prihoda i primitaka'!$C$3:$C$504,"=11",'Unos prihoda i primitaka'!$L$3:$L$504,"=64")</f>
        <v>0</v>
      </c>
      <c r="E11" s="116">
        <f>SUMIFS('Unos prihoda i primitaka'!$G$3:$G$504,'Unos prihoda i primitaka'!$C$3:$C$504,"=12",'Unos prihoda i primitaka'!$L$3:$L$504,"=64")</f>
        <v>0</v>
      </c>
      <c r="F11" s="116">
        <f>'Unos prihoda i primitaka'!G5+'Unos prihoda i primitaka'!G6+'Unos prihoda i primitaka'!G7</f>
        <v>10500</v>
      </c>
      <c r="G11" s="116">
        <f>SUMIFS('Unos prihoda i primitaka'!$G$3:$G$504,'Unos prihoda i primitaka'!$C$3:$C$504,"=41",'Unos prihoda i primitaka'!$L$3:$L$504,"=64")</f>
        <v>0</v>
      </c>
      <c r="H11" s="116">
        <f>SUMIFS('Unos prihoda i primitaka'!$G$3:$G$504,'Unos prihoda i primitaka'!$C$3:$C$504,"=43",'Unos prihoda i primitaka'!$L$3:$L$504,"=64")</f>
        <v>0</v>
      </c>
      <c r="I11" s="116">
        <f>SUMIFS('Unos prihoda i primitaka'!$G$3:$G$504,'Unos prihoda i primitaka'!$C$3:$C$504,"=51",'Unos prihoda i primitaka'!$L$3:$L$504,"=64")</f>
        <v>0</v>
      </c>
      <c r="J11" s="116">
        <f>SUMIFS('Unos prihoda i primitaka'!$G$3:$G$504,'Unos prihoda i primitaka'!$C$3:$C$504,"=52",'Unos prihoda i primitaka'!$L$3:$L$504,"=64")</f>
        <v>0</v>
      </c>
      <c r="K11" s="116">
        <f>SUMIFS('Unos prihoda i primitaka'!$G$3:$G$504,'Unos prihoda i primitaka'!$C$3:$C$504,"=552",'Unos prihoda i primitaka'!$L$3:$L$504,"=64")</f>
        <v>0</v>
      </c>
      <c r="L11" s="116">
        <f>SUMIFS('Unos prihoda i primitaka'!$G$3:$G$504,'Unos prihoda i primitaka'!$C$3:$C$504,"=559",'Unos prihoda i primitaka'!$L$3:$L$504,"=64")</f>
        <v>0</v>
      </c>
      <c r="M11" s="116">
        <f>SUMIFS('Unos prihoda i primitaka'!$G$3:$G$504,'Unos prihoda i primitaka'!$C$3:$C$504,"=561",'Unos prihoda i primitaka'!$L$3:$L$504,"=64")</f>
        <v>0</v>
      </c>
      <c r="N11" s="116">
        <f>SUMIFS('Unos prihoda i primitaka'!$G$3:$G$504,'Unos prihoda i primitaka'!$C$3:$C$504,"=563",'Unos prihoda i primitaka'!$L$3:$L$504,"=64")</f>
        <v>0</v>
      </c>
      <c r="O11" s="116">
        <f>SUMIFS('Unos prihoda i primitaka'!$G$3:$G$504,'Unos prihoda i primitaka'!$C$3:$C$504,"=573",'Unos prihoda i primitaka'!$L$3:$L$504,"=64")</f>
        <v>0</v>
      </c>
      <c r="P11" s="116">
        <f>SUMIFS('Unos prihoda i primitaka'!$G$3:$G$504,'Unos prihoda i primitaka'!$C$3:$C$504,"=575",'Unos prihoda i primitaka'!$L$3:$L$504,"=64")</f>
        <v>0</v>
      </c>
      <c r="Q11" s="116">
        <f>SUMIFS('Unos prihoda i primitaka'!$G$3:$G$504,'Unos prihoda i primitaka'!$C$3:$C$504,"=576",'Unos prihoda i primitaka'!$L$3:$L$504,"=64")</f>
        <v>0</v>
      </c>
      <c r="R11" s="116">
        <f>SUMIFS('Unos prihoda i primitaka'!$G$3:$G$504,'Unos prihoda i primitaka'!$C$3:$C$504,"=581",'Unos prihoda i primitaka'!$L$3:$L$504,"=64")</f>
        <v>0</v>
      </c>
      <c r="S11" s="116">
        <f>SUMIFS('Unos prihoda i primitaka'!$G$3:$G$504,'Unos prihoda i primitaka'!$C$3:$C$504,"=61",'Unos prihoda i primitaka'!$L$3:$L$504,"=64")</f>
        <v>0</v>
      </c>
      <c r="T11" s="116">
        <f>SUMIFS('Unos prihoda i primitaka'!$G$3:$G$504,'Unos prihoda i primitaka'!$C$3:$C$504,"=63",'Unos prihoda i primitaka'!$L$3:$L$504,"=64")</f>
        <v>0</v>
      </c>
      <c r="U11" s="116">
        <f>SUMIFS('Unos prihoda i primitaka'!$G$3:$G$504,'Unos prihoda i primitaka'!$C$3:$C$504,"=71",'Unos prihoda i primitaka'!$L$3:$L$504,"=64")</f>
        <v>0</v>
      </c>
    </row>
    <row r="12" spans="1:21" s="38" customFormat="1" ht="25.5">
      <c r="A12" s="42" t="s">
        <v>5087</v>
      </c>
      <c r="B12" s="43" t="s">
        <v>5088</v>
      </c>
      <c r="C12" s="366">
        <f t="shared" si="1"/>
        <v>1559264</v>
      </c>
      <c r="D12" s="116">
        <f>SUMIFS('Unos prihoda i primitaka'!$G$3:$G$504,'Unos prihoda i primitaka'!$C$3:$C$504,"=11",'Unos prihoda i primitaka'!$L$3:$L$504,"=65")</f>
        <v>0</v>
      </c>
      <c r="E12" s="116">
        <f>SUMIFS('Unos prihoda i primitaka'!$G$3:$G$504,'Unos prihoda i primitaka'!$C$3:$C$504,"=12",'Unos prihoda i primitaka'!$L$3:$L$504,"=65")</f>
        <v>0</v>
      </c>
      <c r="F12" s="116">
        <f>SUMIFS('Unos prihoda i primitaka'!$G$3:$G$504,'Unos prihoda i primitaka'!$C$3:$C$504,"=31",'Unos prihoda i primitaka'!$L$3:$L$504,"=65")</f>
        <v>0</v>
      </c>
      <c r="G12" s="116">
        <f>SUMIFS('Unos prihoda i primitaka'!$G$3:$G$504,'Unos prihoda i primitaka'!$C$3:$C$504,"=41",'Unos prihoda i primitaka'!$L$3:$L$504,"=65")</f>
        <v>0</v>
      </c>
      <c r="H12" s="116">
        <f>SUMIFS('Unos prihoda i primitaka'!$G$3:$G$504,'Unos prihoda i primitaka'!$C$3:$C$504,"=43",'Unos prihoda i primitaka'!$L$3:$L$504,"=65")</f>
        <v>1559264</v>
      </c>
      <c r="I12" s="116">
        <f>SUMIFS('Unos prihoda i primitaka'!$G$3:$G$504,'Unos prihoda i primitaka'!$C$3:$C$504,"=51",'Unos prihoda i primitaka'!$L$3:$L$504,"=65")</f>
        <v>0</v>
      </c>
      <c r="J12" s="116">
        <f>SUMIFS('Unos prihoda i primitaka'!$G$3:$G$504,'Unos prihoda i primitaka'!$C$3:$C$504,"=52",'Unos prihoda i primitaka'!$L$3:$L$504,"=65")</f>
        <v>0</v>
      </c>
      <c r="K12" s="116">
        <f>SUMIFS('Unos prihoda i primitaka'!$G$3:$G$504,'Unos prihoda i primitaka'!$C$3:$C$504,"=552",'Unos prihoda i primitaka'!$L$3:$L$504,"=65")</f>
        <v>0</v>
      </c>
      <c r="L12" s="116">
        <f>SUMIFS('Unos prihoda i primitaka'!$G$3:$G$504,'Unos prihoda i primitaka'!$C$3:$C$504,"=559",'Unos prihoda i primitaka'!$L$3:$L$504,"=65")</f>
        <v>0</v>
      </c>
      <c r="M12" s="116">
        <f>SUMIFS('Unos prihoda i primitaka'!$G$3:$G$504,'Unos prihoda i primitaka'!$C$3:$C$504,"=561",'Unos prihoda i primitaka'!$L$3:$L$504,"=65")</f>
        <v>0</v>
      </c>
      <c r="N12" s="116">
        <f>SUMIFS('Unos prihoda i primitaka'!$G$3:$G$504,'Unos prihoda i primitaka'!$C$3:$C$504,"=563",'Unos prihoda i primitaka'!$L$3:$L$504,"=65")</f>
        <v>0</v>
      </c>
      <c r="O12" s="116">
        <f>SUMIFS('Unos prihoda i primitaka'!$G$3:$G$504,'Unos prihoda i primitaka'!$C$3:$C$504,"=573",'Unos prihoda i primitaka'!$L$3:$L$504,"=65")</f>
        <v>0</v>
      </c>
      <c r="P12" s="116">
        <f>SUMIFS('Unos prihoda i primitaka'!$G$3:$G$504,'Unos prihoda i primitaka'!$C$3:$C$504,"=575",'Unos prihoda i primitaka'!$L$3:$L$504,"=65")</f>
        <v>0</v>
      </c>
      <c r="Q12" s="116">
        <f>SUMIFS('Unos prihoda i primitaka'!$G$3:$G$504,'Unos prihoda i primitaka'!$C$3:$C$504,"=576",'Unos prihoda i primitaka'!$L$3:$L$504,"=65")</f>
        <v>0</v>
      </c>
      <c r="R12" s="116">
        <f>SUMIFS('Unos prihoda i primitaka'!$G$3:$G$504,'Unos prihoda i primitaka'!$C$3:$C$504,"=581",'Unos prihoda i primitaka'!$L$3:$L$504,"=65")</f>
        <v>0</v>
      </c>
      <c r="S12" s="116">
        <f>SUMIFS('Unos prihoda i primitaka'!$G$3:$G$504,'Unos prihoda i primitaka'!$C$3:$C$504,"=61",'Unos prihoda i primitaka'!$L$3:$L$504,"=65")</f>
        <v>0</v>
      </c>
      <c r="T12" s="116">
        <f>SUMIFS('Unos prihoda i primitaka'!$G$3:$G$504,'Unos prihoda i primitaka'!$C$3:$C$504,"=63",'Unos prihoda i primitaka'!$L$3:$L$504,"=65")</f>
        <v>0</v>
      </c>
      <c r="U12" s="116">
        <f>SUMIFS('Unos prihoda i primitaka'!$G$3:$G$504,'Unos prihoda i primitaka'!$C$3:$C$504,"=71",'Unos prihoda i primitaka'!$L$3:$L$504,"=65")</f>
        <v>0</v>
      </c>
    </row>
    <row r="13" spans="1:21" s="38" customFormat="1" ht="25.5">
      <c r="A13" s="134" t="s">
        <v>5090</v>
      </c>
      <c r="B13" s="43" t="s">
        <v>5089</v>
      </c>
      <c r="C13" s="366">
        <f t="shared" si="1"/>
        <v>74975</v>
      </c>
      <c r="D13" s="116">
        <f>SUMIFS('Unos prihoda i primitaka'!$G$3:$G$504,'Unos prihoda i primitaka'!$C$3:$C$504,"=11",'Unos prihoda i primitaka'!$L$3:$L$504,"=66")</f>
        <v>0</v>
      </c>
      <c r="E13" s="116">
        <f>SUMIFS('Unos prihoda i primitaka'!$G$3:$G$504,'Unos prihoda i primitaka'!$C$3:$C$504,"=12",'Unos prihoda i primitaka'!$L$3:$L$504,"=66")</f>
        <v>0</v>
      </c>
      <c r="F13" s="116">
        <f>SUMIFS('Unos prihoda i primitaka'!$G$3:$G$504,'Unos prihoda i primitaka'!$C$3:$C$504,"=31",'Unos prihoda i primitaka'!$L$3:$L$504,"=66")</f>
        <v>74975</v>
      </c>
      <c r="G13" s="116">
        <f>SUMIFS('Unos prihoda i primitaka'!$G$3:$G$504,'Unos prihoda i primitaka'!$C$3:$C$504,"=41",'Unos prihoda i primitaka'!$L$3:$L$504,"=66")</f>
        <v>0</v>
      </c>
      <c r="H13" s="116">
        <f>SUMIFS('Unos prihoda i primitaka'!$G$3:$G$504,'Unos prihoda i primitaka'!$C$3:$C$504,"=43",'Unos prihoda i primitaka'!$L$3:$L$504,"=66")</f>
        <v>0</v>
      </c>
      <c r="I13" s="116">
        <f>SUMIFS('Unos prihoda i primitaka'!$G$3:$G$504,'Unos prihoda i primitaka'!$C$3:$C$504,"=51",'Unos prihoda i primitaka'!$L$3:$L$504,"=66")</f>
        <v>0</v>
      </c>
      <c r="J13" s="116">
        <f>SUMIFS('Unos prihoda i primitaka'!$G$3:$G$504,'Unos prihoda i primitaka'!$C$3:$C$504,"=52",'Unos prihoda i primitaka'!$L$3:$L$504,"=66")</f>
        <v>0</v>
      </c>
      <c r="K13" s="116">
        <f>SUMIFS('Unos prihoda i primitaka'!$G$3:$G$504,'Unos prihoda i primitaka'!$C$3:$C$504,"=552",'Unos prihoda i primitaka'!$L$3:$L$504,"=66")</f>
        <v>0</v>
      </c>
      <c r="L13" s="116">
        <f>SUMIFS('Unos prihoda i primitaka'!$G$3:$G$504,'Unos prihoda i primitaka'!$C$3:$C$504,"=559",'Unos prihoda i primitaka'!$L$3:$L$504,"=66")</f>
        <v>0</v>
      </c>
      <c r="M13" s="116">
        <f>SUMIFS('Unos prihoda i primitaka'!$G$3:$G$504,'Unos prihoda i primitaka'!$C$3:$C$504,"=561",'Unos prihoda i primitaka'!$L$3:$L$504,"=66")</f>
        <v>0</v>
      </c>
      <c r="N13" s="116">
        <f>SUMIFS('Unos prihoda i primitaka'!$G$3:$G$504,'Unos prihoda i primitaka'!$C$3:$C$504,"=563",'Unos prihoda i primitaka'!$L$3:$L$504,"=66")</f>
        <v>0</v>
      </c>
      <c r="O13" s="116">
        <f>SUMIFS('Unos prihoda i primitaka'!$G$3:$G$504,'Unos prihoda i primitaka'!$C$3:$C$504,"=573",'Unos prihoda i primitaka'!$L$3:$L$504,"=66")</f>
        <v>0</v>
      </c>
      <c r="P13" s="116">
        <f>SUMIFS('Unos prihoda i primitaka'!$G$3:$G$504,'Unos prihoda i primitaka'!$C$3:$C$504,"=575",'Unos prihoda i primitaka'!$L$3:$L$504,"=66")</f>
        <v>0</v>
      </c>
      <c r="Q13" s="116">
        <f>SUMIFS('Unos prihoda i primitaka'!$G$3:$G$504,'Unos prihoda i primitaka'!$C$3:$C$504,"=576",'Unos prihoda i primitaka'!$L$3:$L$504,"=66")</f>
        <v>0</v>
      </c>
      <c r="R13" s="116">
        <f>SUMIFS('Unos prihoda i primitaka'!$G$3:$G$504,'Unos prihoda i primitaka'!$C$3:$C$504,"=581",'Unos prihoda i primitaka'!$L$3:$L$504,"=66")</f>
        <v>0</v>
      </c>
      <c r="S13" s="116">
        <f>SUMIFS('Unos prihoda i primitaka'!$G$3:$G$504,'Unos prihoda i primitaka'!$C$3:$C$504,"=61",'Unos prihoda i primitaka'!$L$3:$L$504,"=66")</f>
        <v>0</v>
      </c>
      <c r="T13" s="116">
        <f>SUMIFS('Unos prihoda i primitaka'!$G$3:$G$504,'Unos prihoda i primitaka'!$C$3:$C$504,"=63",'Unos prihoda i primitaka'!$L$3:$L$504,"=66")</f>
        <v>0</v>
      </c>
      <c r="U13" s="116">
        <f>SUMIFS('Unos prihoda i primitaka'!$G$3:$G$504,'Unos prihoda i primitaka'!$C$3:$C$504,"=71",'Unos prihoda i primitaka'!$L$3:$L$504,"=66")</f>
        <v>0</v>
      </c>
    </row>
    <row r="14" spans="1:21" s="38" customFormat="1">
      <c r="A14" s="42" t="s">
        <v>5093</v>
      </c>
      <c r="B14" s="43" t="s">
        <v>5102</v>
      </c>
      <c r="C14" s="366">
        <f t="shared" si="1"/>
        <v>4499766</v>
      </c>
      <c r="D14" s="116">
        <f>SUMIFS('Unos prihoda i primitaka'!$G$3:$G$504,'Unos prihoda i primitaka'!$C$3:$C$504,"=11",'Unos prihoda i primitaka'!$L$3:$L$504,"=67")</f>
        <v>4387971</v>
      </c>
      <c r="E14" s="116">
        <f>SUMIFS('Unos prihoda i primitaka'!$G$3:$G$504,'Unos prihoda i primitaka'!$C$3:$C$504,"=12",'Unos prihoda i primitaka'!$L$3:$L$504,"=67")</f>
        <v>111795</v>
      </c>
      <c r="F14" s="116">
        <f>SUMIFS('Unos prihoda i primitaka'!$G$3:$G$504,'Unos prihoda i primitaka'!$C$3:$C$504,"=31",'Unos prihoda i primitaka'!$L$3:$L$504,"=67")</f>
        <v>0</v>
      </c>
      <c r="G14" s="116">
        <f>SUMIFS('Unos prihoda i primitaka'!$G$3:$G$504,'Unos prihoda i primitaka'!$C$3:$C$504,"=41",'Unos prihoda i primitaka'!$L$3:$L$504,"=67")</f>
        <v>0</v>
      </c>
      <c r="H14" s="116">
        <f>SUMIFS('Unos prihoda i primitaka'!$G$3:$G$504,'Unos prihoda i primitaka'!$C$3:$C$504,"=43",'Unos prihoda i primitaka'!$L$3:$L$504,"=67")</f>
        <v>0</v>
      </c>
      <c r="I14" s="116">
        <f>SUMIFS('Unos prihoda i primitaka'!$G$3:$G$504,'Unos prihoda i primitaka'!$C$3:$C$504,"=51",'Unos prihoda i primitaka'!$L$3:$L$504,"=67")</f>
        <v>0</v>
      </c>
      <c r="J14" s="116">
        <f>SUMIFS('Unos prihoda i primitaka'!$G$3:$G$504,'Unos prihoda i primitaka'!$C$3:$C$504,"=52",'Unos prihoda i primitaka'!$L$3:$L$504,"=67")</f>
        <v>0</v>
      </c>
      <c r="K14" s="116">
        <f>SUMIFS('Unos prihoda i primitaka'!$G$3:$G$504,'Unos prihoda i primitaka'!$C$3:$C$504,"=552",'Unos prihoda i primitaka'!$L$3:$L$504,"=67")</f>
        <v>0</v>
      </c>
      <c r="L14" s="116">
        <f>SUMIFS('Unos prihoda i primitaka'!$G$3:$G$504,'Unos prihoda i primitaka'!$C$3:$C$504,"=559",'Unos prihoda i primitaka'!$L$3:$L$504,"=67")</f>
        <v>0</v>
      </c>
      <c r="M14" s="116">
        <f>SUMIFS('Unos prihoda i primitaka'!$G$3:$G$504,'Unos prihoda i primitaka'!$C$3:$C$504,"=561",'Unos prihoda i primitaka'!$L$3:$L$504,"=67")</f>
        <v>0</v>
      </c>
      <c r="N14" s="116">
        <f>SUMIFS('Unos prihoda i primitaka'!$G$3:$G$504,'Unos prihoda i primitaka'!$C$3:$C$504,"=563",'Unos prihoda i primitaka'!$L$3:$L$504,"=67")</f>
        <v>0</v>
      </c>
      <c r="O14" s="116">
        <f>SUMIFS('Unos prihoda i primitaka'!$G$3:$G$504,'Unos prihoda i primitaka'!$C$3:$C$504,"=573",'Unos prihoda i primitaka'!$L$3:$L$504,"=67")</f>
        <v>0</v>
      </c>
      <c r="P14" s="116">
        <f>SUMIFS('Unos prihoda i primitaka'!$G$3:$G$504,'Unos prihoda i primitaka'!$C$3:$C$504,"=575",'Unos prihoda i primitaka'!$L$3:$L$504,"=67")</f>
        <v>0</v>
      </c>
      <c r="Q14" s="116">
        <f>SUMIFS('Unos prihoda i primitaka'!$G$3:$G$504,'Unos prihoda i primitaka'!$C$3:$C$504,"=576",'Unos prihoda i primitaka'!$L$3:$L$504,"=67")</f>
        <v>0</v>
      </c>
      <c r="R14" s="116">
        <f>SUMIFS('Unos prihoda i primitaka'!$G$3:$G$504,'Unos prihoda i primitaka'!$C$3:$C$504,"=581",'Unos prihoda i primitaka'!$L$3:$L$504,"=67")</f>
        <v>0</v>
      </c>
      <c r="S14" s="116">
        <f>SUMIFS('Unos prihoda i primitaka'!$G$3:$G$504,'Unos prihoda i primitaka'!$C$3:$C$504,"=61",'Unos prihoda i primitaka'!$L$3:$L$504,"=67")</f>
        <v>0</v>
      </c>
      <c r="T14" s="116">
        <f>SUMIFS('Unos prihoda i primitaka'!$G$3:$G$504,'Unos prihoda i primitaka'!$C$3:$C$504,"=63",'Unos prihoda i primitaka'!$L$3:$L$504,"=67")</f>
        <v>0</v>
      </c>
      <c r="U14" s="116">
        <f>SUMIFS('Unos prihoda i primitaka'!$G$3:$G$504,'Unos prihoda i primitaka'!$C$3:$C$504,"=71",'Unos prihoda i primitaka'!$L$3:$L$504,"=67")</f>
        <v>0</v>
      </c>
    </row>
    <row r="15" spans="1:21" s="38" customFormat="1">
      <c r="A15" s="42" t="s">
        <v>5092</v>
      </c>
      <c r="B15" s="43" t="s">
        <v>5091</v>
      </c>
      <c r="C15" s="366">
        <f t="shared" si="1"/>
        <v>0</v>
      </c>
      <c r="D15" s="116">
        <f>SUMIFS('Unos prihoda i primitaka'!$G$3:$G$504,'Unos prihoda i primitaka'!$C$3:$C$504,"=11",'Unos prihoda i primitaka'!$L$3:$L$504,"=68")</f>
        <v>0</v>
      </c>
      <c r="E15" s="116">
        <f>SUMIFS('Unos prihoda i primitaka'!$G$3:$G$504,'Unos prihoda i primitaka'!$C$3:$C$504,"=12",'Unos prihoda i primitaka'!$L$3:$L$504,"=68")</f>
        <v>0</v>
      </c>
      <c r="F15" s="116">
        <f>SUMIFS('Unos prihoda i primitaka'!$G$3:$G$504,'Unos prihoda i primitaka'!$C$3:$C$504,"=31",'Unos prihoda i primitaka'!$L$3:$L$504,"=68")</f>
        <v>0</v>
      </c>
      <c r="G15" s="116">
        <f>SUMIFS('Unos prihoda i primitaka'!$G$3:$G$504,'Unos prihoda i primitaka'!$C$3:$C$504,"=41",'Unos prihoda i primitaka'!$L$3:$L$504,"=68")</f>
        <v>0</v>
      </c>
      <c r="H15" s="116">
        <f>SUMIFS('Unos prihoda i primitaka'!$G$3:$G$504,'Unos prihoda i primitaka'!$C$3:$C$504,"=43",'Unos prihoda i primitaka'!$L$3:$L$504,"=68")</f>
        <v>0</v>
      </c>
      <c r="I15" s="116">
        <f>SUMIFS('Unos prihoda i primitaka'!$G$3:$G$504,'Unos prihoda i primitaka'!$C$3:$C$504,"=51",'Unos prihoda i primitaka'!$L$3:$L$504,"=68")</f>
        <v>0</v>
      </c>
      <c r="J15" s="116">
        <f>SUMIFS('Unos prihoda i primitaka'!$G$3:$G$504,'Unos prihoda i primitaka'!$C$3:$C$504,"=52",'Unos prihoda i primitaka'!$L$3:$L$504,"=68")</f>
        <v>0</v>
      </c>
      <c r="K15" s="116">
        <f>SUMIFS('Unos prihoda i primitaka'!$G$3:$G$504,'Unos prihoda i primitaka'!$C$3:$C$504,"=552",'Unos prihoda i primitaka'!$L$3:$L$504,"=68")</f>
        <v>0</v>
      </c>
      <c r="L15" s="116">
        <f>SUMIFS('Unos prihoda i primitaka'!$G$3:$G$504,'Unos prihoda i primitaka'!$C$3:$C$504,"=559",'Unos prihoda i primitaka'!$L$3:$L$504,"=68")</f>
        <v>0</v>
      </c>
      <c r="M15" s="116">
        <f>SUMIFS('Unos prihoda i primitaka'!$G$3:$G$504,'Unos prihoda i primitaka'!$C$3:$C$504,"=561",'Unos prihoda i primitaka'!$L$3:$L$504,"=68")</f>
        <v>0</v>
      </c>
      <c r="N15" s="116">
        <f>SUMIFS('Unos prihoda i primitaka'!$G$3:$G$504,'Unos prihoda i primitaka'!$C$3:$C$504,"=563",'Unos prihoda i primitaka'!$L$3:$L$504,"=68")</f>
        <v>0</v>
      </c>
      <c r="O15" s="116">
        <f>SUMIFS('Unos prihoda i primitaka'!$G$3:$G$504,'Unos prihoda i primitaka'!$C$3:$C$504,"=573",'Unos prihoda i primitaka'!$L$3:$L$504,"=68")</f>
        <v>0</v>
      </c>
      <c r="P15" s="116">
        <f>SUMIFS('Unos prihoda i primitaka'!$G$3:$G$504,'Unos prihoda i primitaka'!$C$3:$C$504,"=575",'Unos prihoda i primitaka'!$L$3:$L$504,"=68")</f>
        <v>0</v>
      </c>
      <c r="Q15" s="116">
        <f>SUMIFS('Unos prihoda i primitaka'!$G$3:$G$504,'Unos prihoda i primitaka'!$C$3:$C$504,"=576",'Unos prihoda i primitaka'!$L$3:$L$504,"=68")</f>
        <v>0</v>
      </c>
      <c r="R15" s="116">
        <f>SUMIFS('Unos prihoda i primitaka'!$G$3:$G$504,'Unos prihoda i primitaka'!$C$3:$C$504,"=581",'Unos prihoda i primitaka'!$L$3:$L$504,"=68")</f>
        <v>0</v>
      </c>
      <c r="S15" s="116">
        <f>SUMIFS('Unos prihoda i primitaka'!$G$3:$G$504,'Unos prihoda i primitaka'!$C$3:$C$504,"=61",'Unos prihoda i primitaka'!$L$3:$L$504,"=68")</f>
        <v>0</v>
      </c>
      <c r="T15" s="116">
        <f>SUMIFS('Unos prihoda i primitaka'!$G$3:$G$504,'Unos prihoda i primitaka'!$C$3:$C$504,"=63",'Unos prihoda i primitaka'!$L$3:$L$504,"=68")</f>
        <v>0</v>
      </c>
      <c r="U15" s="116">
        <f>SUMIFS('Unos prihoda i primitaka'!$G$3:$G$504,'Unos prihoda i primitaka'!$C$3:$C$504,"=71",'Unos prihoda i primitaka'!$L$3:$L$504,"=68")</f>
        <v>0</v>
      </c>
    </row>
    <row r="16" spans="1:21" s="38" customFormat="1">
      <c r="A16" s="45" t="s">
        <v>247</v>
      </c>
      <c r="B16" s="46" t="s">
        <v>248</v>
      </c>
      <c r="C16" s="366">
        <f>SUM(D16:U16)</f>
        <v>8996228</v>
      </c>
      <c r="D16" s="3">
        <f t="shared" ref="D16:U16" si="2">SUM(D9:D15)</f>
        <v>4387971</v>
      </c>
      <c r="E16" s="3">
        <f t="shared" si="2"/>
        <v>111795</v>
      </c>
      <c r="F16" s="3">
        <f t="shared" si="2"/>
        <v>85475</v>
      </c>
      <c r="G16" s="3">
        <f t="shared" si="2"/>
        <v>0</v>
      </c>
      <c r="H16" s="3">
        <f t="shared" si="2"/>
        <v>1559264</v>
      </c>
      <c r="I16" s="3">
        <f t="shared" si="2"/>
        <v>0</v>
      </c>
      <c r="J16" s="3">
        <f t="shared" si="2"/>
        <v>162000</v>
      </c>
      <c r="K16" s="3">
        <f t="shared" si="2"/>
        <v>0</v>
      </c>
      <c r="L16" s="3">
        <f t="shared" si="2"/>
        <v>0</v>
      </c>
      <c r="M16" s="3">
        <f t="shared" si="2"/>
        <v>0</v>
      </c>
      <c r="N16" s="3">
        <f t="shared" si="2"/>
        <v>2689723</v>
      </c>
      <c r="O16" s="3">
        <f t="shared" si="2"/>
        <v>0</v>
      </c>
      <c r="P16" s="3">
        <f t="shared" si="2"/>
        <v>0</v>
      </c>
      <c r="Q16" s="3">
        <f t="shared" si="2"/>
        <v>0</v>
      </c>
      <c r="R16" s="3">
        <f t="shared" si="2"/>
        <v>0</v>
      </c>
      <c r="S16" s="3">
        <f t="shared" si="2"/>
        <v>0</v>
      </c>
      <c r="T16" s="3">
        <f t="shared" si="2"/>
        <v>0</v>
      </c>
      <c r="U16" s="3">
        <f t="shared" si="2"/>
        <v>0</v>
      </c>
    </row>
    <row r="17" spans="1:21" s="38" customFormat="1">
      <c r="A17" s="42" t="s">
        <v>5094</v>
      </c>
      <c r="B17" s="47" t="s">
        <v>5095</v>
      </c>
      <c r="C17" s="27">
        <f t="shared" si="1"/>
        <v>0</v>
      </c>
      <c r="D17" s="116">
        <f>SUMIFS('Unos prihoda i primitaka'!$G$3:$G$504,'Unos prihoda i primitaka'!$C$3:$C$504,"=11",'Unos prihoda i primitaka'!$L$3:$L$504,"=71")</f>
        <v>0</v>
      </c>
      <c r="E17" s="116">
        <f>SUMIFS('Unos prihoda i primitaka'!$G$3:$G$504,'Unos prihoda i primitaka'!$C$3:$C$504,"=12",'Unos prihoda i primitaka'!$L$3:$L$504,"=71")</f>
        <v>0</v>
      </c>
      <c r="F17" s="116">
        <f>SUMIFS('Unos prihoda i primitaka'!$G$3:$G$504,'Unos prihoda i primitaka'!$C$3:$C$504,"=31",'Unos prihoda i primitaka'!$L$3:$L$504,"=71")</f>
        <v>0</v>
      </c>
      <c r="G17" s="116">
        <f>SUMIFS('Unos prihoda i primitaka'!$G$3:$G$504,'Unos prihoda i primitaka'!$C$3:$C$504,"=41",'Unos prihoda i primitaka'!$L$3:$L$504,"=71")</f>
        <v>0</v>
      </c>
      <c r="H17" s="116">
        <f>SUMIFS('Unos prihoda i primitaka'!$G$3:$G$504,'Unos prihoda i primitaka'!$C$3:$C$504,"=43",'Unos prihoda i primitaka'!$L$3:$L$504,"=71")</f>
        <v>0</v>
      </c>
      <c r="I17" s="116">
        <f>SUMIFS('Unos prihoda i primitaka'!$G$3:$G$504,'Unos prihoda i primitaka'!$C$3:$C$504,"=51",'Unos prihoda i primitaka'!$L$3:$L$504,"=71")</f>
        <v>0</v>
      </c>
      <c r="J17" s="116">
        <f>SUMIFS('Unos prihoda i primitaka'!$G$3:$G$504,'Unos prihoda i primitaka'!$C$3:$C$504,"=52",'Unos prihoda i primitaka'!$L$3:$L$504,"=71")</f>
        <v>0</v>
      </c>
      <c r="K17" s="116">
        <f>SUMIFS('Unos prihoda i primitaka'!$G$3:$G$504,'Unos prihoda i primitaka'!$C$3:$C$504,"=552",'Unos prihoda i primitaka'!$L$3:$L$504,"=71")</f>
        <v>0</v>
      </c>
      <c r="L17" s="116">
        <f>SUMIFS('Unos prihoda i primitaka'!$G$3:$G$504,'Unos prihoda i primitaka'!$C$3:$C$504,"=559",'Unos prihoda i primitaka'!$L$3:$L$504,"=71")</f>
        <v>0</v>
      </c>
      <c r="M17" s="116">
        <f>SUMIFS('Unos prihoda i primitaka'!$G$3:$G$504,'Unos prihoda i primitaka'!$C$3:$C$504,"=561",'Unos prihoda i primitaka'!$L$3:$L$504,"=71")</f>
        <v>0</v>
      </c>
      <c r="N17" s="116">
        <f>SUMIFS('Unos prihoda i primitaka'!$G$3:$G$504,'Unos prihoda i primitaka'!$C$3:$C$504,"=563",'Unos prihoda i primitaka'!$L$3:$L$504,"=71")</f>
        <v>0</v>
      </c>
      <c r="O17" s="116">
        <f>SUMIFS('Unos prihoda i primitaka'!$G$3:$G$504,'Unos prihoda i primitaka'!$C$3:$C$504,"=573",'Unos prihoda i primitaka'!$L$3:$L$504,"=71")</f>
        <v>0</v>
      </c>
      <c r="P17" s="116">
        <f>SUMIFS('Unos prihoda i primitaka'!$G$3:$G$504,'Unos prihoda i primitaka'!$C$3:$C$504,"=575",'Unos prihoda i primitaka'!$L$3:$L$504,"=71")</f>
        <v>0</v>
      </c>
      <c r="Q17" s="116">
        <f>SUMIFS('Unos prihoda i primitaka'!$G$3:$G$504,'Unos prihoda i primitaka'!$C$3:$C$504,"=576",'Unos prihoda i primitaka'!$L$3:$L$504,"=71")</f>
        <v>0</v>
      </c>
      <c r="R17" s="116">
        <f>SUMIFS('Unos prihoda i primitaka'!$G$3:$G$504,'Unos prihoda i primitaka'!$C$3:$C$504,"=581",'Unos prihoda i primitaka'!$L$3:$L$504,"=71")</f>
        <v>0</v>
      </c>
      <c r="S17" s="116">
        <f>SUMIFS('Unos prihoda i primitaka'!$G$3:$G$504,'Unos prihoda i primitaka'!$C$3:$C$504,"=61",'Unos prihoda i primitaka'!$L$3:$L$504,"=71")</f>
        <v>0</v>
      </c>
      <c r="T17" s="116">
        <f>SUMIFS('Unos prihoda i primitaka'!$G$3:$G$504,'Unos prihoda i primitaka'!$C$3:$C$504,"=63",'Unos prihoda i primitaka'!$L$3:$L$504,"=71")</f>
        <v>0</v>
      </c>
      <c r="U17" s="116">
        <f>SUMIFS('Unos prihoda i primitaka'!$G$3:$G$504,'Unos prihoda i primitaka'!$C$3:$C$504,"=71",'Unos prihoda i primitaka'!$L$3:$L$504,"=71")</f>
        <v>0</v>
      </c>
    </row>
    <row r="18" spans="1:21" s="38" customFormat="1">
      <c r="A18" s="42" t="s">
        <v>5096</v>
      </c>
      <c r="B18" s="47" t="s">
        <v>5097</v>
      </c>
      <c r="C18" s="27">
        <f t="shared" si="1"/>
        <v>0</v>
      </c>
      <c r="D18" s="116">
        <f>SUMIFS('Unos prihoda i primitaka'!$G$3:$G$504,'Unos prihoda i primitaka'!$C$3:$C$504,"=11",'Unos prihoda i primitaka'!$L$3:$L$504,"=72")</f>
        <v>0</v>
      </c>
      <c r="E18" s="116">
        <f>SUMIFS('Unos prihoda i primitaka'!$G$3:$G$504,'Unos prihoda i primitaka'!$C$3:$C$504,"=12",'Unos prihoda i primitaka'!$L$3:$L$504,"=72")</f>
        <v>0</v>
      </c>
      <c r="F18" s="116">
        <f>SUMIFS('Unos prihoda i primitaka'!$G$3:$G$504,'Unos prihoda i primitaka'!$C$3:$C$504,"=31",'Unos prihoda i primitaka'!$L$3:$L$504,"=72")</f>
        <v>0</v>
      </c>
      <c r="G18" s="116">
        <f>SUMIFS('Unos prihoda i primitaka'!$G$3:$G$504,'Unos prihoda i primitaka'!$C$3:$C$504,"=41",'Unos prihoda i primitaka'!$L$3:$L$504,"=72")</f>
        <v>0</v>
      </c>
      <c r="H18" s="116">
        <f>SUMIFS('Unos prihoda i primitaka'!$G$3:$G$504,'Unos prihoda i primitaka'!$C$3:$C$504,"=43",'Unos prihoda i primitaka'!$L$3:$L$504,"=72")</f>
        <v>0</v>
      </c>
      <c r="I18" s="116">
        <f>SUMIFS('Unos prihoda i primitaka'!$G$3:$G$504,'Unos prihoda i primitaka'!$C$3:$C$504,"=51",'Unos prihoda i primitaka'!$L$3:$L$504,"=72")</f>
        <v>0</v>
      </c>
      <c r="J18" s="116">
        <f>SUMIFS('Unos prihoda i primitaka'!$G$3:$G$504,'Unos prihoda i primitaka'!$C$3:$C$504,"=52",'Unos prihoda i primitaka'!$L$3:$L$504,"=72")</f>
        <v>0</v>
      </c>
      <c r="K18" s="116">
        <f>SUMIFS('Unos prihoda i primitaka'!$G$3:$G$504,'Unos prihoda i primitaka'!$C$3:$C$504,"=552",'Unos prihoda i primitaka'!$L$3:$L$504,"=72")</f>
        <v>0</v>
      </c>
      <c r="L18" s="116">
        <f>SUMIFS('Unos prihoda i primitaka'!$G$3:$G$504,'Unos prihoda i primitaka'!$C$3:$C$504,"=559",'Unos prihoda i primitaka'!$L$3:$L$504,"=72")</f>
        <v>0</v>
      </c>
      <c r="M18" s="116">
        <f>SUMIFS('Unos prihoda i primitaka'!$G$3:$G$504,'Unos prihoda i primitaka'!$C$3:$C$504,"=561",'Unos prihoda i primitaka'!$L$3:$L$504,"=72")</f>
        <v>0</v>
      </c>
      <c r="N18" s="116">
        <f>SUMIFS('Unos prihoda i primitaka'!$G$3:$G$504,'Unos prihoda i primitaka'!$C$3:$C$504,"=563",'Unos prihoda i primitaka'!$L$3:$L$504,"=72")</f>
        <v>0</v>
      </c>
      <c r="O18" s="116">
        <f>SUMIFS('Unos prihoda i primitaka'!$G$3:$G$504,'Unos prihoda i primitaka'!$C$3:$C$504,"=573",'Unos prihoda i primitaka'!$L$3:$L$504,"=72")</f>
        <v>0</v>
      </c>
      <c r="P18" s="116">
        <f>SUMIFS('Unos prihoda i primitaka'!$G$3:$G$504,'Unos prihoda i primitaka'!$C$3:$C$504,"=575",'Unos prihoda i primitaka'!$L$3:$L$504,"=72")</f>
        <v>0</v>
      </c>
      <c r="Q18" s="116">
        <f>SUMIFS('Unos prihoda i primitaka'!$G$3:$G$504,'Unos prihoda i primitaka'!$C$3:$C$504,"=576",'Unos prihoda i primitaka'!$L$3:$L$504,"=72")</f>
        <v>0</v>
      </c>
      <c r="R18" s="116">
        <f>SUMIFS('Unos prihoda i primitaka'!$G$3:$G$504,'Unos prihoda i primitaka'!$C$3:$C$504,"=581",'Unos prihoda i primitaka'!$L$3:$L$504,"=72")</f>
        <v>0</v>
      </c>
      <c r="S18" s="116">
        <f>SUMIFS('Unos prihoda i primitaka'!$G$3:$G$504,'Unos prihoda i primitaka'!$C$3:$C$504,"=61",'Unos prihoda i primitaka'!$L$3:$L$504,"=72")</f>
        <v>0</v>
      </c>
      <c r="T18" s="116">
        <f>SUMIFS('Unos prihoda i primitaka'!$G$3:$G$504,'Unos prihoda i primitaka'!$C$3:$C$504,"=63",'Unos prihoda i primitaka'!$L$3:$L$504,"=72")</f>
        <v>0</v>
      </c>
      <c r="U18" s="116">
        <f>SUMIFS('Unos prihoda i primitaka'!$G$3:$G$504,'Unos prihoda i primitaka'!$C$3:$C$504,"=71",'Unos prihoda i primitaka'!$L$3:$L$504,"=72")</f>
        <v>0</v>
      </c>
    </row>
    <row r="19" spans="1:21" s="38" customFormat="1">
      <c r="A19" s="45" t="s">
        <v>249</v>
      </c>
      <c r="B19" s="46" t="s">
        <v>248</v>
      </c>
      <c r="C19" s="27">
        <f>SUM(D19:U19)</f>
        <v>0</v>
      </c>
      <c r="D19" s="3">
        <f>SUM(D17:D18)</f>
        <v>0</v>
      </c>
      <c r="E19" s="3">
        <f t="shared" ref="E19:U19" si="3">SUM(E17:E18)</f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 t="shared" si="3"/>
        <v>0</v>
      </c>
      <c r="J19" s="3">
        <f t="shared" si="3"/>
        <v>0</v>
      </c>
      <c r="K19" s="3">
        <f t="shared" si="3"/>
        <v>0</v>
      </c>
      <c r="L19" s="3">
        <f t="shared" si="3"/>
        <v>0</v>
      </c>
      <c r="M19" s="3">
        <f t="shared" si="3"/>
        <v>0</v>
      </c>
      <c r="N19" s="3">
        <f t="shared" si="3"/>
        <v>0</v>
      </c>
      <c r="O19" s="3">
        <f t="shared" si="3"/>
        <v>0</v>
      </c>
      <c r="P19" s="3">
        <f t="shared" si="3"/>
        <v>0</v>
      </c>
      <c r="Q19" s="3">
        <f t="shared" si="3"/>
        <v>0</v>
      </c>
      <c r="R19" s="3">
        <f t="shared" si="3"/>
        <v>0</v>
      </c>
      <c r="S19" s="3">
        <f t="shared" si="3"/>
        <v>0</v>
      </c>
      <c r="T19" s="3">
        <f t="shared" si="3"/>
        <v>0</v>
      </c>
      <c r="U19" s="3">
        <f t="shared" si="3"/>
        <v>0</v>
      </c>
    </row>
    <row r="20" spans="1:21">
      <c r="A20" s="20"/>
      <c r="B20" s="20"/>
      <c r="C20" s="20"/>
      <c r="D20" s="20"/>
      <c r="E20" s="20"/>
      <c r="F20" s="20"/>
      <c r="G20" s="20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39"/>
    </row>
    <row r="21" spans="1:21" s="38" customFormat="1" ht="89.25">
      <c r="A21" s="40" t="s">
        <v>237</v>
      </c>
      <c r="B21" s="40" t="s">
        <v>238</v>
      </c>
      <c r="C21" s="179" t="s">
        <v>239</v>
      </c>
      <c r="D21" s="136" t="s">
        <v>259</v>
      </c>
      <c r="E21" s="136" t="s">
        <v>251</v>
      </c>
      <c r="F21" s="137" t="s">
        <v>16</v>
      </c>
      <c r="G21" s="137" t="s">
        <v>1229</v>
      </c>
      <c r="H21" s="137" t="s">
        <v>17</v>
      </c>
      <c r="I21" s="137" t="s">
        <v>240</v>
      </c>
      <c r="J21" s="137" t="s">
        <v>241</v>
      </c>
      <c r="K21" s="137" t="s">
        <v>1230</v>
      </c>
      <c r="L21" s="137" t="s">
        <v>242</v>
      </c>
      <c r="M21" s="137" t="s">
        <v>243</v>
      </c>
      <c r="N21" s="137" t="s">
        <v>244</v>
      </c>
      <c r="O21" s="137" t="s">
        <v>1231</v>
      </c>
      <c r="P21" s="137" t="s">
        <v>1232</v>
      </c>
      <c r="Q21" s="137" t="s">
        <v>1707</v>
      </c>
      <c r="R21" s="41" t="s">
        <v>3016</v>
      </c>
      <c r="S21" s="137" t="s">
        <v>245</v>
      </c>
      <c r="T21" s="41" t="s">
        <v>246</v>
      </c>
      <c r="U21" s="41" t="s">
        <v>250</v>
      </c>
    </row>
    <row r="22" spans="1:21" s="38" customFormat="1" ht="20.25" customHeight="1">
      <c r="A22" s="331">
        <v>2023</v>
      </c>
      <c r="B22" s="331" t="s">
        <v>5266</v>
      </c>
      <c r="C22" s="367">
        <f>SUM(D22:U22)</f>
        <v>-2082686</v>
      </c>
      <c r="D22" s="378">
        <f t="shared" ref="D22:U22" si="4">+D33+D30</f>
        <v>-1110052</v>
      </c>
      <c r="E22" s="378">
        <f t="shared" si="4"/>
        <v>36415</v>
      </c>
      <c r="F22" s="378">
        <f t="shared" si="4"/>
        <v>-4275</v>
      </c>
      <c r="G22" s="378">
        <f t="shared" si="4"/>
        <v>0</v>
      </c>
      <c r="H22" s="378">
        <f t="shared" si="4"/>
        <v>-853264</v>
      </c>
      <c r="I22" s="378">
        <f t="shared" si="4"/>
        <v>0</v>
      </c>
      <c r="J22" s="378">
        <f t="shared" si="4"/>
        <v>1527213</v>
      </c>
      <c r="K22" s="378">
        <f t="shared" si="4"/>
        <v>0</v>
      </c>
      <c r="L22" s="378">
        <f t="shared" si="4"/>
        <v>0</v>
      </c>
      <c r="M22" s="378">
        <f t="shared" si="4"/>
        <v>0</v>
      </c>
      <c r="N22" s="378">
        <f t="shared" si="4"/>
        <v>-1678723</v>
      </c>
      <c r="O22" s="378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</row>
    <row r="23" spans="1:21" s="38" customFormat="1">
      <c r="A23" s="44" t="s">
        <v>5082</v>
      </c>
      <c r="B23" s="57" t="s">
        <v>5081</v>
      </c>
      <c r="C23" s="366">
        <f t="shared" ref="C23:C33" si="5">SUM(D23:U23)</f>
        <v>0</v>
      </c>
      <c r="D23" s="116">
        <f>SUMIFS('Unos prihoda i primitaka'!$H$3:$H$504,'Unos prihoda i primitaka'!$C$3:$C$504,"=11",'Unos prihoda i primitaka'!$L$3:$L$504,"=61")</f>
        <v>0</v>
      </c>
      <c r="E23" s="116">
        <f>SUMIFS('Unos prihoda i primitaka'!$H$3:$H$504,'Unos prihoda i primitaka'!$C$3:$C$504,"=12",'Unos prihoda i primitaka'!$L$3:$L$504,"=61")</f>
        <v>0</v>
      </c>
      <c r="F23" s="116">
        <f>SUMIFS('Unos prihoda i primitaka'!$H$3:$H$504,'Unos prihoda i primitaka'!$C$3:$C$504,"=31",'Unos prihoda i primitaka'!$L$3:$L$504,"=61")</f>
        <v>0</v>
      </c>
      <c r="G23" s="116">
        <f>SUMIFS('Unos prihoda i primitaka'!$H$3:$H$504,'Unos prihoda i primitaka'!$C$3:$C$504,"=41",'Unos prihoda i primitaka'!$L$3:$L$504,"=61")</f>
        <v>0</v>
      </c>
      <c r="H23" s="116">
        <f>SUMIFS('Unos prihoda i primitaka'!$H$3:$H$504,'Unos prihoda i primitaka'!$C$3:$C$504,"=43",'Unos prihoda i primitaka'!$L$3:$L$504,"=61")</f>
        <v>0</v>
      </c>
      <c r="I23" s="116">
        <f>SUMIFS('Unos prihoda i primitaka'!$H$3:$H$504,'Unos prihoda i primitaka'!$C$3:$C$504,"=51",'Unos prihoda i primitaka'!$L$3:$L$504,"=61")</f>
        <v>0</v>
      </c>
      <c r="J23" s="116">
        <f>SUMIFS('Unos prihoda i primitaka'!$H$3:$H$504,'Unos prihoda i primitaka'!$C$3:$C$504,"=52",'Unos prihoda i primitaka'!$L$3:$L$504,"=61")</f>
        <v>0</v>
      </c>
      <c r="K23" s="116">
        <f>SUMIFS('Unos prihoda i primitaka'!$H$3:$H$504,'Unos prihoda i primitaka'!$C$3:$C$504,"=552",'Unos prihoda i primitaka'!$L$3:$L$504,"=61")</f>
        <v>0</v>
      </c>
      <c r="L23" s="116">
        <f>SUMIFS('Unos prihoda i primitaka'!$H$3:$H$504,'Unos prihoda i primitaka'!$C$3:$C$504,"=559",'Unos prihoda i primitaka'!$L$3:$L$504,"=61")</f>
        <v>0</v>
      </c>
      <c r="M23" s="116">
        <f>SUMIFS('Unos prihoda i primitaka'!$H$3:$H$504,'Unos prihoda i primitaka'!$C$3:$C$504,"=561",'Unos prihoda i primitaka'!$L$3:$L$504,"=61")</f>
        <v>0</v>
      </c>
      <c r="N23" s="116">
        <f>SUMIFS('Unos prihoda i primitaka'!$H$3:$H$504,'Unos prihoda i primitaka'!$C$3:$C$504,"=563",'Unos prihoda i primitaka'!$L$3:$L$504,"=61")</f>
        <v>0</v>
      </c>
      <c r="O23" s="116">
        <f>SUMIFS('Unos prihoda i primitaka'!$H$3:$H$504,'Unos prihoda i primitaka'!$C$3:$C$504,"=573",'Unos prihoda i primitaka'!$L$3:$L$504,"=61")</f>
        <v>0</v>
      </c>
      <c r="P23" s="116">
        <f>SUMIFS('Unos prihoda i primitaka'!$H$3:$H$504,'Unos prihoda i primitaka'!$C$3:$C$504,"=575",'Unos prihoda i primitaka'!$L$3:$L$504,"=61")</f>
        <v>0</v>
      </c>
      <c r="Q23" s="116">
        <f>SUMIFS('Unos prihoda i primitaka'!$H$3:$H$504,'Unos prihoda i primitaka'!$C$3:$C$504,"=576",'Unos prihoda i primitaka'!$L$3:$L$504,"=61")</f>
        <v>0</v>
      </c>
      <c r="R23" s="116">
        <f>SUMIFS('Unos prihoda i primitaka'!$H$3:$H$504,'Unos prihoda i primitaka'!$C$3:$C$504,"=581",'Unos prihoda i primitaka'!$L$3:$L$504,"=61")</f>
        <v>0</v>
      </c>
      <c r="S23" s="116">
        <f>SUMIFS('Unos prihoda i primitaka'!$H$3:$H$504,'Unos prihoda i primitaka'!$C$3:$C$504,"=61",'Unos prihoda i primitaka'!$L$3:$L$504,"=61")</f>
        <v>0</v>
      </c>
      <c r="T23" s="116">
        <f>SUMIFS('Unos prihoda i primitaka'!$H$3:$H$504,'Unos prihoda i primitaka'!$C$3:$C$504,"=63",'Unos prihoda i primitaka'!$L$3:$L$504,"=61")</f>
        <v>0</v>
      </c>
      <c r="U23" s="116">
        <f>SUMIFS('Unos prihoda i primitaka'!$H$3:$H$504,'Unos prihoda i primitaka'!$C$3:$C$504,"=71",'Unos prihoda i primitaka'!$L$3:$L$504,"=61")</f>
        <v>0</v>
      </c>
    </row>
    <row r="24" spans="1:21" s="38" customFormat="1" ht="25.5">
      <c r="A24" s="44" t="s">
        <v>5084</v>
      </c>
      <c r="B24" s="57" t="s">
        <v>5083</v>
      </c>
      <c r="C24" s="366">
        <f t="shared" si="5"/>
        <v>-151510</v>
      </c>
      <c r="D24" s="116">
        <f>SUMIFS('Unos prihoda i primitaka'!$H$3:$H$504,'Unos prihoda i primitaka'!$C$3:$C$504,"=11",'Unos prihoda i primitaka'!$L$3:$L$504,"=63")</f>
        <v>0</v>
      </c>
      <c r="E24" s="116"/>
      <c r="F24" s="116">
        <f>SUMIFS('Unos prihoda i primitaka'!$H$3:$H$504,'Unos prihoda i primitaka'!$C$3:$C$504,"=31",'Unos prihoda i primitaka'!$L$3:$L$504,"=63")</f>
        <v>0</v>
      </c>
      <c r="G24" s="116">
        <f>SUMIFS('Unos prihoda i primitaka'!$H$3:$H$504,'Unos prihoda i primitaka'!$C$3:$C$504,"=41",'Unos prihoda i primitaka'!$L$3:$L$504,"=63")</f>
        <v>0</v>
      </c>
      <c r="H24" s="116">
        <f>SUMIFS('Unos prihoda i primitaka'!$H$3:$H$504,'Unos prihoda i primitaka'!$C$3:$C$504,"=43",'Unos prihoda i primitaka'!$L$3:$L$504,"=63")</f>
        <v>0</v>
      </c>
      <c r="I24" s="116">
        <f>SUMIFS('Unos prihoda i primitaka'!$H$3:$H$504,'Unos prihoda i primitaka'!$C$3:$C$504,"=51",'Unos prihoda i primitaka'!$L$3:$L$504,"=63")</f>
        <v>0</v>
      </c>
      <c r="J24" s="116">
        <f>'Unos prihoda i primitaka'!H14+'Unos prihoda i primitaka'!H15+'Unos prihoda i primitaka'!H16+'Unos prihoda i primitaka'!H17+'Unos prihoda i primitaka'!H18+'Unos prihoda i primitaka'!H19+'Unos prihoda i primitaka'!H20</f>
        <v>1527213</v>
      </c>
      <c r="K24" s="116">
        <f>SUMIFS('Unos prihoda i primitaka'!$H$3:$H$504,'Unos prihoda i primitaka'!$C$3:$C$504,"=552",'Unos prihoda i primitaka'!$L$3:$L$504,"=63")</f>
        <v>0</v>
      </c>
      <c r="L24" s="116">
        <f>SUMIFS('Unos prihoda i primitaka'!$H$3:$H$504,'Unos prihoda i primitaka'!$C$3:$C$504,"=559",'Unos prihoda i primitaka'!$L$3:$L$504,"=63")</f>
        <v>0</v>
      </c>
      <c r="M24" s="116">
        <f>SUMIFS('Unos prihoda i primitaka'!$H$3:$H$504,'Unos prihoda i primitaka'!$C$3:$C$504,"=561",'Unos prihoda i primitaka'!$L$3:$L$504,"=63")</f>
        <v>0</v>
      </c>
      <c r="N24" s="116">
        <f>'Unos prihoda i primitaka'!H21+'Unos prihoda i primitaka'!H22</f>
        <v>-1678723</v>
      </c>
      <c r="O24" s="116">
        <f>SUMIFS('Unos prihoda i primitaka'!$H$3:$H$504,'Unos prihoda i primitaka'!$C$3:$C$504,"=573",'Unos prihoda i primitaka'!$L$3:$L$504,"=63")</f>
        <v>0</v>
      </c>
      <c r="P24" s="116">
        <f>SUMIFS('Unos prihoda i primitaka'!$H$3:$H$504,'Unos prihoda i primitaka'!$C$3:$C$504,"=575",'Unos prihoda i primitaka'!$L$3:$L$504,"=63")</f>
        <v>0</v>
      </c>
      <c r="Q24" s="116">
        <f>SUMIFS('Unos prihoda i primitaka'!$H$3:$H$504,'Unos prihoda i primitaka'!$C$3:$C$504,"=576",'Unos prihoda i primitaka'!$L$3:$L$504,"=63")</f>
        <v>0</v>
      </c>
      <c r="R24" s="116">
        <f>SUMIFS('Unos prihoda i primitaka'!$H$3:$H$504,'Unos prihoda i primitaka'!$C$3:$C$504,"=581",'Unos prihoda i primitaka'!$L$3:$L$504,"=63")</f>
        <v>0</v>
      </c>
      <c r="S24" s="116">
        <f>SUMIFS('Unos prihoda i primitaka'!$H$3:$H$504,'Unos prihoda i primitaka'!$C$3:$C$504,"=61",'Unos prihoda i primitaka'!$L$3:$L$504,"=63")</f>
        <v>0</v>
      </c>
      <c r="T24" s="116">
        <f>SUMIFS('Unos prihoda i primitaka'!$H$3:$H$504,'Unos prihoda i primitaka'!$C$3:$C$504,"=63",'Unos prihoda i primitaka'!$L$3:$L$504,"=63")</f>
        <v>0</v>
      </c>
      <c r="U24" s="116">
        <f>SUMIFS('Unos prihoda i primitaka'!$H$3:$H$504,'Unos prihoda i primitaka'!$C$3:$C$504,"=71",'Unos prihoda i primitaka'!$L$3:$L$504,"=63")</f>
        <v>0</v>
      </c>
    </row>
    <row r="25" spans="1:21" s="38" customFormat="1">
      <c r="A25" s="42" t="s">
        <v>5086</v>
      </c>
      <c r="B25" s="43" t="s">
        <v>5085</v>
      </c>
      <c r="C25" s="27">
        <f t="shared" si="5"/>
        <v>-10300</v>
      </c>
      <c r="D25" s="116">
        <f>SUMIFS('Unos prihoda i primitaka'!$H$3:$H$504,'Unos prihoda i primitaka'!$C$3:$C$504,"=11",'Unos prihoda i primitaka'!$L$3:$L$504,"=64")</f>
        <v>0</v>
      </c>
      <c r="E25" s="116">
        <f>SUMIFS('Unos prihoda i primitaka'!$H$3:$H$504,'Unos prihoda i primitaka'!$C$3:$C$504,"=12",'Unos prihoda i primitaka'!$L$3:$L$504,"=64")</f>
        <v>0</v>
      </c>
      <c r="F25" s="116">
        <f>'Unos prihoda i primitaka'!H5+'Unos prihoda i primitaka'!H6+'Unos prihoda i primitaka'!H7</f>
        <v>-10300</v>
      </c>
      <c r="G25" s="116">
        <f>SUMIFS('Unos prihoda i primitaka'!$H$3:$H$504,'Unos prihoda i primitaka'!$C$3:$C$504,"=41",'Unos prihoda i primitaka'!$L$3:$L$504,"=64")</f>
        <v>0</v>
      </c>
      <c r="H25" s="116">
        <f>SUMIFS('Unos prihoda i primitaka'!$H$3:$H$504,'Unos prihoda i primitaka'!$C$3:$C$504,"=43",'Unos prihoda i primitaka'!$L$3:$L$504,"=64")</f>
        <v>0</v>
      </c>
      <c r="I25" s="116">
        <f>SUMIFS('Unos prihoda i primitaka'!$H$3:$H$504,'Unos prihoda i primitaka'!$C$3:$C$504,"=51",'Unos prihoda i primitaka'!$L$3:$L$504,"=64")</f>
        <v>0</v>
      </c>
      <c r="J25" s="116">
        <f>SUMIFS('Unos prihoda i primitaka'!$H$3:$H$504,'Unos prihoda i primitaka'!$C$3:$C$504,"=52",'Unos prihoda i primitaka'!$L$3:$L$504,"=64")</f>
        <v>0</v>
      </c>
      <c r="K25" s="116">
        <f>SUMIFS('Unos prihoda i primitaka'!$H$3:$H$504,'Unos prihoda i primitaka'!$C$3:$C$504,"=552",'Unos prihoda i primitaka'!$L$3:$L$504,"=64")</f>
        <v>0</v>
      </c>
      <c r="L25" s="116">
        <f>SUMIFS('Unos prihoda i primitaka'!$H$3:$H$504,'Unos prihoda i primitaka'!$C$3:$C$504,"=559",'Unos prihoda i primitaka'!$L$3:$L$504,"=64")</f>
        <v>0</v>
      </c>
      <c r="M25" s="116">
        <f>SUMIFS('Unos prihoda i primitaka'!$H$3:$H$504,'Unos prihoda i primitaka'!$C$3:$C$504,"=561",'Unos prihoda i primitaka'!$L$3:$L$504,"=64")</f>
        <v>0</v>
      </c>
      <c r="N25" s="116">
        <f>SUMIFS('Unos prihoda i primitaka'!$H$3:$H$504,'Unos prihoda i primitaka'!$C$3:$C$504,"=563",'Unos prihoda i primitaka'!$L$3:$L$504,"=64")</f>
        <v>0</v>
      </c>
      <c r="O25" s="116">
        <f>SUMIFS('Unos prihoda i primitaka'!$H$3:$H$504,'Unos prihoda i primitaka'!$C$3:$C$504,"=573",'Unos prihoda i primitaka'!$L$3:$L$504,"=64")</f>
        <v>0</v>
      </c>
      <c r="P25" s="116">
        <f>SUMIFS('Unos prihoda i primitaka'!$H$3:$H$504,'Unos prihoda i primitaka'!$C$3:$C$504,"=575",'Unos prihoda i primitaka'!$L$3:$L$504,"=64")</f>
        <v>0</v>
      </c>
      <c r="Q25" s="116">
        <f>SUMIFS('Unos prihoda i primitaka'!$H$3:$H$504,'Unos prihoda i primitaka'!$C$3:$C$504,"=576",'Unos prihoda i primitaka'!$L$3:$L$504,"=64")</f>
        <v>0</v>
      </c>
      <c r="R25" s="116">
        <f>SUMIFS('Unos prihoda i primitaka'!$H$3:$H$504,'Unos prihoda i primitaka'!$C$3:$C$504,"=581",'Unos prihoda i primitaka'!$L$3:$L$504,"=64")</f>
        <v>0</v>
      </c>
      <c r="S25" s="116">
        <f>SUMIFS('Unos prihoda i primitaka'!$H$3:$H$504,'Unos prihoda i primitaka'!$C$3:$C$504,"=61",'Unos prihoda i primitaka'!$L$3:$L$504,"=64")</f>
        <v>0</v>
      </c>
      <c r="T25" s="116">
        <f>SUMIFS('Unos prihoda i primitaka'!$H$3:$H$504,'Unos prihoda i primitaka'!$C$3:$C$504,"=63",'Unos prihoda i primitaka'!$L$3:$L$504,"=64")</f>
        <v>0</v>
      </c>
      <c r="U25" s="116">
        <f>SUMIFS('Unos prihoda i primitaka'!$H$3:$H$504,'Unos prihoda i primitaka'!$C$3:$C$504,"=71",'Unos prihoda i primitaka'!$L$3:$L$504,"=64")</f>
        <v>0</v>
      </c>
    </row>
    <row r="26" spans="1:21" s="38" customFormat="1" ht="25.5">
      <c r="A26" s="42" t="s">
        <v>5087</v>
      </c>
      <c r="B26" s="43" t="s">
        <v>5088</v>
      </c>
      <c r="C26" s="366">
        <f t="shared" si="5"/>
        <v>-858264</v>
      </c>
      <c r="D26" s="116">
        <f>SUMIFS('Unos prihoda i primitaka'!$H$3:$H$504,'Unos prihoda i primitaka'!$C$3:$C$504,"=11",'Unos prihoda i primitaka'!$L$3:$L$504,"=65")</f>
        <v>0</v>
      </c>
      <c r="E26" s="116">
        <f>SUMIFS('Unos prihoda i primitaka'!$H$3:$H$504,'Unos prihoda i primitaka'!$C$3:$C$504,"=12",'Unos prihoda i primitaka'!$L$3:$L$504,"=65")</f>
        <v>0</v>
      </c>
      <c r="F26" s="116">
        <f>SUMIFS('Unos prihoda i primitaka'!$H$3:$H$504,'Unos prihoda i primitaka'!$C$3:$C$504,"=31",'Unos prihoda i primitaka'!$L$3:$L$504,"=65")</f>
        <v>0</v>
      </c>
      <c r="G26" s="116">
        <f>SUMIFS('Unos prihoda i primitaka'!$H$3:$H$504,'Unos prihoda i primitaka'!$C$3:$C$504,"=41",'Unos prihoda i primitaka'!$L$3:$L$504,"=65")</f>
        <v>0</v>
      </c>
      <c r="H26" s="116">
        <f>'Unos prihoda i primitaka'!H10+'Unos prihoda i primitaka'!H11+'Unos prihoda i primitaka'!H12</f>
        <v>-858264</v>
      </c>
      <c r="I26" s="116">
        <f>SUMIFS('Unos prihoda i primitaka'!$H$3:$H$504,'Unos prihoda i primitaka'!$C$3:$C$504,"=51",'Unos prihoda i primitaka'!$L$3:$L$504,"=65")</f>
        <v>0</v>
      </c>
      <c r="J26" s="116">
        <f>SUMIFS('Unos prihoda i primitaka'!$H$3:$H$504,'Unos prihoda i primitaka'!$C$3:$C$504,"=52",'Unos prihoda i primitaka'!$L$3:$L$504,"=65")</f>
        <v>0</v>
      </c>
      <c r="K26" s="116">
        <f>SUMIFS('Unos prihoda i primitaka'!$H$3:$H$504,'Unos prihoda i primitaka'!$C$3:$C$504,"=552",'Unos prihoda i primitaka'!$L$3:$L$504,"=65")</f>
        <v>0</v>
      </c>
      <c r="L26" s="116">
        <f>SUMIFS('Unos prihoda i primitaka'!$H$3:$H$504,'Unos prihoda i primitaka'!$C$3:$C$504,"=559",'Unos prihoda i primitaka'!$L$3:$L$504,"=65")</f>
        <v>0</v>
      </c>
      <c r="M26" s="116">
        <f>SUMIFS('Unos prihoda i primitaka'!$H$3:$H$504,'Unos prihoda i primitaka'!$C$3:$C$504,"=561",'Unos prihoda i primitaka'!$L$3:$L$504,"=65")</f>
        <v>0</v>
      </c>
      <c r="N26" s="116">
        <f>SUMIFS('Unos prihoda i primitaka'!$H$3:$H$504,'Unos prihoda i primitaka'!$C$3:$C$504,"=563",'Unos prihoda i primitaka'!$L$3:$L$504,"=65")</f>
        <v>0</v>
      </c>
      <c r="O26" s="116">
        <f>SUMIFS('Unos prihoda i primitaka'!$H$3:$H$504,'Unos prihoda i primitaka'!$C$3:$C$504,"=573",'Unos prihoda i primitaka'!$L$3:$L$504,"=65")</f>
        <v>0</v>
      </c>
      <c r="P26" s="116">
        <f>SUMIFS('Unos prihoda i primitaka'!$H$3:$H$504,'Unos prihoda i primitaka'!$C$3:$C$504,"=575",'Unos prihoda i primitaka'!$L$3:$L$504,"=65")</f>
        <v>0</v>
      </c>
      <c r="Q26" s="116">
        <f>SUMIFS('Unos prihoda i primitaka'!$H$3:$H$504,'Unos prihoda i primitaka'!$C$3:$C$504,"=576",'Unos prihoda i primitaka'!$L$3:$L$504,"=65")</f>
        <v>0</v>
      </c>
      <c r="R26" s="116">
        <f>SUMIFS('Unos prihoda i primitaka'!$H$3:$H$504,'Unos prihoda i primitaka'!$C$3:$C$504,"=581",'Unos prihoda i primitaka'!$L$3:$L$504,"=65")</f>
        <v>0</v>
      </c>
      <c r="S26" s="116">
        <f>SUMIFS('Unos prihoda i primitaka'!$H$3:$H$504,'Unos prihoda i primitaka'!$C$3:$C$504,"=61",'Unos prihoda i primitaka'!$L$3:$L$504,"=65")</f>
        <v>0</v>
      </c>
      <c r="T26" s="116">
        <f>SUMIFS('Unos prihoda i primitaka'!$H$3:$H$504,'Unos prihoda i primitaka'!$C$3:$C$504,"=63",'Unos prihoda i primitaka'!$L$3:$L$504,"=65")</f>
        <v>0</v>
      </c>
      <c r="U26" s="116">
        <f>SUMIFS('Unos prihoda i primitaka'!$H$3:$H$504,'Unos prihoda i primitaka'!$C$3:$C$504,"=71",'Unos prihoda i primitaka'!$L$3:$L$504,"=65")</f>
        <v>0</v>
      </c>
    </row>
    <row r="27" spans="1:21" s="38" customFormat="1" ht="25.5">
      <c r="A27" s="134" t="s">
        <v>5090</v>
      </c>
      <c r="B27" s="43" t="s">
        <v>5089</v>
      </c>
      <c r="C27" s="366">
        <f t="shared" si="5"/>
        <v>6025</v>
      </c>
      <c r="D27" s="116">
        <f>SUMIFS('Unos prihoda i primitaka'!$H$3:$H$504,'Unos prihoda i primitaka'!$C$3:$C$504,"=11",'Unos prihoda i primitaka'!$L$3:$L$504,"=66")</f>
        <v>0</v>
      </c>
      <c r="E27" s="116">
        <f>SUMIFS('Unos prihoda i primitaka'!$H$3:$H$504,'Unos prihoda i primitaka'!$C$3:$C$504,"=12",'Unos prihoda i primitaka'!$L$3:$L$504,"=66")</f>
        <v>0</v>
      </c>
      <c r="F27" s="116">
        <f>SUMIFS('Unos prihoda i primitaka'!$H$3:$H$504,'Unos prihoda i primitaka'!$C$3:$C$504,"=31",'Unos prihoda i primitaka'!$L$3:$L$504,"=66")</f>
        <v>6025</v>
      </c>
      <c r="G27" s="116">
        <f>SUMIFS('Unos prihoda i primitaka'!$H$3:$H$504,'Unos prihoda i primitaka'!$C$3:$C$504,"=41",'Unos prihoda i primitaka'!$L$3:$L$504,"=66")</f>
        <v>0</v>
      </c>
      <c r="H27" s="116">
        <f>SUMIFS('Unos prihoda i primitaka'!$H$3:$H$504,'Unos prihoda i primitaka'!$C$3:$C$504,"=43",'Unos prihoda i primitaka'!$L$3:$L$504,"=66")</f>
        <v>0</v>
      </c>
      <c r="I27" s="116">
        <f>SUMIFS('Unos prihoda i primitaka'!$H$3:$H$504,'Unos prihoda i primitaka'!$C$3:$C$504,"=51",'Unos prihoda i primitaka'!$L$3:$L$504,"=66")</f>
        <v>0</v>
      </c>
      <c r="J27" s="116">
        <f>SUMIFS('Unos prihoda i primitaka'!$H$3:$H$504,'Unos prihoda i primitaka'!$C$3:$C$504,"=52",'Unos prihoda i primitaka'!$L$3:$L$504,"=66")</f>
        <v>0</v>
      </c>
      <c r="K27" s="116">
        <f>SUMIFS('Unos prihoda i primitaka'!$H$3:$H$504,'Unos prihoda i primitaka'!$C$3:$C$504,"=552",'Unos prihoda i primitaka'!$L$3:$L$504,"=66")</f>
        <v>0</v>
      </c>
      <c r="L27" s="116">
        <f>SUMIFS('Unos prihoda i primitaka'!$H$3:$H$504,'Unos prihoda i primitaka'!$C$3:$C$504,"=559",'Unos prihoda i primitaka'!$L$3:$L$504,"=66")</f>
        <v>0</v>
      </c>
      <c r="M27" s="116">
        <f>SUMIFS('Unos prihoda i primitaka'!$H$3:$H$504,'Unos prihoda i primitaka'!$C$3:$C$504,"=561",'Unos prihoda i primitaka'!$L$3:$L$504,"=66")</f>
        <v>0</v>
      </c>
      <c r="N27" s="116">
        <f>SUMIFS('Unos prihoda i primitaka'!$H$3:$H$504,'Unos prihoda i primitaka'!$C$3:$C$504,"=563",'Unos prihoda i primitaka'!$L$3:$L$504,"=66")</f>
        <v>0</v>
      </c>
      <c r="O27" s="116">
        <f>SUMIFS('Unos prihoda i primitaka'!$H$3:$H$504,'Unos prihoda i primitaka'!$C$3:$C$504,"=573",'Unos prihoda i primitaka'!$L$3:$L$504,"=66")</f>
        <v>0</v>
      </c>
      <c r="P27" s="116">
        <f>SUMIFS('Unos prihoda i primitaka'!$H$3:$H$504,'Unos prihoda i primitaka'!$C$3:$C$504,"=575",'Unos prihoda i primitaka'!$L$3:$L$504,"=66")</f>
        <v>0</v>
      </c>
      <c r="Q27" s="116">
        <f>SUMIFS('Unos prihoda i primitaka'!$H$3:$H$504,'Unos prihoda i primitaka'!$C$3:$C$504,"=576",'Unos prihoda i primitaka'!$L$3:$L$504,"=66")</f>
        <v>0</v>
      </c>
      <c r="R27" s="116">
        <f>SUMIFS('Unos prihoda i primitaka'!$H$3:$H$504,'Unos prihoda i primitaka'!$C$3:$C$504,"=581",'Unos prihoda i primitaka'!$L$3:$L$504,"=66")</f>
        <v>0</v>
      </c>
      <c r="S27" s="116">
        <f>SUMIFS('Unos prihoda i primitaka'!$H$3:$H$504,'Unos prihoda i primitaka'!$C$3:$C$504,"=61",'Unos prihoda i primitaka'!$L$3:$L$504,"=66")</f>
        <v>0</v>
      </c>
      <c r="T27" s="116">
        <f>SUMIFS('Unos prihoda i primitaka'!$H$3:$H$504,'Unos prihoda i primitaka'!$C$3:$C$504,"=63",'Unos prihoda i primitaka'!$L$3:$L$504,"=66")</f>
        <v>0</v>
      </c>
      <c r="U27" s="116">
        <f>SUMIFS('Unos prihoda i primitaka'!$H$3:$H$504,'Unos prihoda i primitaka'!$C$3:$C$504,"=71",'Unos prihoda i primitaka'!$L$3:$L$504,"=66")</f>
        <v>0</v>
      </c>
    </row>
    <row r="28" spans="1:21" s="38" customFormat="1">
      <c r="A28" s="42" t="s">
        <v>5093</v>
      </c>
      <c r="B28" s="43" t="s">
        <v>5102</v>
      </c>
      <c r="C28" s="366">
        <f t="shared" si="5"/>
        <v>-1073637</v>
      </c>
      <c r="D28" s="116">
        <f>SUMIFS('Unos prihoda i primitaka'!$H$3:$H$504,'Unos prihoda i primitaka'!$C$3:$C$504,"=11",'Unos prihoda i primitaka'!$L$3:$L$504,"=67")</f>
        <v>-1110052</v>
      </c>
      <c r="E28" s="116">
        <f>SUMIFS('Unos prihoda i primitaka'!$H$3:$H$504,'Unos prihoda i primitaka'!$C$3:$C$504,"=12",'Unos prihoda i primitaka'!$L$3:$L$504,"=67")</f>
        <v>36415</v>
      </c>
      <c r="F28" s="116">
        <f>SUMIFS('Unos prihoda i primitaka'!$H$3:$H$504,'Unos prihoda i primitaka'!$C$3:$C$504,"=31",'Unos prihoda i primitaka'!$L$3:$L$504,"=67")</f>
        <v>0</v>
      </c>
      <c r="G28" s="116">
        <f>SUMIFS('Unos prihoda i primitaka'!$H$3:$H$504,'Unos prihoda i primitaka'!$C$3:$C$504,"=41",'Unos prihoda i primitaka'!$L$3:$L$504,"=67")</f>
        <v>0</v>
      </c>
      <c r="H28" s="116">
        <f>SUMIFS('Unos prihoda i primitaka'!$H$3:$H$504,'Unos prihoda i primitaka'!$C$3:$C$504,"=43",'Unos prihoda i primitaka'!$L$3:$L$504,"=67")</f>
        <v>0</v>
      </c>
      <c r="I28" s="116">
        <f>SUMIFS('Unos prihoda i primitaka'!$H$3:$H$504,'Unos prihoda i primitaka'!$C$3:$C$504,"=51",'Unos prihoda i primitaka'!$L$3:$L$504,"=67")</f>
        <v>0</v>
      </c>
      <c r="J28" s="116">
        <f>SUMIFS('Unos prihoda i primitaka'!$H$3:$H$504,'Unos prihoda i primitaka'!$C$3:$C$504,"=52",'Unos prihoda i primitaka'!$L$3:$L$504,"=67")</f>
        <v>0</v>
      </c>
      <c r="K28" s="116">
        <f>SUMIFS('Unos prihoda i primitaka'!$H$3:$H$504,'Unos prihoda i primitaka'!$C$3:$C$504,"=552",'Unos prihoda i primitaka'!$L$3:$L$504,"=67")</f>
        <v>0</v>
      </c>
      <c r="L28" s="116">
        <f>SUMIFS('Unos prihoda i primitaka'!$H$3:$H$504,'Unos prihoda i primitaka'!$C$3:$C$504,"=559",'Unos prihoda i primitaka'!$L$3:$L$504,"=67")</f>
        <v>0</v>
      </c>
      <c r="M28" s="116">
        <f>SUMIFS('Unos prihoda i primitaka'!$H$3:$H$504,'Unos prihoda i primitaka'!$C$3:$C$504,"=561",'Unos prihoda i primitaka'!$L$3:$L$504,"=67")</f>
        <v>0</v>
      </c>
      <c r="N28" s="116">
        <f>SUMIFS('Unos prihoda i primitaka'!$H$3:$H$504,'Unos prihoda i primitaka'!$C$3:$C$504,"=563",'Unos prihoda i primitaka'!$L$3:$L$504,"=67")</f>
        <v>0</v>
      </c>
      <c r="O28" s="116">
        <f>SUMIFS('Unos prihoda i primitaka'!$H$3:$H$504,'Unos prihoda i primitaka'!$C$3:$C$504,"=573",'Unos prihoda i primitaka'!$L$3:$L$504,"=67")</f>
        <v>0</v>
      </c>
      <c r="P28" s="116">
        <f>SUMIFS('Unos prihoda i primitaka'!$H$3:$H$504,'Unos prihoda i primitaka'!$C$3:$C$504,"=575",'Unos prihoda i primitaka'!$L$3:$L$504,"=67")</f>
        <v>0</v>
      </c>
      <c r="Q28" s="116">
        <f>SUMIFS('Unos prihoda i primitaka'!$H$3:$H$504,'Unos prihoda i primitaka'!$C$3:$C$504,"=576",'Unos prihoda i primitaka'!$L$3:$L$504,"=67")</f>
        <v>0</v>
      </c>
      <c r="R28" s="116">
        <f>SUMIFS('Unos prihoda i primitaka'!$H$3:$H$504,'Unos prihoda i primitaka'!$C$3:$C$504,"=581",'Unos prihoda i primitaka'!$L$3:$L$504,"=67")</f>
        <v>0</v>
      </c>
      <c r="S28" s="116">
        <f>SUMIFS('Unos prihoda i primitaka'!$H$3:$H$504,'Unos prihoda i primitaka'!$C$3:$C$504,"=61",'Unos prihoda i primitaka'!$L$3:$L$504,"=67")</f>
        <v>0</v>
      </c>
      <c r="T28" s="116">
        <f>SUMIFS('Unos prihoda i primitaka'!$H$3:$H$504,'Unos prihoda i primitaka'!$C$3:$C$504,"=63",'Unos prihoda i primitaka'!$L$3:$L$504,"=67")</f>
        <v>0</v>
      </c>
      <c r="U28" s="116">
        <f>SUMIFS('Unos prihoda i primitaka'!$H$3:$H$504,'Unos prihoda i primitaka'!$C$3:$C$504,"=71",'Unos prihoda i primitaka'!$L$3:$L$504,"=67")</f>
        <v>0</v>
      </c>
    </row>
    <row r="29" spans="1:21" s="38" customFormat="1">
      <c r="A29" s="42" t="s">
        <v>5092</v>
      </c>
      <c r="B29" s="43" t="s">
        <v>5091</v>
      </c>
      <c r="C29" s="366">
        <f t="shared" si="5"/>
        <v>5000</v>
      </c>
      <c r="D29" s="116">
        <f>SUMIFS('Unos prihoda i primitaka'!$H$3:$H$504,'Unos prihoda i primitaka'!$C$3:$C$504,"=11",'Unos prihoda i primitaka'!$L$3:$L$504,"=68")</f>
        <v>0</v>
      </c>
      <c r="E29" s="116">
        <f>SUMIFS('Unos prihoda i primitaka'!$H$3:$H$504,'Unos prihoda i primitaka'!$C$3:$C$504,"=12",'Unos prihoda i primitaka'!$L$3:$L$504,"=68")</f>
        <v>0</v>
      </c>
      <c r="F29" s="116">
        <f>SUMIFS('Unos prihoda i primitaka'!$H$3:$H$504,'Unos prihoda i primitaka'!$C$3:$C$504,"=31",'Unos prihoda i primitaka'!$L$3:$L$504,"=68")</f>
        <v>0</v>
      </c>
      <c r="G29" s="116">
        <f>SUMIFS('Unos prihoda i primitaka'!$H$3:$H$504,'Unos prihoda i primitaka'!$C$3:$C$504,"=41",'Unos prihoda i primitaka'!$L$3:$L$504,"=68")</f>
        <v>0</v>
      </c>
      <c r="H29" s="116">
        <f>'Unos prihoda i primitaka'!H13</f>
        <v>5000</v>
      </c>
      <c r="I29" s="116">
        <f>SUMIFS('Unos prihoda i primitaka'!$H$3:$H$504,'Unos prihoda i primitaka'!$C$3:$C$504,"=51",'Unos prihoda i primitaka'!$L$3:$L$504,"=68")</f>
        <v>0</v>
      </c>
      <c r="J29" s="116">
        <f>SUMIFS('Unos prihoda i primitaka'!$H$3:$H$504,'Unos prihoda i primitaka'!$C$3:$C$504,"=52",'Unos prihoda i primitaka'!$L$3:$L$504,"=68")</f>
        <v>0</v>
      </c>
      <c r="K29" s="116">
        <f>SUMIFS('Unos prihoda i primitaka'!$H$3:$H$504,'Unos prihoda i primitaka'!$C$3:$C$504,"=552",'Unos prihoda i primitaka'!$L$3:$L$504,"=68")</f>
        <v>0</v>
      </c>
      <c r="L29" s="116">
        <f>SUMIFS('Unos prihoda i primitaka'!$H$3:$H$504,'Unos prihoda i primitaka'!$C$3:$C$504,"=559",'Unos prihoda i primitaka'!$L$3:$L$504,"=68")</f>
        <v>0</v>
      </c>
      <c r="M29" s="116">
        <f>SUMIFS('Unos prihoda i primitaka'!$H$3:$H$504,'Unos prihoda i primitaka'!$C$3:$C$504,"=561",'Unos prihoda i primitaka'!$L$3:$L$504,"=68")</f>
        <v>0</v>
      </c>
      <c r="N29" s="116">
        <f>SUMIFS('Unos prihoda i primitaka'!$H$3:$H$504,'Unos prihoda i primitaka'!$C$3:$C$504,"=563",'Unos prihoda i primitaka'!$L$3:$L$504,"=68")</f>
        <v>0</v>
      </c>
      <c r="O29" s="116">
        <f>SUMIFS('Unos prihoda i primitaka'!$H$3:$H$504,'Unos prihoda i primitaka'!$C$3:$C$504,"=573",'Unos prihoda i primitaka'!$L$3:$L$504,"=68")</f>
        <v>0</v>
      </c>
      <c r="P29" s="116">
        <f>SUMIFS('Unos prihoda i primitaka'!$H$3:$H$504,'Unos prihoda i primitaka'!$C$3:$C$504,"=575",'Unos prihoda i primitaka'!$L$3:$L$504,"=68")</f>
        <v>0</v>
      </c>
      <c r="Q29" s="116">
        <f>SUMIFS('Unos prihoda i primitaka'!$H$3:$H$504,'Unos prihoda i primitaka'!$C$3:$C$504,"=576",'Unos prihoda i primitaka'!$L$3:$L$504,"=68")</f>
        <v>0</v>
      </c>
      <c r="R29" s="116">
        <f>SUMIFS('Unos prihoda i primitaka'!$H$3:$H$504,'Unos prihoda i primitaka'!$C$3:$C$504,"=581",'Unos prihoda i primitaka'!$L$3:$L$504,"=68")</f>
        <v>0</v>
      </c>
      <c r="S29" s="116">
        <f>SUMIFS('Unos prihoda i primitaka'!$H$3:$H$504,'Unos prihoda i primitaka'!$C$3:$C$504,"=61",'Unos prihoda i primitaka'!$L$3:$L$504,"=68")</f>
        <v>0</v>
      </c>
      <c r="T29" s="116">
        <f>SUMIFS('Unos prihoda i primitaka'!$H$3:$H$504,'Unos prihoda i primitaka'!$C$3:$C$504,"=63",'Unos prihoda i primitaka'!$L$3:$L$504,"=68")</f>
        <v>0</v>
      </c>
      <c r="U29" s="116">
        <f>SUMIFS('Unos prihoda i primitaka'!$H$3:$H$504,'Unos prihoda i primitaka'!$C$3:$C$504,"=71",'Unos prihoda i primitaka'!$L$3:$L$504,"=68")</f>
        <v>0</v>
      </c>
    </row>
    <row r="30" spans="1:21" s="38" customFormat="1">
      <c r="A30" s="45" t="s">
        <v>247</v>
      </c>
      <c r="B30" s="46" t="s">
        <v>248</v>
      </c>
      <c r="C30" s="366">
        <f t="shared" si="5"/>
        <v>-2082686</v>
      </c>
      <c r="D30" s="3">
        <f t="shared" ref="D30:U30" si="6">SUM(D23:D29)</f>
        <v>-1110052</v>
      </c>
      <c r="E30" s="3">
        <f t="shared" si="6"/>
        <v>36415</v>
      </c>
      <c r="F30" s="3">
        <f t="shared" si="6"/>
        <v>-4275</v>
      </c>
      <c r="G30" s="3">
        <f t="shared" si="6"/>
        <v>0</v>
      </c>
      <c r="H30" s="3">
        <f t="shared" si="6"/>
        <v>-853264</v>
      </c>
      <c r="I30" s="3">
        <f t="shared" si="6"/>
        <v>0</v>
      </c>
      <c r="J30" s="3">
        <f t="shared" si="6"/>
        <v>1527213</v>
      </c>
      <c r="K30" s="3">
        <f t="shared" si="6"/>
        <v>0</v>
      </c>
      <c r="L30" s="3">
        <f t="shared" si="6"/>
        <v>0</v>
      </c>
      <c r="M30" s="3">
        <f t="shared" si="6"/>
        <v>0</v>
      </c>
      <c r="N30" s="3">
        <f t="shared" si="6"/>
        <v>-1678723</v>
      </c>
      <c r="O30" s="3">
        <f t="shared" si="6"/>
        <v>0</v>
      </c>
      <c r="P30" s="3">
        <f t="shared" si="6"/>
        <v>0</v>
      </c>
      <c r="Q30" s="3">
        <f t="shared" si="6"/>
        <v>0</v>
      </c>
      <c r="R30" s="3">
        <f t="shared" si="6"/>
        <v>0</v>
      </c>
      <c r="S30" s="3">
        <f t="shared" si="6"/>
        <v>0</v>
      </c>
      <c r="T30" s="3">
        <f t="shared" si="6"/>
        <v>0</v>
      </c>
      <c r="U30" s="3">
        <f t="shared" si="6"/>
        <v>0</v>
      </c>
    </row>
    <row r="31" spans="1:21" s="38" customFormat="1">
      <c r="A31" s="42" t="s">
        <v>5094</v>
      </c>
      <c r="B31" s="47" t="s">
        <v>5095</v>
      </c>
      <c r="C31" s="27">
        <f t="shared" si="5"/>
        <v>0</v>
      </c>
      <c r="D31" s="116">
        <f>SUMIFS('Unos prihoda i primitaka'!$H$3:$H$504,'Unos prihoda i primitaka'!$C$3:$C$504,"=11",'Unos prihoda i primitaka'!$L$3:$L$504,"=71")</f>
        <v>0</v>
      </c>
      <c r="E31" s="116">
        <f>SUMIFS('Unos prihoda i primitaka'!$H$3:$H$504,'Unos prihoda i primitaka'!$C$3:$C$504,"=12",'Unos prihoda i primitaka'!$L$3:$L$504,"=71")</f>
        <v>0</v>
      </c>
      <c r="F31" s="116">
        <f>SUMIFS('Unos prihoda i primitaka'!$H$3:$H$504,'Unos prihoda i primitaka'!$C$3:$C$504,"=31",'Unos prihoda i primitaka'!$L$3:$L$504,"=71")</f>
        <v>0</v>
      </c>
      <c r="G31" s="116">
        <f>SUMIFS('Unos prihoda i primitaka'!$H$3:$H$504,'Unos prihoda i primitaka'!$C$3:$C$504,"=41",'Unos prihoda i primitaka'!$L$3:$L$504,"=71")</f>
        <v>0</v>
      </c>
      <c r="H31" s="116">
        <f>SUMIFS('Unos prihoda i primitaka'!$H$3:$H$504,'Unos prihoda i primitaka'!$C$3:$C$504,"=43",'Unos prihoda i primitaka'!$L$3:$L$504,"=71")</f>
        <v>0</v>
      </c>
      <c r="I31" s="116">
        <f>SUMIFS('Unos prihoda i primitaka'!$H$3:$H$504,'Unos prihoda i primitaka'!$C$3:$C$504,"=51",'Unos prihoda i primitaka'!$L$3:$L$504,"=71")</f>
        <v>0</v>
      </c>
      <c r="J31" s="116">
        <f>SUMIFS('Unos prihoda i primitaka'!$H$3:$H$504,'Unos prihoda i primitaka'!$C$3:$C$504,"=52",'Unos prihoda i primitaka'!$L$3:$L$504,"=71")</f>
        <v>0</v>
      </c>
      <c r="K31" s="116">
        <f>SUMIFS('Unos prihoda i primitaka'!$H$3:$H$504,'Unos prihoda i primitaka'!$C$3:$C$504,"=552",'Unos prihoda i primitaka'!$L$3:$L$504,"=71")</f>
        <v>0</v>
      </c>
      <c r="L31" s="116">
        <f>SUMIFS('Unos prihoda i primitaka'!$H$3:$H$504,'Unos prihoda i primitaka'!$C$3:$C$504,"=559",'Unos prihoda i primitaka'!$L$3:$L$504,"=71")</f>
        <v>0</v>
      </c>
      <c r="M31" s="116">
        <f>SUMIFS('Unos prihoda i primitaka'!$H$3:$H$504,'Unos prihoda i primitaka'!$C$3:$C$504,"=561",'Unos prihoda i primitaka'!$L$3:$L$504,"=71")</f>
        <v>0</v>
      </c>
      <c r="N31" s="116">
        <f>SUMIFS('Unos prihoda i primitaka'!$H$3:$H$504,'Unos prihoda i primitaka'!$C$3:$C$504,"=563",'Unos prihoda i primitaka'!$L$3:$L$504,"=71")</f>
        <v>0</v>
      </c>
      <c r="O31" s="116">
        <f>SUMIFS('Unos prihoda i primitaka'!$H$3:$H$504,'Unos prihoda i primitaka'!$C$3:$C$504,"=573",'Unos prihoda i primitaka'!$L$3:$L$504,"=71")</f>
        <v>0</v>
      </c>
      <c r="P31" s="116">
        <f>SUMIFS('Unos prihoda i primitaka'!$H$3:$H$504,'Unos prihoda i primitaka'!$C$3:$C$504,"=575",'Unos prihoda i primitaka'!$L$3:$L$504,"=71")</f>
        <v>0</v>
      </c>
      <c r="Q31" s="116">
        <f>SUMIFS('Unos prihoda i primitaka'!$H$3:$H$504,'Unos prihoda i primitaka'!$C$3:$C$504,"=576",'Unos prihoda i primitaka'!$L$3:$L$504,"=71")</f>
        <v>0</v>
      </c>
      <c r="R31" s="116">
        <f>SUMIFS('Unos prihoda i primitaka'!$H$3:$H$504,'Unos prihoda i primitaka'!$C$3:$C$504,"=581",'Unos prihoda i primitaka'!$L$3:$L$504,"=71")</f>
        <v>0</v>
      </c>
      <c r="S31" s="116">
        <f>SUMIFS('Unos prihoda i primitaka'!$H$3:$H$504,'Unos prihoda i primitaka'!$C$3:$C$504,"=61",'Unos prihoda i primitaka'!$L$3:$L$504,"=71")</f>
        <v>0</v>
      </c>
      <c r="T31" s="116">
        <f>SUMIFS('Unos prihoda i primitaka'!$H$3:$H$504,'Unos prihoda i primitaka'!$C$3:$C$504,"=63",'Unos prihoda i primitaka'!$L$3:$L$504,"=71")</f>
        <v>0</v>
      </c>
      <c r="U31" s="116">
        <f>SUMIFS('Unos prihoda i primitaka'!$H$3:$H$504,'Unos prihoda i primitaka'!$C$3:$C$504,"=71",'Unos prihoda i primitaka'!$L$3:$L$504,"=71")</f>
        <v>0</v>
      </c>
    </row>
    <row r="32" spans="1:21" s="38" customFormat="1">
      <c r="A32" s="42" t="s">
        <v>5096</v>
      </c>
      <c r="B32" s="47" t="s">
        <v>5097</v>
      </c>
      <c r="C32" s="27">
        <f t="shared" si="5"/>
        <v>0</v>
      </c>
      <c r="D32" s="116">
        <f>SUMIFS('Unos prihoda i primitaka'!$H$3:$H$504,'Unos prihoda i primitaka'!$C$3:$C$504,"=11",'Unos prihoda i primitaka'!$L$3:$L$504,"=72")</f>
        <v>0</v>
      </c>
      <c r="E32" s="116">
        <f>SUMIFS('Unos prihoda i primitaka'!$H$3:$H$504,'Unos prihoda i primitaka'!$C$3:$C$504,"=12",'Unos prihoda i primitaka'!$L$3:$L$504,"=72")</f>
        <v>0</v>
      </c>
      <c r="F32" s="116">
        <f>SUMIFS('Unos prihoda i primitaka'!$H$3:$H$504,'Unos prihoda i primitaka'!$C$3:$C$504,"=31",'Unos prihoda i primitaka'!$L$3:$L$504,"=72")</f>
        <v>0</v>
      </c>
      <c r="G32" s="116">
        <f>SUMIFS('Unos prihoda i primitaka'!$H$3:$H$504,'Unos prihoda i primitaka'!$C$3:$C$504,"=41",'Unos prihoda i primitaka'!$L$3:$L$504,"=72")</f>
        <v>0</v>
      </c>
      <c r="H32" s="116">
        <f>SUMIFS('Unos prihoda i primitaka'!$H$3:$H$504,'Unos prihoda i primitaka'!$C$3:$C$504,"=43",'Unos prihoda i primitaka'!$L$3:$L$504,"=72")</f>
        <v>0</v>
      </c>
      <c r="I32" s="116">
        <f>SUMIFS('Unos prihoda i primitaka'!$H$3:$H$504,'Unos prihoda i primitaka'!$C$3:$C$504,"=51",'Unos prihoda i primitaka'!$L$3:$L$504,"=72")</f>
        <v>0</v>
      </c>
      <c r="J32" s="116">
        <f>SUMIFS('Unos prihoda i primitaka'!$H$3:$H$504,'Unos prihoda i primitaka'!$C$3:$C$504,"=52",'Unos prihoda i primitaka'!$L$3:$L$504,"=72")</f>
        <v>0</v>
      </c>
      <c r="K32" s="116">
        <f>SUMIFS('Unos prihoda i primitaka'!$H$3:$H$504,'Unos prihoda i primitaka'!$C$3:$C$504,"=552",'Unos prihoda i primitaka'!$L$3:$L$504,"=72")</f>
        <v>0</v>
      </c>
      <c r="L32" s="116">
        <f>SUMIFS('Unos prihoda i primitaka'!$H$3:$H$504,'Unos prihoda i primitaka'!$C$3:$C$504,"=559",'Unos prihoda i primitaka'!$L$3:$L$504,"=72")</f>
        <v>0</v>
      </c>
      <c r="M32" s="116">
        <f>SUMIFS('Unos prihoda i primitaka'!$H$3:$H$504,'Unos prihoda i primitaka'!$C$3:$C$504,"=561",'Unos prihoda i primitaka'!$L$3:$L$504,"=72")</f>
        <v>0</v>
      </c>
      <c r="N32" s="116">
        <f>SUMIFS('Unos prihoda i primitaka'!$H$3:$H$504,'Unos prihoda i primitaka'!$C$3:$C$504,"=563",'Unos prihoda i primitaka'!$L$3:$L$504,"=72")</f>
        <v>0</v>
      </c>
      <c r="O32" s="116">
        <f>SUMIFS('Unos prihoda i primitaka'!$H$3:$H$504,'Unos prihoda i primitaka'!$C$3:$C$504,"=573",'Unos prihoda i primitaka'!$L$3:$L$504,"=72")</f>
        <v>0</v>
      </c>
      <c r="P32" s="116">
        <f>SUMIFS('Unos prihoda i primitaka'!$H$3:$H$504,'Unos prihoda i primitaka'!$C$3:$C$504,"=575",'Unos prihoda i primitaka'!$L$3:$L$504,"=72")</f>
        <v>0</v>
      </c>
      <c r="Q32" s="116">
        <f>SUMIFS('Unos prihoda i primitaka'!$H$3:$H$504,'Unos prihoda i primitaka'!$C$3:$C$504,"=576",'Unos prihoda i primitaka'!$L$3:$L$504,"=72")</f>
        <v>0</v>
      </c>
      <c r="R32" s="116">
        <f>SUMIFS('Unos prihoda i primitaka'!$H$3:$H$504,'Unos prihoda i primitaka'!$C$3:$C$504,"=581",'Unos prihoda i primitaka'!$L$3:$L$504,"=72")</f>
        <v>0</v>
      </c>
      <c r="S32" s="116">
        <f>SUMIFS('Unos prihoda i primitaka'!$H$3:$H$504,'Unos prihoda i primitaka'!$C$3:$C$504,"=61",'Unos prihoda i primitaka'!$L$3:$L$504,"=72")</f>
        <v>0</v>
      </c>
      <c r="T32" s="116">
        <f>SUMIFS('Unos prihoda i primitaka'!$H$3:$H$504,'Unos prihoda i primitaka'!$C$3:$C$504,"=63",'Unos prihoda i primitaka'!$L$3:$L$504,"=72")</f>
        <v>0</v>
      </c>
      <c r="U32" s="116">
        <f>SUMIFS('Unos prihoda i primitaka'!$H$3:$H$504,'Unos prihoda i primitaka'!$C$3:$C$504,"=71",'Unos prihoda i primitaka'!$L$3:$L$504,"=72")</f>
        <v>0</v>
      </c>
    </row>
    <row r="33" spans="1:21" s="38" customFormat="1">
      <c r="A33" s="45" t="s">
        <v>249</v>
      </c>
      <c r="B33" s="46" t="s">
        <v>248</v>
      </c>
      <c r="C33" s="27">
        <f t="shared" si="5"/>
        <v>0</v>
      </c>
      <c r="D33" s="3">
        <f t="shared" ref="D33:U33" si="7">SUM(D31:D32)</f>
        <v>0</v>
      </c>
      <c r="E33" s="3">
        <f t="shared" si="7"/>
        <v>0</v>
      </c>
      <c r="F33" s="3">
        <f t="shared" si="7"/>
        <v>0</v>
      </c>
      <c r="G33" s="3">
        <f t="shared" si="7"/>
        <v>0</v>
      </c>
      <c r="H33" s="3">
        <f t="shared" si="7"/>
        <v>0</v>
      </c>
      <c r="I33" s="3">
        <f t="shared" si="7"/>
        <v>0</v>
      </c>
      <c r="J33" s="3">
        <f t="shared" si="7"/>
        <v>0</v>
      </c>
      <c r="K33" s="3">
        <f t="shared" si="7"/>
        <v>0</v>
      </c>
      <c r="L33" s="3">
        <f t="shared" si="7"/>
        <v>0</v>
      </c>
      <c r="M33" s="3">
        <f t="shared" si="7"/>
        <v>0</v>
      </c>
      <c r="N33" s="3">
        <f t="shared" si="7"/>
        <v>0</v>
      </c>
      <c r="O33" s="3">
        <f t="shared" si="7"/>
        <v>0</v>
      </c>
      <c r="P33" s="3">
        <f t="shared" si="7"/>
        <v>0</v>
      </c>
      <c r="Q33" s="3">
        <f t="shared" si="7"/>
        <v>0</v>
      </c>
      <c r="R33" s="3">
        <f t="shared" si="7"/>
        <v>0</v>
      </c>
      <c r="S33" s="3">
        <f t="shared" si="7"/>
        <v>0</v>
      </c>
      <c r="T33" s="3">
        <f t="shared" si="7"/>
        <v>0</v>
      </c>
      <c r="U33" s="3">
        <f t="shared" si="7"/>
        <v>0</v>
      </c>
    </row>
    <row r="34" spans="1:21">
      <c r="A34" s="20"/>
      <c r="B34" s="20"/>
      <c r="C34" s="20"/>
      <c r="D34" s="20"/>
      <c r="E34" s="20"/>
      <c r="F34" s="20"/>
      <c r="G34" s="20"/>
      <c r="H34" s="50"/>
      <c r="I34" s="51"/>
      <c r="J34" s="51"/>
      <c r="K34" s="51"/>
      <c r="L34" s="51"/>
      <c r="M34" s="51"/>
      <c r="N34" s="51"/>
      <c r="O34" s="51"/>
      <c r="P34" s="51"/>
      <c r="Q34" s="51"/>
      <c r="R34" s="39"/>
    </row>
    <row r="35" spans="1:21" s="38" customFormat="1" ht="89.25">
      <c r="A35" s="40" t="s">
        <v>237</v>
      </c>
      <c r="B35" s="40" t="s">
        <v>238</v>
      </c>
      <c r="C35" s="179" t="s">
        <v>239</v>
      </c>
      <c r="D35" s="166" t="s">
        <v>259</v>
      </c>
      <c r="E35" s="166" t="s">
        <v>251</v>
      </c>
      <c r="F35" s="167" t="s">
        <v>16</v>
      </c>
      <c r="G35" s="167" t="s">
        <v>1229</v>
      </c>
      <c r="H35" s="167" t="s">
        <v>17</v>
      </c>
      <c r="I35" s="167" t="s">
        <v>240</v>
      </c>
      <c r="J35" s="167" t="s">
        <v>241</v>
      </c>
      <c r="K35" s="167" t="s">
        <v>1230</v>
      </c>
      <c r="L35" s="167" t="s">
        <v>242</v>
      </c>
      <c r="M35" s="167" t="s">
        <v>243</v>
      </c>
      <c r="N35" s="167" t="s">
        <v>244</v>
      </c>
      <c r="O35" s="167" t="s">
        <v>1231</v>
      </c>
      <c r="P35" s="167" t="s">
        <v>1232</v>
      </c>
      <c r="Q35" s="167" t="s">
        <v>1707</v>
      </c>
      <c r="R35" s="41" t="s">
        <v>3016</v>
      </c>
      <c r="S35" s="41" t="s">
        <v>245</v>
      </c>
      <c r="T35" s="41" t="s">
        <v>246</v>
      </c>
      <c r="U35" s="41" t="s">
        <v>250</v>
      </c>
    </row>
    <row r="36" spans="1:21" s="38" customFormat="1" ht="20.25" customHeight="1">
      <c r="A36" s="331">
        <v>2023</v>
      </c>
      <c r="B36" s="331" t="s">
        <v>5267</v>
      </c>
      <c r="C36" s="367">
        <f>SUM(D36:U36)</f>
        <v>6913542</v>
      </c>
      <c r="D36" s="378">
        <f t="shared" ref="D36:U36" si="8">+D47+D44</f>
        <v>3277919</v>
      </c>
      <c r="E36" s="378">
        <f t="shared" si="8"/>
        <v>148210</v>
      </c>
      <c r="F36" s="378">
        <f t="shared" si="8"/>
        <v>81200</v>
      </c>
      <c r="G36" s="378">
        <f t="shared" si="8"/>
        <v>0</v>
      </c>
      <c r="H36" s="378">
        <f t="shared" si="8"/>
        <v>706000</v>
      </c>
      <c r="I36" s="378">
        <f t="shared" si="8"/>
        <v>0</v>
      </c>
      <c r="J36" s="378">
        <f t="shared" si="8"/>
        <v>1689213</v>
      </c>
      <c r="K36" s="378">
        <f t="shared" si="8"/>
        <v>0</v>
      </c>
      <c r="L36" s="378">
        <f t="shared" si="8"/>
        <v>0</v>
      </c>
      <c r="M36" s="378">
        <f t="shared" si="8"/>
        <v>0</v>
      </c>
      <c r="N36" s="378">
        <f t="shared" si="8"/>
        <v>1011000</v>
      </c>
      <c r="O36" s="60">
        <f t="shared" si="8"/>
        <v>0</v>
      </c>
      <c r="P36" s="60">
        <f t="shared" si="8"/>
        <v>0</v>
      </c>
      <c r="Q36" s="60">
        <f t="shared" si="8"/>
        <v>0</v>
      </c>
      <c r="R36" s="60">
        <f t="shared" si="8"/>
        <v>0</v>
      </c>
      <c r="S36" s="60">
        <f t="shared" si="8"/>
        <v>0</v>
      </c>
      <c r="T36" s="60">
        <f t="shared" si="8"/>
        <v>0</v>
      </c>
      <c r="U36" s="60">
        <f t="shared" si="8"/>
        <v>0</v>
      </c>
    </row>
    <row r="37" spans="1:21" s="38" customFormat="1">
      <c r="A37" s="44" t="s">
        <v>5082</v>
      </c>
      <c r="B37" s="57" t="s">
        <v>5081</v>
      </c>
      <c r="C37" s="366">
        <f t="shared" ref="C37:C47" si="9">SUM(D37:U37)</f>
        <v>0</v>
      </c>
      <c r="D37" s="116">
        <f>SUMIFS('Unos prihoda i primitaka'!$I$3:$I$504,'Unos prihoda i primitaka'!$C$3:$C$504,"=11",'Unos prihoda i primitaka'!$L$3:$L$504,"=61")</f>
        <v>0</v>
      </c>
      <c r="E37" s="116">
        <f>SUMIFS('Unos prihoda i primitaka'!$I$3:$I$504,'Unos prihoda i primitaka'!$C$3:$C$504,"=12",'Unos prihoda i primitaka'!$L$3:$L$504,"=61")</f>
        <v>0</v>
      </c>
      <c r="F37" s="116">
        <f>SUMIFS('Unos prihoda i primitaka'!$I$3:$I$504,'Unos prihoda i primitaka'!$C$3:$C$504,"=31",'Unos prihoda i primitaka'!$L$3:$L$504,"=61")</f>
        <v>0</v>
      </c>
      <c r="G37" s="116">
        <f>SUMIFS('Unos prihoda i primitaka'!$I$3:$I$504,'Unos prihoda i primitaka'!$C$3:$C$504,"=41",'Unos prihoda i primitaka'!$L$3:$L$504,"=61")</f>
        <v>0</v>
      </c>
      <c r="H37" s="116">
        <f>SUMIFS('Unos prihoda i primitaka'!$I$3:$I$504,'Unos prihoda i primitaka'!$C$3:$C$504,"=43",'Unos prihoda i primitaka'!$L$3:$L$504,"=61")</f>
        <v>0</v>
      </c>
      <c r="I37" s="116">
        <f>SUMIFS('Unos prihoda i primitaka'!$I$3:$I$504,'Unos prihoda i primitaka'!$C$3:$C$504,"=51",'Unos prihoda i primitaka'!$L$3:$L$504,"=61")</f>
        <v>0</v>
      </c>
      <c r="J37" s="116">
        <f>SUMIFS('Unos prihoda i primitaka'!$I$3:$I$504,'Unos prihoda i primitaka'!$C$3:$C$504,"=52",'Unos prihoda i primitaka'!$L$3:$L$504,"=61")</f>
        <v>0</v>
      </c>
      <c r="K37" s="116">
        <f>SUMIFS('Unos prihoda i primitaka'!$I$3:$I$504,'Unos prihoda i primitaka'!$C$3:$C$504,"=552",'Unos prihoda i primitaka'!$L$3:$L$504,"=61")</f>
        <v>0</v>
      </c>
      <c r="L37" s="116">
        <f>SUMIFS('Unos prihoda i primitaka'!$I$3:$I$504,'Unos prihoda i primitaka'!$C$3:$C$504,"=559",'Unos prihoda i primitaka'!$L$3:$L$504,"=61")</f>
        <v>0</v>
      </c>
      <c r="M37" s="116">
        <f>SUMIFS('Unos prihoda i primitaka'!$I$3:$I$504,'Unos prihoda i primitaka'!$C$3:$C$504,"=561",'Unos prihoda i primitaka'!$L$3:$L$504,"=61")</f>
        <v>0</v>
      </c>
      <c r="N37" s="116">
        <f>SUMIFS('Unos prihoda i primitaka'!$I$3:$I$504,'Unos prihoda i primitaka'!$C$3:$C$504,"=563",'Unos prihoda i primitaka'!$L$3:$L$504,"=61")</f>
        <v>0</v>
      </c>
      <c r="O37" s="116">
        <f>SUMIFS('Unos prihoda i primitaka'!$I$3:$I$504,'Unos prihoda i primitaka'!$C$3:$C$504,"=573",'Unos prihoda i primitaka'!$L$3:$L$504,"=61")</f>
        <v>0</v>
      </c>
      <c r="P37" s="116">
        <f>SUMIFS('Unos prihoda i primitaka'!$I$3:$I$504,'Unos prihoda i primitaka'!$C$3:$C$504,"=575",'Unos prihoda i primitaka'!$L$3:$L$504,"=61")</f>
        <v>0</v>
      </c>
      <c r="Q37" s="116">
        <f>SUMIFS('Unos prihoda i primitaka'!$I$3:$I$504,'Unos prihoda i primitaka'!$C$3:$C$504,"=576",'Unos prihoda i primitaka'!$L$3:$L$504,"=61")</f>
        <v>0</v>
      </c>
      <c r="R37" s="116">
        <f>SUMIFS('Unos prihoda i primitaka'!$I$3:$I$504,'Unos prihoda i primitaka'!$C$3:$C$504,"=581",'Unos prihoda i primitaka'!$L$3:$L$504,"=61")</f>
        <v>0</v>
      </c>
      <c r="S37" s="116">
        <f>SUMIFS('Unos prihoda i primitaka'!$I$3:$I$504,'Unos prihoda i primitaka'!$C$3:$C$504,"=61",'Unos prihoda i primitaka'!$L$3:$L$504,"=61")</f>
        <v>0</v>
      </c>
      <c r="T37" s="116">
        <f>SUMIFS('Unos prihoda i primitaka'!$I$3:$I$504,'Unos prihoda i primitaka'!$C$3:$C$504,"=63",'Unos prihoda i primitaka'!$L$3:$L$504,"=61")</f>
        <v>0</v>
      </c>
      <c r="U37" s="116">
        <f>SUMIFS('Unos prihoda i primitaka'!$I$3:$I$504,'Unos prihoda i primitaka'!$C$3:$C$504,"=71",'Unos prihoda i primitaka'!$L$3:$L$504,"=61")</f>
        <v>0</v>
      </c>
    </row>
    <row r="38" spans="1:21" s="38" customFormat="1" ht="25.5">
      <c r="A38" s="44" t="s">
        <v>5084</v>
      </c>
      <c r="B38" s="57" t="s">
        <v>5083</v>
      </c>
      <c r="C38" s="366">
        <f t="shared" si="9"/>
        <v>2700213</v>
      </c>
      <c r="D38" s="116">
        <f>SUMIFS('Unos prihoda i primitaka'!$I$3:$I$504,'Unos prihoda i primitaka'!$C$3:$C$504,"=11",'Unos prihoda i primitaka'!$L$3:$L$504,"=63")</f>
        <v>0</v>
      </c>
      <c r="E38" s="116"/>
      <c r="F38" s="116">
        <f>SUMIFS('Unos prihoda i primitaka'!$I$3:$I$504,'Unos prihoda i primitaka'!$C$3:$C$504,"=31",'Unos prihoda i primitaka'!$L$3:$L$504,"=63")</f>
        <v>0</v>
      </c>
      <c r="G38" s="116">
        <f>SUMIFS('Unos prihoda i primitaka'!$I$3:$I$504,'Unos prihoda i primitaka'!$C$3:$C$504,"=41",'Unos prihoda i primitaka'!$L$3:$L$504,"=63")</f>
        <v>0</v>
      </c>
      <c r="H38" s="116">
        <f>SUMIFS('Unos prihoda i primitaka'!$I$3:$I$504,'Unos prihoda i primitaka'!$C$3:$C$504,"=43",'Unos prihoda i primitaka'!$L$3:$L$504,"=63")</f>
        <v>0</v>
      </c>
      <c r="I38" s="116">
        <f>SUMIFS('Unos prihoda i primitaka'!$I$3:$I$504,'Unos prihoda i primitaka'!$C$3:$C$504,"=51",'Unos prihoda i primitaka'!$L$3:$L$504,"=63")</f>
        <v>0</v>
      </c>
      <c r="J38" s="116">
        <f>'Unos prihoda i primitaka'!I14+'Unos prihoda i primitaka'!I15+'Unos prihoda i primitaka'!I16+'Unos prihoda i primitaka'!I17+'Unos prihoda i primitaka'!I18+'Unos prihoda i primitaka'!I19+'Unos prihoda i primitaka'!I20</f>
        <v>1689213</v>
      </c>
      <c r="K38" s="116">
        <f>SUMIFS('Unos prihoda i primitaka'!$I$3:$I$504,'Unos prihoda i primitaka'!$C$3:$C$504,"=552",'Unos prihoda i primitaka'!$L$3:$L$504,"=63")</f>
        <v>0</v>
      </c>
      <c r="L38" s="116">
        <f>SUMIFS('Unos prihoda i primitaka'!$I$3:$I$504,'Unos prihoda i primitaka'!$C$3:$C$504,"=559",'Unos prihoda i primitaka'!$L$3:$L$504,"=63")</f>
        <v>0</v>
      </c>
      <c r="M38" s="116">
        <f>SUMIFS('Unos prihoda i primitaka'!$I$3:$I$504,'Unos prihoda i primitaka'!$C$3:$C$504,"=561",'Unos prihoda i primitaka'!$L$3:$L$504,"=63")</f>
        <v>0</v>
      </c>
      <c r="N38" s="116">
        <f>'Unos prihoda i primitaka'!I21+'Unos prihoda i primitaka'!I22</f>
        <v>1011000</v>
      </c>
      <c r="O38" s="116">
        <f>SUMIFS('Unos prihoda i primitaka'!$I$3:$I$504,'Unos prihoda i primitaka'!$C$3:$C$504,"=573",'Unos prihoda i primitaka'!$L$3:$L$504,"=63")</f>
        <v>0</v>
      </c>
      <c r="P38" s="116">
        <f>SUMIFS('Unos prihoda i primitaka'!$I$3:$I$504,'Unos prihoda i primitaka'!$C$3:$C$504,"=575",'Unos prihoda i primitaka'!$L$3:$L$504,"=63")</f>
        <v>0</v>
      </c>
      <c r="Q38" s="116">
        <f>SUMIFS('Unos prihoda i primitaka'!$I$3:$I$504,'Unos prihoda i primitaka'!$C$3:$C$504,"=576",'Unos prihoda i primitaka'!$L$3:$L$504,"=63")</f>
        <v>0</v>
      </c>
      <c r="R38" s="116">
        <f>SUMIFS('Unos prihoda i primitaka'!$I$3:$I$504,'Unos prihoda i primitaka'!$C$3:$C$504,"=581",'Unos prihoda i primitaka'!$L$3:$L$504,"=63")</f>
        <v>0</v>
      </c>
      <c r="S38" s="116">
        <f>SUMIFS('Unos prihoda i primitaka'!$I$3:$I$504,'Unos prihoda i primitaka'!$C$3:$C$504,"=61",'Unos prihoda i primitaka'!$L$3:$L$504,"=63")</f>
        <v>0</v>
      </c>
      <c r="T38" s="116">
        <f>SUMIFS('Unos prihoda i primitaka'!$I$3:$I$504,'Unos prihoda i primitaka'!$C$3:$C$504,"=63",'Unos prihoda i primitaka'!$L$3:$L$504,"=63")</f>
        <v>0</v>
      </c>
      <c r="U38" s="116">
        <f>SUMIFS('Unos prihoda i primitaka'!$I$3:$I$504,'Unos prihoda i primitaka'!$C$3:$C$504,"=71",'Unos prihoda i primitaka'!$L$3:$L$504,"=63")</f>
        <v>0</v>
      </c>
    </row>
    <row r="39" spans="1:21" s="38" customFormat="1">
      <c r="A39" s="42" t="s">
        <v>5086</v>
      </c>
      <c r="B39" s="43" t="s">
        <v>5085</v>
      </c>
      <c r="C39" s="366">
        <f t="shared" si="9"/>
        <v>200</v>
      </c>
      <c r="D39" s="116">
        <f>SUMIFS('Unos prihoda i primitaka'!$I$3:$I$504,'Unos prihoda i primitaka'!$C$3:$C$504,"=11",'Unos prihoda i primitaka'!$L$3:$L$504,"=64")</f>
        <v>0</v>
      </c>
      <c r="E39" s="116">
        <f>SUMIFS('Unos prihoda i primitaka'!$I$3:$I$504,'Unos prihoda i primitaka'!$C$3:$C$504,"=12",'Unos prihoda i primitaka'!$L$3:$L$504,"=64")</f>
        <v>0</v>
      </c>
      <c r="F39" s="116">
        <f>'Unos prihoda i primitaka'!I5+'Unos prihoda i primitaka'!I6+'Unos prihoda i primitaka'!I7</f>
        <v>200</v>
      </c>
      <c r="G39" s="116">
        <f>SUMIFS('Unos prihoda i primitaka'!$I$3:$I$504,'Unos prihoda i primitaka'!$C$3:$C$504,"=41",'Unos prihoda i primitaka'!$L$3:$L$504,"=64")</f>
        <v>0</v>
      </c>
      <c r="H39" s="116">
        <f>SUMIFS('Unos prihoda i primitaka'!$I$3:$I$504,'Unos prihoda i primitaka'!$C$3:$C$504,"=43",'Unos prihoda i primitaka'!$L$3:$L$504,"=64")</f>
        <v>0</v>
      </c>
      <c r="I39" s="116">
        <f>SUMIFS('Unos prihoda i primitaka'!$I$3:$I$504,'Unos prihoda i primitaka'!$C$3:$C$504,"=51",'Unos prihoda i primitaka'!$L$3:$L$504,"=64")</f>
        <v>0</v>
      </c>
      <c r="J39" s="116">
        <f>SUMIFS('Unos prihoda i primitaka'!$I$3:$I$504,'Unos prihoda i primitaka'!$C$3:$C$504,"=52",'Unos prihoda i primitaka'!$L$3:$L$504,"=64")</f>
        <v>0</v>
      </c>
      <c r="K39" s="116">
        <f>SUMIFS('Unos prihoda i primitaka'!$I$3:$I$504,'Unos prihoda i primitaka'!$C$3:$C$504,"=552",'Unos prihoda i primitaka'!$L$3:$L$504,"=64")</f>
        <v>0</v>
      </c>
      <c r="L39" s="116">
        <f>SUMIFS('Unos prihoda i primitaka'!$I$3:$I$504,'Unos prihoda i primitaka'!$C$3:$C$504,"=559",'Unos prihoda i primitaka'!$L$3:$L$504,"=64")</f>
        <v>0</v>
      </c>
      <c r="M39" s="116">
        <f>SUMIFS('Unos prihoda i primitaka'!$I$3:$I$504,'Unos prihoda i primitaka'!$C$3:$C$504,"=561",'Unos prihoda i primitaka'!$L$3:$L$504,"=64")</f>
        <v>0</v>
      </c>
      <c r="N39" s="116">
        <f>SUMIFS('Unos prihoda i primitaka'!$I$3:$I$504,'Unos prihoda i primitaka'!$C$3:$C$504,"=563",'Unos prihoda i primitaka'!$L$3:$L$504,"=64")</f>
        <v>0</v>
      </c>
      <c r="O39" s="116">
        <f>SUMIFS('Unos prihoda i primitaka'!$I$3:$I$504,'Unos prihoda i primitaka'!$C$3:$C$504,"=573",'Unos prihoda i primitaka'!$L$3:$L$504,"=64")</f>
        <v>0</v>
      </c>
      <c r="P39" s="116">
        <f>SUMIFS('Unos prihoda i primitaka'!$I$3:$I$504,'Unos prihoda i primitaka'!$C$3:$C$504,"=575",'Unos prihoda i primitaka'!$L$3:$L$504,"=64")</f>
        <v>0</v>
      </c>
      <c r="Q39" s="116">
        <f>SUMIFS('Unos prihoda i primitaka'!$I$3:$I$504,'Unos prihoda i primitaka'!$C$3:$C$504,"=576",'Unos prihoda i primitaka'!$L$3:$L$504,"=64")</f>
        <v>0</v>
      </c>
      <c r="R39" s="116">
        <f>SUMIFS('Unos prihoda i primitaka'!$I$3:$I$504,'Unos prihoda i primitaka'!$C$3:$C$504,"=581",'Unos prihoda i primitaka'!$L$3:$L$504,"=64")</f>
        <v>0</v>
      </c>
      <c r="S39" s="116">
        <f>SUMIFS('Unos prihoda i primitaka'!$I$3:$I$504,'Unos prihoda i primitaka'!$C$3:$C$504,"=61",'Unos prihoda i primitaka'!$L$3:$L$504,"=64")</f>
        <v>0</v>
      </c>
      <c r="T39" s="116">
        <f>SUMIFS('Unos prihoda i primitaka'!$I$3:$I$504,'Unos prihoda i primitaka'!$C$3:$C$504,"=63",'Unos prihoda i primitaka'!$L$3:$L$504,"=64")</f>
        <v>0</v>
      </c>
      <c r="U39" s="116">
        <f>SUMIFS('Unos prihoda i primitaka'!$I$3:$I$504,'Unos prihoda i primitaka'!$C$3:$C$504,"=71",'Unos prihoda i primitaka'!$L$3:$L$504,"=64")</f>
        <v>0</v>
      </c>
    </row>
    <row r="40" spans="1:21" s="38" customFormat="1" ht="25.5">
      <c r="A40" s="42" t="s">
        <v>5087</v>
      </c>
      <c r="B40" s="43" t="s">
        <v>5088</v>
      </c>
      <c r="C40" s="366">
        <f t="shared" si="9"/>
        <v>701000</v>
      </c>
      <c r="D40" s="116">
        <f>SUMIFS('Unos prihoda i primitaka'!$I$3:$I$504,'Unos prihoda i primitaka'!$C$3:$C$504,"=11",'Unos prihoda i primitaka'!$L$3:$L$504,"=65")</f>
        <v>0</v>
      </c>
      <c r="E40" s="116">
        <f>SUMIFS('Unos prihoda i primitaka'!$I$3:$I$504,'Unos prihoda i primitaka'!$C$3:$C$504,"=12",'Unos prihoda i primitaka'!$L$3:$L$504,"=65")</f>
        <v>0</v>
      </c>
      <c r="F40" s="116">
        <f>SUMIFS('Unos prihoda i primitaka'!$I$3:$I$504,'Unos prihoda i primitaka'!$C$3:$C$504,"=31",'Unos prihoda i primitaka'!$L$3:$L$504,"=65")</f>
        <v>0</v>
      </c>
      <c r="G40" s="116">
        <f>SUMIFS('Unos prihoda i primitaka'!$I$3:$I$504,'Unos prihoda i primitaka'!$C$3:$C$504,"=41",'Unos prihoda i primitaka'!$L$3:$L$504,"=65")</f>
        <v>0</v>
      </c>
      <c r="H40" s="116">
        <f>'Unos prihoda i primitaka'!I10+'Unos prihoda i primitaka'!I11+'Unos prihoda i primitaka'!I12</f>
        <v>701000</v>
      </c>
      <c r="I40" s="116">
        <f>SUMIFS('Unos prihoda i primitaka'!$I$3:$I$504,'Unos prihoda i primitaka'!$C$3:$C$504,"=51",'Unos prihoda i primitaka'!$L$3:$L$504,"=65")</f>
        <v>0</v>
      </c>
      <c r="J40" s="116">
        <f>SUMIFS('Unos prihoda i primitaka'!$I$3:$I$504,'Unos prihoda i primitaka'!$C$3:$C$504,"=52",'Unos prihoda i primitaka'!$L$3:$L$504,"=65")</f>
        <v>0</v>
      </c>
      <c r="K40" s="116">
        <f>SUMIFS('Unos prihoda i primitaka'!$I$3:$I$504,'Unos prihoda i primitaka'!$C$3:$C$504,"=552",'Unos prihoda i primitaka'!$L$3:$L$504,"=65")</f>
        <v>0</v>
      </c>
      <c r="L40" s="116">
        <f>SUMIFS('Unos prihoda i primitaka'!$I$3:$I$504,'Unos prihoda i primitaka'!$C$3:$C$504,"=559",'Unos prihoda i primitaka'!$L$3:$L$504,"=65")</f>
        <v>0</v>
      </c>
      <c r="M40" s="116">
        <f>SUMIFS('Unos prihoda i primitaka'!$I$3:$I$504,'Unos prihoda i primitaka'!$C$3:$C$504,"=561",'Unos prihoda i primitaka'!$L$3:$L$504,"=65")</f>
        <v>0</v>
      </c>
      <c r="N40" s="116">
        <f>SUMIFS('Unos prihoda i primitaka'!$I$3:$I$504,'Unos prihoda i primitaka'!$C$3:$C$504,"=563",'Unos prihoda i primitaka'!$L$3:$L$504,"=65")</f>
        <v>0</v>
      </c>
      <c r="O40" s="116">
        <f>SUMIFS('Unos prihoda i primitaka'!$I$3:$I$504,'Unos prihoda i primitaka'!$C$3:$C$504,"=573",'Unos prihoda i primitaka'!$L$3:$L$504,"=65")</f>
        <v>0</v>
      </c>
      <c r="P40" s="116">
        <f>SUMIFS('Unos prihoda i primitaka'!$I$3:$I$504,'Unos prihoda i primitaka'!$C$3:$C$504,"=575",'Unos prihoda i primitaka'!$L$3:$L$504,"=65")</f>
        <v>0</v>
      </c>
      <c r="Q40" s="116">
        <f>SUMIFS('Unos prihoda i primitaka'!$I$3:$I$504,'Unos prihoda i primitaka'!$C$3:$C$504,"=576",'Unos prihoda i primitaka'!$L$3:$L$504,"=65")</f>
        <v>0</v>
      </c>
      <c r="R40" s="116">
        <f>SUMIFS('Unos prihoda i primitaka'!$I$3:$I$504,'Unos prihoda i primitaka'!$C$3:$C$504,"=581",'Unos prihoda i primitaka'!$L$3:$L$504,"=65")</f>
        <v>0</v>
      </c>
      <c r="S40" s="116">
        <f>SUMIFS('Unos prihoda i primitaka'!$I$3:$I$504,'Unos prihoda i primitaka'!$C$3:$C$504,"=61",'Unos prihoda i primitaka'!$L$3:$L$504,"=65")</f>
        <v>0</v>
      </c>
      <c r="T40" s="116">
        <f>SUMIFS('Unos prihoda i primitaka'!$I$3:$I$504,'Unos prihoda i primitaka'!$C$3:$C$504,"=63",'Unos prihoda i primitaka'!$L$3:$L$504,"=65")</f>
        <v>0</v>
      </c>
      <c r="U40" s="116">
        <f>SUMIFS('Unos prihoda i primitaka'!$I$3:$I$504,'Unos prihoda i primitaka'!$C$3:$C$504,"=71",'Unos prihoda i primitaka'!$L$3:$L$504,"=65")</f>
        <v>0</v>
      </c>
    </row>
    <row r="41" spans="1:21" s="38" customFormat="1" ht="25.5">
      <c r="A41" s="134" t="s">
        <v>5090</v>
      </c>
      <c r="B41" s="43" t="s">
        <v>5089</v>
      </c>
      <c r="C41" s="366">
        <f t="shared" si="9"/>
        <v>81000</v>
      </c>
      <c r="D41" s="116">
        <f>SUMIFS('Unos prihoda i primitaka'!$I$3:$I$504,'Unos prihoda i primitaka'!$C$3:$C$504,"=11",'Unos prihoda i primitaka'!$L$3:$L$504,"=66")</f>
        <v>0</v>
      </c>
      <c r="E41" s="116">
        <f>SUMIFS('Unos prihoda i primitaka'!$I$3:$I$504,'Unos prihoda i primitaka'!$C$3:$C$504,"=12",'Unos prihoda i primitaka'!$L$3:$L$504,"=66")</f>
        <v>0</v>
      </c>
      <c r="F41" s="116">
        <f>SUMIFS('Unos prihoda i primitaka'!$I$3:$I$504,'Unos prihoda i primitaka'!$C$3:$C$504,"=31",'Unos prihoda i primitaka'!$L$3:$L$504,"=66")</f>
        <v>81000</v>
      </c>
      <c r="G41" s="116">
        <f>SUMIFS('Unos prihoda i primitaka'!$I$3:$I$504,'Unos prihoda i primitaka'!$C$3:$C$504,"=41",'Unos prihoda i primitaka'!$L$3:$L$504,"=66")</f>
        <v>0</v>
      </c>
      <c r="H41" s="116">
        <f>SUMIFS('Unos prihoda i primitaka'!$I$3:$I$504,'Unos prihoda i primitaka'!$C$3:$C$504,"=43",'Unos prihoda i primitaka'!$L$3:$L$504,"=66")</f>
        <v>0</v>
      </c>
      <c r="I41" s="116">
        <f>SUMIFS('Unos prihoda i primitaka'!$I$3:$I$504,'Unos prihoda i primitaka'!$C$3:$C$504,"=51",'Unos prihoda i primitaka'!$L$3:$L$504,"=66")</f>
        <v>0</v>
      </c>
      <c r="J41" s="116">
        <f>SUMIFS('Unos prihoda i primitaka'!$I$3:$I$504,'Unos prihoda i primitaka'!$C$3:$C$504,"=52",'Unos prihoda i primitaka'!$L$3:$L$504,"=66")</f>
        <v>0</v>
      </c>
      <c r="K41" s="116">
        <f>SUMIFS('Unos prihoda i primitaka'!$I$3:$I$504,'Unos prihoda i primitaka'!$C$3:$C$504,"=552",'Unos prihoda i primitaka'!$L$3:$L$504,"=66")</f>
        <v>0</v>
      </c>
      <c r="L41" s="116">
        <f>SUMIFS('Unos prihoda i primitaka'!$I$3:$I$504,'Unos prihoda i primitaka'!$C$3:$C$504,"=559",'Unos prihoda i primitaka'!$L$3:$L$504,"=66")</f>
        <v>0</v>
      </c>
      <c r="M41" s="116">
        <f>SUMIFS('Unos prihoda i primitaka'!$I$3:$I$504,'Unos prihoda i primitaka'!$C$3:$C$504,"=561",'Unos prihoda i primitaka'!$L$3:$L$504,"=66")</f>
        <v>0</v>
      </c>
      <c r="N41" s="116">
        <f>SUMIFS('Unos prihoda i primitaka'!$I$3:$I$504,'Unos prihoda i primitaka'!$C$3:$C$504,"=563",'Unos prihoda i primitaka'!$L$3:$L$504,"=66")</f>
        <v>0</v>
      </c>
      <c r="O41" s="116">
        <f>SUMIFS('Unos prihoda i primitaka'!$I$3:$I$504,'Unos prihoda i primitaka'!$C$3:$C$504,"=573",'Unos prihoda i primitaka'!$L$3:$L$504,"=66")</f>
        <v>0</v>
      </c>
      <c r="P41" s="116">
        <f>SUMIFS('Unos prihoda i primitaka'!$I$3:$I$504,'Unos prihoda i primitaka'!$C$3:$C$504,"=575",'Unos prihoda i primitaka'!$L$3:$L$504,"=66")</f>
        <v>0</v>
      </c>
      <c r="Q41" s="116">
        <f>SUMIFS('Unos prihoda i primitaka'!$I$3:$I$504,'Unos prihoda i primitaka'!$C$3:$C$504,"=576",'Unos prihoda i primitaka'!$L$3:$L$504,"=66")</f>
        <v>0</v>
      </c>
      <c r="R41" s="116">
        <f>SUMIFS('Unos prihoda i primitaka'!$I$3:$I$504,'Unos prihoda i primitaka'!$C$3:$C$504,"=581",'Unos prihoda i primitaka'!$L$3:$L$504,"=66")</f>
        <v>0</v>
      </c>
      <c r="S41" s="116">
        <f>SUMIFS('Unos prihoda i primitaka'!$I$3:$I$504,'Unos prihoda i primitaka'!$C$3:$C$504,"=61",'Unos prihoda i primitaka'!$L$3:$L$504,"=66")</f>
        <v>0</v>
      </c>
      <c r="T41" s="116">
        <f>SUMIFS('Unos prihoda i primitaka'!$I$3:$I$504,'Unos prihoda i primitaka'!$C$3:$C$504,"=63",'Unos prihoda i primitaka'!$L$3:$L$504,"=66")</f>
        <v>0</v>
      </c>
      <c r="U41" s="116">
        <f>SUMIFS('Unos prihoda i primitaka'!$I$3:$I$504,'Unos prihoda i primitaka'!$C$3:$C$504,"=71",'Unos prihoda i primitaka'!$L$3:$L$504,"=66")</f>
        <v>0</v>
      </c>
    </row>
    <row r="42" spans="1:21" s="38" customFormat="1">
      <c r="A42" s="42" t="s">
        <v>5093</v>
      </c>
      <c r="B42" s="43" t="s">
        <v>5102</v>
      </c>
      <c r="C42" s="366">
        <f t="shared" si="9"/>
        <v>3426129</v>
      </c>
      <c r="D42" s="116">
        <f>SUMIFS('Unos prihoda i primitaka'!$I$3:$I$504,'Unos prihoda i primitaka'!$C$3:$C$504,"=11",'Unos prihoda i primitaka'!$L$3:$L$504,"=67")</f>
        <v>3277919</v>
      </c>
      <c r="E42" s="116">
        <f>SUMIFS('Unos prihoda i primitaka'!$I$3:$I$504,'Unos prihoda i primitaka'!$C$3:$C$504,"=12",'Unos prihoda i primitaka'!$L$3:$L$504,"=67")</f>
        <v>148210</v>
      </c>
      <c r="F42" s="116">
        <f>SUMIFS('Unos prihoda i primitaka'!$I$3:$I$504,'Unos prihoda i primitaka'!$C$3:$C$504,"=31",'Unos prihoda i primitaka'!$L$3:$L$504,"=67")</f>
        <v>0</v>
      </c>
      <c r="G42" s="116">
        <f>SUMIFS('Unos prihoda i primitaka'!$I$3:$I$504,'Unos prihoda i primitaka'!$C$3:$C$504,"=41",'Unos prihoda i primitaka'!$L$3:$L$504,"=67")</f>
        <v>0</v>
      </c>
      <c r="H42" s="116">
        <f>SUMIFS('Unos prihoda i primitaka'!$I$3:$I$504,'Unos prihoda i primitaka'!$C$3:$C$504,"=43",'Unos prihoda i primitaka'!$L$3:$L$504,"=67")</f>
        <v>0</v>
      </c>
      <c r="I42" s="116">
        <f>SUMIFS('Unos prihoda i primitaka'!$I$3:$I$504,'Unos prihoda i primitaka'!$C$3:$C$504,"=51",'Unos prihoda i primitaka'!$L$3:$L$504,"=67")</f>
        <v>0</v>
      </c>
      <c r="J42" s="116">
        <f>SUMIFS('Unos prihoda i primitaka'!$I$3:$I$504,'Unos prihoda i primitaka'!$C$3:$C$504,"=52",'Unos prihoda i primitaka'!$L$3:$L$504,"=67")</f>
        <v>0</v>
      </c>
      <c r="K42" s="116">
        <f>SUMIFS('Unos prihoda i primitaka'!$I$3:$I$504,'Unos prihoda i primitaka'!$C$3:$C$504,"=552",'Unos prihoda i primitaka'!$L$3:$L$504,"=67")</f>
        <v>0</v>
      </c>
      <c r="L42" s="116">
        <f>SUMIFS('Unos prihoda i primitaka'!$I$3:$I$504,'Unos prihoda i primitaka'!$C$3:$C$504,"=559",'Unos prihoda i primitaka'!$L$3:$L$504,"=67")</f>
        <v>0</v>
      </c>
      <c r="M42" s="116">
        <f>SUMIFS('Unos prihoda i primitaka'!$I$3:$I$504,'Unos prihoda i primitaka'!$C$3:$C$504,"=561",'Unos prihoda i primitaka'!$L$3:$L$504,"=67")</f>
        <v>0</v>
      </c>
      <c r="N42" s="116">
        <f>SUMIFS('Unos prihoda i primitaka'!$I$3:$I$504,'Unos prihoda i primitaka'!$C$3:$C$504,"=563",'Unos prihoda i primitaka'!$L$3:$L$504,"=67")</f>
        <v>0</v>
      </c>
      <c r="O42" s="116">
        <f>SUMIFS('Unos prihoda i primitaka'!$I$3:$I$504,'Unos prihoda i primitaka'!$C$3:$C$504,"=573",'Unos prihoda i primitaka'!$L$3:$L$504,"=67")</f>
        <v>0</v>
      </c>
      <c r="P42" s="116">
        <f>SUMIFS('Unos prihoda i primitaka'!$I$3:$I$504,'Unos prihoda i primitaka'!$C$3:$C$504,"=575",'Unos prihoda i primitaka'!$L$3:$L$504,"=67")</f>
        <v>0</v>
      </c>
      <c r="Q42" s="116">
        <f>SUMIFS('Unos prihoda i primitaka'!$I$3:$I$504,'Unos prihoda i primitaka'!$C$3:$C$504,"=576",'Unos prihoda i primitaka'!$L$3:$L$504,"=67")</f>
        <v>0</v>
      </c>
      <c r="R42" s="116">
        <f>SUMIFS('Unos prihoda i primitaka'!$I$3:$I$504,'Unos prihoda i primitaka'!$C$3:$C$504,"=581",'Unos prihoda i primitaka'!$L$3:$L$504,"=67")</f>
        <v>0</v>
      </c>
      <c r="S42" s="116">
        <f>SUMIFS('Unos prihoda i primitaka'!$I$3:$I$504,'Unos prihoda i primitaka'!$C$3:$C$504,"=61",'Unos prihoda i primitaka'!$L$3:$L$504,"=67")</f>
        <v>0</v>
      </c>
      <c r="T42" s="116">
        <f>SUMIFS('Unos prihoda i primitaka'!$I$3:$I$504,'Unos prihoda i primitaka'!$C$3:$C$504,"=63",'Unos prihoda i primitaka'!$L$3:$L$504,"=67")</f>
        <v>0</v>
      </c>
      <c r="U42" s="116">
        <f>SUMIFS('Unos prihoda i primitaka'!$I$3:$I$504,'Unos prihoda i primitaka'!$C$3:$C$504,"=71",'Unos prihoda i primitaka'!$L$3:$L$504,"=67")</f>
        <v>0</v>
      </c>
    </row>
    <row r="43" spans="1:21" s="38" customFormat="1">
      <c r="A43" s="42" t="s">
        <v>5092</v>
      </c>
      <c r="B43" s="43" t="s">
        <v>5091</v>
      </c>
      <c r="C43" s="366">
        <f t="shared" si="9"/>
        <v>5000</v>
      </c>
      <c r="D43" s="116">
        <f>SUMIFS('Unos prihoda i primitaka'!$I$3:$I$504,'Unos prihoda i primitaka'!$C$3:$C$504,"=11",'Unos prihoda i primitaka'!$L$3:$L$504,"=68")</f>
        <v>0</v>
      </c>
      <c r="E43" s="116">
        <f>SUMIFS('Unos prihoda i primitaka'!$I$3:$I$504,'Unos prihoda i primitaka'!$C$3:$C$504,"=12",'Unos prihoda i primitaka'!$L$3:$L$504,"=68")</f>
        <v>0</v>
      </c>
      <c r="F43" s="116">
        <f>SUMIFS('Unos prihoda i primitaka'!$I$3:$I$504,'Unos prihoda i primitaka'!$C$3:$C$504,"=31",'Unos prihoda i primitaka'!$L$3:$L$504,"=68")</f>
        <v>0</v>
      </c>
      <c r="G43" s="116">
        <f>SUMIFS('Unos prihoda i primitaka'!$I$3:$I$504,'Unos prihoda i primitaka'!$C$3:$C$504,"=41",'Unos prihoda i primitaka'!$L$3:$L$504,"=68")</f>
        <v>0</v>
      </c>
      <c r="H43" s="116">
        <f>'Unos prihoda i primitaka'!I13</f>
        <v>5000</v>
      </c>
      <c r="I43" s="116">
        <f>SUMIFS('Unos prihoda i primitaka'!$I$3:$I$504,'Unos prihoda i primitaka'!$C$3:$C$504,"=51",'Unos prihoda i primitaka'!$L$3:$L$504,"=68")</f>
        <v>0</v>
      </c>
      <c r="J43" s="116">
        <f>SUMIFS('Unos prihoda i primitaka'!$I$3:$I$504,'Unos prihoda i primitaka'!$C$3:$C$504,"=52",'Unos prihoda i primitaka'!$L$3:$L$504,"=68")</f>
        <v>0</v>
      </c>
      <c r="K43" s="116">
        <f>SUMIFS('Unos prihoda i primitaka'!$I$3:$I$504,'Unos prihoda i primitaka'!$C$3:$C$504,"=552",'Unos prihoda i primitaka'!$L$3:$L$504,"=68")</f>
        <v>0</v>
      </c>
      <c r="L43" s="116">
        <f>SUMIFS('Unos prihoda i primitaka'!$I$3:$I$504,'Unos prihoda i primitaka'!$C$3:$C$504,"=559",'Unos prihoda i primitaka'!$L$3:$L$504,"=68")</f>
        <v>0</v>
      </c>
      <c r="M43" s="116">
        <f>SUMIFS('Unos prihoda i primitaka'!$I$3:$I$504,'Unos prihoda i primitaka'!$C$3:$C$504,"=561",'Unos prihoda i primitaka'!$L$3:$L$504,"=68")</f>
        <v>0</v>
      </c>
      <c r="N43" s="116">
        <f>SUMIFS('Unos prihoda i primitaka'!$I$3:$I$504,'Unos prihoda i primitaka'!$C$3:$C$504,"=563",'Unos prihoda i primitaka'!$L$3:$L$504,"=68")</f>
        <v>0</v>
      </c>
      <c r="O43" s="116">
        <f>SUMIFS('Unos prihoda i primitaka'!$I$3:$I$504,'Unos prihoda i primitaka'!$C$3:$C$504,"=573",'Unos prihoda i primitaka'!$L$3:$L$504,"=68")</f>
        <v>0</v>
      </c>
      <c r="P43" s="116">
        <f>SUMIFS('Unos prihoda i primitaka'!$I$3:$I$504,'Unos prihoda i primitaka'!$C$3:$C$504,"=575",'Unos prihoda i primitaka'!$L$3:$L$504,"=68")</f>
        <v>0</v>
      </c>
      <c r="Q43" s="116">
        <f>SUMIFS('Unos prihoda i primitaka'!$I$3:$I$504,'Unos prihoda i primitaka'!$C$3:$C$504,"=576",'Unos prihoda i primitaka'!$L$3:$L$504,"=68")</f>
        <v>0</v>
      </c>
      <c r="R43" s="116">
        <f>SUMIFS('Unos prihoda i primitaka'!$I$3:$I$504,'Unos prihoda i primitaka'!$C$3:$C$504,"=581",'Unos prihoda i primitaka'!$L$3:$L$504,"=68")</f>
        <v>0</v>
      </c>
      <c r="S43" s="116">
        <f>SUMIFS('Unos prihoda i primitaka'!$I$3:$I$504,'Unos prihoda i primitaka'!$C$3:$C$504,"=61",'Unos prihoda i primitaka'!$L$3:$L$504,"=68")</f>
        <v>0</v>
      </c>
      <c r="T43" s="116">
        <f>SUMIFS('Unos prihoda i primitaka'!$I$3:$I$504,'Unos prihoda i primitaka'!$C$3:$C$504,"=63",'Unos prihoda i primitaka'!$L$3:$L$504,"=68")</f>
        <v>0</v>
      </c>
      <c r="U43" s="116">
        <f>SUMIFS('Unos prihoda i primitaka'!$I$3:$I$504,'Unos prihoda i primitaka'!$C$3:$C$504,"=71",'Unos prihoda i primitaka'!$L$3:$L$504,"=68")</f>
        <v>0</v>
      </c>
    </row>
    <row r="44" spans="1:21" s="38" customFormat="1">
      <c r="A44" s="45" t="s">
        <v>247</v>
      </c>
      <c r="B44" s="46" t="s">
        <v>248</v>
      </c>
      <c r="C44" s="366">
        <f t="shared" si="9"/>
        <v>6913542</v>
      </c>
      <c r="D44" s="3">
        <f t="shared" ref="D44:U44" si="10">SUM(D37:D43)</f>
        <v>3277919</v>
      </c>
      <c r="E44" s="3">
        <f t="shared" si="10"/>
        <v>148210</v>
      </c>
      <c r="F44" s="3">
        <f t="shared" si="10"/>
        <v>81200</v>
      </c>
      <c r="G44" s="3">
        <f t="shared" si="10"/>
        <v>0</v>
      </c>
      <c r="H44" s="3">
        <f t="shared" si="10"/>
        <v>706000</v>
      </c>
      <c r="I44" s="3">
        <f t="shared" si="10"/>
        <v>0</v>
      </c>
      <c r="J44" s="3">
        <f t="shared" si="10"/>
        <v>1689213</v>
      </c>
      <c r="K44" s="3">
        <f t="shared" si="10"/>
        <v>0</v>
      </c>
      <c r="L44" s="3">
        <f t="shared" si="10"/>
        <v>0</v>
      </c>
      <c r="M44" s="3">
        <f t="shared" si="10"/>
        <v>0</v>
      </c>
      <c r="N44" s="3">
        <f t="shared" si="10"/>
        <v>1011000</v>
      </c>
      <c r="O44" s="3">
        <f t="shared" si="10"/>
        <v>0</v>
      </c>
      <c r="P44" s="3">
        <f t="shared" si="10"/>
        <v>0</v>
      </c>
      <c r="Q44" s="3">
        <f t="shared" si="10"/>
        <v>0</v>
      </c>
      <c r="R44" s="3">
        <f t="shared" si="10"/>
        <v>0</v>
      </c>
      <c r="S44" s="3">
        <f t="shared" si="10"/>
        <v>0</v>
      </c>
      <c r="T44" s="3">
        <f t="shared" si="10"/>
        <v>0</v>
      </c>
      <c r="U44" s="3">
        <f t="shared" si="10"/>
        <v>0</v>
      </c>
    </row>
    <row r="45" spans="1:21" s="38" customFormat="1">
      <c r="A45" s="42" t="s">
        <v>5094</v>
      </c>
      <c r="B45" s="47" t="s">
        <v>5095</v>
      </c>
      <c r="C45" s="27">
        <f t="shared" si="9"/>
        <v>0</v>
      </c>
      <c r="D45" s="116">
        <f>SUMIFS('Unos prihoda i primitaka'!$I$3:$I$504,'Unos prihoda i primitaka'!$C$3:$C$504,"=11",'Unos prihoda i primitaka'!$L$3:$L$504,"=71")</f>
        <v>0</v>
      </c>
      <c r="E45" s="116">
        <f>SUMIFS('Unos prihoda i primitaka'!$I$3:$I$504,'Unos prihoda i primitaka'!$C$3:$C$504,"=12",'Unos prihoda i primitaka'!$L$3:$L$504,"=71")</f>
        <v>0</v>
      </c>
      <c r="F45" s="116">
        <f>SUMIFS('Unos prihoda i primitaka'!$I$3:$I$504,'Unos prihoda i primitaka'!$C$3:$C$504,"=31",'Unos prihoda i primitaka'!$L$3:$L$504,"=71")</f>
        <v>0</v>
      </c>
      <c r="G45" s="116">
        <f>SUMIFS('Unos prihoda i primitaka'!$I$3:$I$504,'Unos prihoda i primitaka'!$C$3:$C$504,"=41",'Unos prihoda i primitaka'!$L$3:$L$504,"=71")</f>
        <v>0</v>
      </c>
      <c r="H45" s="116">
        <f>SUMIFS('Unos prihoda i primitaka'!$I$3:$I$504,'Unos prihoda i primitaka'!$C$3:$C$504,"=43",'Unos prihoda i primitaka'!$L$3:$L$504,"=71")</f>
        <v>0</v>
      </c>
      <c r="I45" s="116">
        <f>SUMIFS('Unos prihoda i primitaka'!$I$3:$I$504,'Unos prihoda i primitaka'!$C$3:$C$504,"=51",'Unos prihoda i primitaka'!$L$3:$L$504,"=71")</f>
        <v>0</v>
      </c>
      <c r="J45" s="116">
        <f>SUMIFS('Unos prihoda i primitaka'!$I$3:$I$504,'Unos prihoda i primitaka'!$C$3:$C$504,"=52",'Unos prihoda i primitaka'!$L$3:$L$504,"=71")</f>
        <v>0</v>
      </c>
      <c r="K45" s="116">
        <f>SUMIFS('Unos prihoda i primitaka'!$I$3:$I$504,'Unos prihoda i primitaka'!$C$3:$C$504,"=552",'Unos prihoda i primitaka'!$L$3:$L$504,"=71")</f>
        <v>0</v>
      </c>
      <c r="L45" s="116">
        <f>SUMIFS('Unos prihoda i primitaka'!$I$3:$I$504,'Unos prihoda i primitaka'!$C$3:$C$504,"=559",'Unos prihoda i primitaka'!$L$3:$L$504,"=71")</f>
        <v>0</v>
      </c>
      <c r="M45" s="116">
        <f>SUMIFS('Unos prihoda i primitaka'!$I$3:$I$504,'Unos prihoda i primitaka'!$C$3:$C$504,"=561",'Unos prihoda i primitaka'!$L$3:$L$504,"=71")</f>
        <v>0</v>
      </c>
      <c r="N45" s="116">
        <f>SUMIFS('Unos prihoda i primitaka'!$I$3:$I$504,'Unos prihoda i primitaka'!$C$3:$C$504,"=563",'Unos prihoda i primitaka'!$L$3:$L$504,"=71")</f>
        <v>0</v>
      </c>
      <c r="O45" s="116">
        <f>SUMIFS('Unos prihoda i primitaka'!$I$3:$I$504,'Unos prihoda i primitaka'!$C$3:$C$504,"=573",'Unos prihoda i primitaka'!$L$3:$L$504,"=71")</f>
        <v>0</v>
      </c>
      <c r="P45" s="116">
        <f>SUMIFS('Unos prihoda i primitaka'!$I$3:$I$504,'Unos prihoda i primitaka'!$C$3:$C$504,"=575",'Unos prihoda i primitaka'!$L$3:$L$504,"=71")</f>
        <v>0</v>
      </c>
      <c r="Q45" s="116">
        <f>SUMIFS('Unos prihoda i primitaka'!$I$3:$I$504,'Unos prihoda i primitaka'!$C$3:$C$504,"=576",'Unos prihoda i primitaka'!$L$3:$L$504,"=71")</f>
        <v>0</v>
      </c>
      <c r="R45" s="116">
        <f>SUMIFS('Unos prihoda i primitaka'!$I$3:$I$504,'Unos prihoda i primitaka'!$C$3:$C$504,"=581",'Unos prihoda i primitaka'!$L$3:$L$504,"=71")</f>
        <v>0</v>
      </c>
      <c r="S45" s="116">
        <f>SUMIFS('Unos prihoda i primitaka'!$I$3:$I$504,'Unos prihoda i primitaka'!$C$3:$C$504,"=61",'Unos prihoda i primitaka'!$L$3:$L$504,"=71")</f>
        <v>0</v>
      </c>
      <c r="T45" s="116">
        <f>SUMIFS('Unos prihoda i primitaka'!$I$3:$I$504,'Unos prihoda i primitaka'!$C$3:$C$504,"=63",'Unos prihoda i primitaka'!$L$3:$L$504,"=71")</f>
        <v>0</v>
      </c>
      <c r="U45" s="116">
        <f>SUMIFS('Unos prihoda i primitaka'!$I$3:$I$504,'Unos prihoda i primitaka'!$C$3:$C$504,"=71",'Unos prihoda i primitaka'!$L$3:$L$504,"=71")</f>
        <v>0</v>
      </c>
    </row>
    <row r="46" spans="1:21" s="38" customFormat="1">
      <c r="A46" s="42" t="s">
        <v>5096</v>
      </c>
      <c r="B46" s="47" t="s">
        <v>5097</v>
      </c>
      <c r="C46" s="27">
        <f t="shared" si="9"/>
        <v>0</v>
      </c>
      <c r="D46" s="116">
        <f>SUMIFS('Unos prihoda i primitaka'!$I$3:$I$504,'Unos prihoda i primitaka'!$C$3:$C$504,"=11",'Unos prihoda i primitaka'!$L$3:$L$504,"=72")</f>
        <v>0</v>
      </c>
      <c r="E46" s="116">
        <f>SUMIFS('Unos prihoda i primitaka'!$I$3:$I$504,'Unos prihoda i primitaka'!$C$3:$C$504,"=12",'Unos prihoda i primitaka'!$L$3:$L$504,"=72")</f>
        <v>0</v>
      </c>
      <c r="F46" s="116">
        <f>SUMIFS('Unos prihoda i primitaka'!$I$3:$I$504,'Unos prihoda i primitaka'!$C$3:$C$504,"=31",'Unos prihoda i primitaka'!$L$3:$L$504,"=72")</f>
        <v>0</v>
      </c>
      <c r="G46" s="116">
        <f>SUMIFS('Unos prihoda i primitaka'!$I$3:$I$504,'Unos prihoda i primitaka'!$C$3:$C$504,"=41",'Unos prihoda i primitaka'!$L$3:$L$504,"=72")</f>
        <v>0</v>
      </c>
      <c r="H46" s="116">
        <f>SUMIFS('Unos prihoda i primitaka'!$I$3:$I$504,'Unos prihoda i primitaka'!$C$3:$C$504,"=43",'Unos prihoda i primitaka'!$L$3:$L$504,"=72")</f>
        <v>0</v>
      </c>
      <c r="I46" s="116">
        <f>SUMIFS('Unos prihoda i primitaka'!$I$3:$I$504,'Unos prihoda i primitaka'!$C$3:$C$504,"=51",'Unos prihoda i primitaka'!$L$3:$L$504,"=72")</f>
        <v>0</v>
      </c>
      <c r="J46" s="116">
        <f>SUMIFS('Unos prihoda i primitaka'!$I$3:$I$504,'Unos prihoda i primitaka'!$C$3:$C$504,"=52",'Unos prihoda i primitaka'!$L$3:$L$504,"=72")</f>
        <v>0</v>
      </c>
      <c r="K46" s="116">
        <f>SUMIFS('Unos prihoda i primitaka'!$I$3:$I$504,'Unos prihoda i primitaka'!$C$3:$C$504,"=552",'Unos prihoda i primitaka'!$L$3:$L$504,"=72")</f>
        <v>0</v>
      </c>
      <c r="L46" s="116">
        <f>SUMIFS('Unos prihoda i primitaka'!$I$3:$I$504,'Unos prihoda i primitaka'!$C$3:$C$504,"=559",'Unos prihoda i primitaka'!$L$3:$L$504,"=72")</f>
        <v>0</v>
      </c>
      <c r="M46" s="116">
        <f>SUMIFS('Unos prihoda i primitaka'!$I$3:$I$504,'Unos prihoda i primitaka'!$C$3:$C$504,"=561",'Unos prihoda i primitaka'!$L$3:$L$504,"=72")</f>
        <v>0</v>
      </c>
      <c r="N46" s="116">
        <f>SUMIFS('Unos prihoda i primitaka'!$I$3:$I$504,'Unos prihoda i primitaka'!$C$3:$C$504,"=563",'Unos prihoda i primitaka'!$L$3:$L$504,"=72")</f>
        <v>0</v>
      </c>
      <c r="O46" s="116">
        <f>SUMIFS('Unos prihoda i primitaka'!$I$3:$I$504,'Unos prihoda i primitaka'!$C$3:$C$504,"=573",'Unos prihoda i primitaka'!$L$3:$L$504,"=72")</f>
        <v>0</v>
      </c>
      <c r="P46" s="116">
        <f>SUMIFS('Unos prihoda i primitaka'!$I$3:$I$504,'Unos prihoda i primitaka'!$C$3:$C$504,"=575",'Unos prihoda i primitaka'!$L$3:$L$504,"=72")</f>
        <v>0</v>
      </c>
      <c r="Q46" s="116">
        <f>SUMIFS('Unos prihoda i primitaka'!$I$3:$I$504,'Unos prihoda i primitaka'!$C$3:$C$504,"=576",'Unos prihoda i primitaka'!$L$3:$L$504,"=72")</f>
        <v>0</v>
      </c>
      <c r="R46" s="116">
        <f>SUMIFS('Unos prihoda i primitaka'!$I$3:$I$504,'Unos prihoda i primitaka'!$C$3:$C$504,"=581",'Unos prihoda i primitaka'!$L$3:$L$504,"=72")</f>
        <v>0</v>
      </c>
      <c r="S46" s="116">
        <f>SUMIFS('Unos prihoda i primitaka'!$I$3:$I$504,'Unos prihoda i primitaka'!$C$3:$C$504,"=61",'Unos prihoda i primitaka'!$L$3:$L$504,"=72")</f>
        <v>0</v>
      </c>
      <c r="T46" s="116">
        <f>SUMIFS('Unos prihoda i primitaka'!$I$3:$I$504,'Unos prihoda i primitaka'!$C$3:$C$504,"=63",'Unos prihoda i primitaka'!$L$3:$L$504,"=72")</f>
        <v>0</v>
      </c>
      <c r="U46" s="116">
        <f>SUMIFS('Unos prihoda i primitaka'!$I$3:$I$504,'Unos prihoda i primitaka'!$C$3:$C$504,"=71",'Unos prihoda i primitaka'!$L$3:$L$504,"=72")</f>
        <v>0</v>
      </c>
    </row>
    <row r="47" spans="1:21" s="38" customFormat="1">
      <c r="A47" s="45" t="s">
        <v>249</v>
      </c>
      <c r="B47" s="46" t="s">
        <v>248</v>
      </c>
      <c r="C47" s="27">
        <f t="shared" si="9"/>
        <v>0</v>
      </c>
      <c r="D47" s="3">
        <f t="shared" ref="D47:U47" si="11">SUM(D45:D46)</f>
        <v>0</v>
      </c>
      <c r="E47" s="3">
        <f t="shared" si="11"/>
        <v>0</v>
      </c>
      <c r="F47" s="3">
        <f t="shared" si="11"/>
        <v>0</v>
      </c>
      <c r="G47" s="3">
        <f t="shared" si="11"/>
        <v>0</v>
      </c>
      <c r="H47" s="3">
        <f t="shared" si="11"/>
        <v>0</v>
      </c>
      <c r="I47" s="3">
        <f t="shared" si="11"/>
        <v>0</v>
      </c>
      <c r="J47" s="3">
        <f t="shared" si="11"/>
        <v>0</v>
      </c>
      <c r="K47" s="3">
        <f t="shared" si="11"/>
        <v>0</v>
      </c>
      <c r="L47" s="3">
        <f t="shared" si="11"/>
        <v>0</v>
      </c>
      <c r="M47" s="3">
        <f t="shared" si="11"/>
        <v>0</v>
      </c>
      <c r="N47" s="3">
        <f t="shared" si="11"/>
        <v>0</v>
      </c>
      <c r="O47" s="3">
        <f t="shared" si="11"/>
        <v>0</v>
      </c>
      <c r="P47" s="3">
        <f t="shared" si="11"/>
        <v>0</v>
      </c>
      <c r="Q47" s="3">
        <f t="shared" si="11"/>
        <v>0</v>
      </c>
      <c r="R47" s="3">
        <f t="shared" si="11"/>
        <v>0</v>
      </c>
      <c r="S47" s="3">
        <f t="shared" si="11"/>
        <v>0</v>
      </c>
      <c r="T47" s="3">
        <f t="shared" si="11"/>
        <v>0</v>
      </c>
      <c r="U47" s="3">
        <f t="shared" si="11"/>
        <v>0</v>
      </c>
    </row>
    <row r="48" spans="1:21">
      <c r="A48" s="20"/>
      <c r="B48" s="20"/>
      <c r="C48" s="20"/>
      <c r="D48" s="20"/>
      <c r="E48" s="20"/>
      <c r="F48" s="20"/>
      <c r="G48" s="20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39"/>
    </row>
    <row r="49" spans="1:17">
      <c r="F49" s="4"/>
      <c r="G49" s="4"/>
      <c r="H49" s="21"/>
      <c r="I49" s="52"/>
      <c r="J49" s="52"/>
      <c r="K49" s="52"/>
      <c r="L49" s="52"/>
      <c r="M49" s="52"/>
      <c r="N49" s="52"/>
      <c r="O49" s="52"/>
      <c r="P49" s="52"/>
      <c r="Q49" s="52"/>
    </row>
    <row r="50" spans="1:17">
      <c r="F50" s="4"/>
      <c r="G50" s="4"/>
      <c r="H50" s="53"/>
      <c r="I50" s="54"/>
      <c r="J50" s="54"/>
      <c r="K50" s="54"/>
      <c r="L50" s="54"/>
      <c r="M50" s="54"/>
      <c r="N50" s="54"/>
      <c r="O50" s="54"/>
      <c r="P50" s="54"/>
      <c r="Q50" s="54"/>
    </row>
    <row r="51" spans="1:17">
      <c r="A51" s="4"/>
      <c r="B51" s="4"/>
      <c r="C51" s="4"/>
      <c r="D51" s="4"/>
      <c r="E51" s="4"/>
      <c r="F51" s="4"/>
      <c r="G51" s="4"/>
      <c r="H51" s="22"/>
      <c r="I51" s="4"/>
      <c r="J51" s="4"/>
      <c r="K51" s="4"/>
      <c r="L51" s="4"/>
      <c r="M51" s="4"/>
      <c r="N51" s="4"/>
      <c r="O51" s="4"/>
      <c r="P51" s="4"/>
      <c r="Q51" s="4"/>
    </row>
    <row r="52" spans="1:17">
      <c r="A52" s="4"/>
      <c r="B52" s="4"/>
      <c r="C52" s="4"/>
      <c r="D52" s="4"/>
      <c r="E52" s="4"/>
      <c r="F52" s="4"/>
      <c r="G52" s="4"/>
      <c r="H52" s="22"/>
      <c r="I52" s="4"/>
      <c r="J52" s="4"/>
      <c r="K52" s="4"/>
      <c r="L52" s="4"/>
      <c r="M52" s="4"/>
      <c r="N52" s="4"/>
      <c r="O52" s="4"/>
      <c r="P52" s="4"/>
      <c r="Q52" s="4"/>
    </row>
    <row r="53" spans="1:17">
      <c r="A53" s="4"/>
      <c r="B53" s="4"/>
      <c r="C53" s="4"/>
      <c r="D53" s="4"/>
      <c r="E53" s="4"/>
      <c r="F53" s="4"/>
      <c r="G53" s="4"/>
      <c r="H53" s="22"/>
      <c r="I53" s="4"/>
      <c r="J53" s="4"/>
      <c r="K53" s="4"/>
      <c r="L53" s="4"/>
      <c r="M53" s="4"/>
      <c r="N53" s="4"/>
      <c r="O53" s="4"/>
      <c r="P53" s="4"/>
      <c r="Q53" s="4"/>
    </row>
    <row r="54" spans="1:17">
      <c r="A54" s="4"/>
      <c r="B54" s="4"/>
      <c r="C54" s="4"/>
      <c r="D54" s="4"/>
      <c r="E54" s="4"/>
      <c r="F54" s="4"/>
      <c r="G54" s="4"/>
    </row>
    <row r="55" spans="1:17">
      <c r="A55" s="4"/>
      <c r="B55" s="4"/>
      <c r="C55" s="4"/>
      <c r="D55" s="4"/>
      <c r="E55" s="4"/>
      <c r="F55" s="4"/>
      <c r="G55" s="4"/>
      <c r="H55" s="22"/>
      <c r="I55" s="4"/>
      <c r="J55" s="4"/>
      <c r="K55" s="4"/>
      <c r="L55" s="4"/>
      <c r="M55" s="4"/>
      <c r="N55" s="4"/>
      <c r="O55" s="4"/>
      <c r="P55" s="4"/>
      <c r="Q55" s="4"/>
    </row>
    <row r="56" spans="1:17">
      <c r="A56" s="4"/>
      <c r="B56" s="4"/>
      <c r="C56" s="4"/>
      <c r="D56" s="4"/>
      <c r="E56" s="4"/>
      <c r="F56" s="4"/>
      <c r="G56" s="4"/>
      <c r="H56" s="22"/>
      <c r="I56" s="24"/>
      <c r="J56" s="24"/>
      <c r="K56" s="24"/>
      <c r="L56" s="24"/>
      <c r="M56" s="24"/>
      <c r="N56" s="24"/>
      <c r="O56" s="24"/>
      <c r="P56" s="24"/>
      <c r="Q56" s="24"/>
    </row>
    <row r="57" spans="1:17">
      <c r="A57" s="4"/>
      <c r="B57" s="4"/>
      <c r="C57" s="4"/>
      <c r="D57" s="4"/>
      <c r="E57" s="4"/>
      <c r="F57" s="4"/>
      <c r="G57" s="4"/>
      <c r="H57" s="22"/>
      <c r="I57" s="4"/>
      <c r="J57" s="4"/>
      <c r="K57" s="4"/>
      <c r="L57" s="4"/>
      <c r="M57" s="4"/>
      <c r="N57" s="4"/>
      <c r="O57" s="4"/>
      <c r="P57" s="4"/>
      <c r="Q57" s="4"/>
    </row>
    <row r="58" spans="1:17">
      <c r="A58" s="4"/>
      <c r="B58" s="4"/>
      <c r="C58" s="4"/>
      <c r="D58" s="4"/>
      <c r="E58" s="4"/>
      <c r="F58" s="4"/>
      <c r="G58" s="4"/>
      <c r="H58" s="22"/>
      <c r="I58" s="55"/>
      <c r="J58" s="55"/>
      <c r="K58" s="55"/>
      <c r="L58" s="55"/>
      <c r="M58" s="55"/>
      <c r="N58" s="55"/>
      <c r="O58" s="55"/>
      <c r="P58" s="55"/>
      <c r="Q58" s="55"/>
    </row>
    <row r="59" spans="1:17">
      <c r="H59" s="53"/>
      <c r="I59" s="56"/>
      <c r="J59" s="56"/>
      <c r="K59" s="56"/>
      <c r="L59" s="56"/>
      <c r="M59" s="56"/>
      <c r="N59" s="56"/>
      <c r="O59" s="56"/>
      <c r="P59" s="56"/>
      <c r="Q59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JB3799"/>
  <sheetViews>
    <sheetView showGridLines="0" zoomScaleNormal="100" zoomScaleSheetLayoutView="80" workbookViewId="0">
      <pane xSplit="1" ySplit="1" topLeftCell="B206" activePane="bottomRight" state="frozen"/>
      <selection pane="topRight" activeCell="B1" sqref="B1"/>
      <selection pane="bottomLeft" activeCell="A2" sqref="A2"/>
      <selection pane="bottomRight" activeCell="E244" sqref="E244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401" t="s">
        <v>5105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</row>
    <row r="2" spans="1:262" ht="14.25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94"/>
      <c r="V2" s="294" t="s">
        <v>5251</v>
      </c>
    </row>
    <row r="3" spans="1:262" s="30" customFormat="1" ht="63.75">
      <c r="A3" s="41" t="s">
        <v>195</v>
      </c>
      <c r="B3" s="41" t="s">
        <v>196</v>
      </c>
      <c r="C3" s="2" t="s">
        <v>3018</v>
      </c>
      <c r="D3" s="2" t="s">
        <v>37</v>
      </c>
      <c r="E3" s="2" t="s">
        <v>251</v>
      </c>
      <c r="F3" s="41" t="s">
        <v>16</v>
      </c>
      <c r="G3" s="41" t="s">
        <v>5111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5117</v>
      </c>
      <c r="Q3" s="41" t="s">
        <v>5118</v>
      </c>
      <c r="R3" s="41" t="s">
        <v>3016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1">
        <v>2023</v>
      </c>
      <c r="B4" s="331" t="s">
        <v>5265</v>
      </c>
      <c r="C4" s="60">
        <f>SUM(D4:V4)</f>
        <v>8452779</v>
      </c>
      <c r="D4" s="379">
        <f t="shared" ref="D4:V4" si="0">D5+D70</f>
        <v>4387971</v>
      </c>
      <c r="E4" s="379">
        <f t="shared" si="0"/>
        <v>111795</v>
      </c>
      <c r="F4" s="379">
        <f t="shared" si="0"/>
        <v>93691</v>
      </c>
      <c r="G4" s="379">
        <f t="shared" si="0"/>
        <v>0</v>
      </c>
      <c r="H4" s="379">
        <f t="shared" si="0"/>
        <v>724808</v>
      </c>
      <c r="I4" s="379">
        <f t="shared" si="0"/>
        <v>0</v>
      </c>
      <c r="J4" s="379">
        <f t="shared" si="0"/>
        <v>1121684</v>
      </c>
      <c r="K4" s="379">
        <f t="shared" si="0"/>
        <v>0</v>
      </c>
      <c r="L4" s="379">
        <f t="shared" si="0"/>
        <v>0</v>
      </c>
      <c r="M4" s="379">
        <f t="shared" si="0"/>
        <v>0</v>
      </c>
      <c r="N4" s="379">
        <f t="shared" si="0"/>
        <v>2012830</v>
      </c>
      <c r="O4" s="379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0">
        <f t="shared" ref="C5:C75" si="1">SUM(D5:V5)</f>
        <v>7483061</v>
      </c>
      <c r="D5" s="67">
        <f t="shared" ref="D5:V5" si="2">+D6+D15+D45+D51+D54+D61+D66</f>
        <v>4185634</v>
      </c>
      <c r="E5" s="67">
        <f t="shared" si="2"/>
        <v>25865</v>
      </c>
      <c r="F5" s="67">
        <f t="shared" si="2"/>
        <v>93691</v>
      </c>
      <c r="G5" s="67">
        <f t="shared" si="2"/>
        <v>0</v>
      </c>
      <c r="H5" s="67">
        <f t="shared" si="2"/>
        <v>700900</v>
      </c>
      <c r="I5" s="67">
        <f t="shared" si="2"/>
        <v>0</v>
      </c>
      <c r="J5" s="67">
        <f t="shared" si="2"/>
        <v>1121684</v>
      </c>
      <c r="K5" s="67">
        <f t="shared" si="2"/>
        <v>0</v>
      </c>
      <c r="L5" s="67">
        <f t="shared" si="2"/>
        <v>0</v>
      </c>
      <c r="M5" s="67">
        <f t="shared" si="2"/>
        <v>0</v>
      </c>
      <c r="N5" s="67">
        <f t="shared" si="2"/>
        <v>1355287</v>
      </c>
      <c r="O5" s="67">
        <f t="shared" si="2"/>
        <v>0</v>
      </c>
      <c r="P5" s="67">
        <f t="shared" si="2"/>
        <v>0</v>
      </c>
      <c r="Q5" s="67">
        <f t="shared" si="2"/>
        <v>0</v>
      </c>
      <c r="R5" s="67">
        <f t="shared" si="2"/>
        <v>0</v>
      </c>
      <c r="S5" s="67">
        <f t="shared" si="2"/>
        <v>0</v>
      </c>
      <c r="T5" s="67">
        <f t="shared" si="2"/>
        <v>0</v>
      </c>
      <c r="U5" s="67">
        <f t="shared" si="2"/>
        <v>0</v>
      </c>
      <c r="V5" s="67">
        <f t="shared" si="2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27">
        <v>31</v>
      </c>
      <c r="B6" s="8" t="s">
        <v>198</v>
      </c>
      <c r="C6" s="60">
        <f t="shared" si="1"/>
        <v>3169042</v>
      </c>
      <c r="D6" s="380">
        <f>D7+D11+D13</f>
        <v>2960541</v>
      </c>
      <c r="E6" s="380">
        <f t="shared" ref="E6:V6" si="3">E7+E11+E13</f>
        <v>0</v>
      </c>
      <c r="F6" s="380">
        <f t="shared" si="3"/>
        <v>77147</v>
      </c>
      <c r="G6" s="380">
        <f t="shared" si="3"/>
        <v>0</v>
      </c>
      <c r="H6" s="380">
        <f t="shared" si="3"/>
        <v>1327</v>
      </c>
      <c r="I6" s="380">
        <f t="shared" si="3"/>
        <v>0</v>
      </c>
      <c r="J6" s="380">
        <f t="shared" si="3"/>
        <v>27027</v>
      </c>
      <c r="K6" s="380">
        <f t="shared" si="3"/>
        <v>0</v>
      </c>
      <c r="L6" s="380">
        <f t="shared" si="3"/>
        <v>0</v>
      </c>
      <c r="M6" s="380">
        <f t="shared" si="3"/>
        <v>0</v>
      </c>
      <c r="N6" s="380">
        <f t="shared" si="3"/>
        <v>103000</v>
      </c>
      <c r="O6" s="380">
        <f t="shared" si="3"/>
        <v>0</v>
      </c>
      <c r="P6" s="380">
        <f t="shared" si="3"/>
        <v>0</v>
      </c>
      <c r="Q6" s="380">
        <f t="shared" si="3"/>
        <v>0</v>
      </c>
      <c r="R6" s="380">
        <f t="shared" si="3"/>
        <v>0</v>
      </c>
      <c r="S6" s="380">
        <f t="shared" si="3"/>
        <v>0</v>
      </c>
      <c r="T6" s="380">
        <f t="shared" si="3"/>
        <v>0</v>
      </c>
      <c r="U6" s="380">
        <f t="shared" si="3"/>
        <v>0</v>
      </c>
      <c r="V6" s="380">
        <f t="shared" si="3"/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27">
        <v>311</v>
      </c>
      <c r="B7" s="8" t="s">
        <v>5261</v>
      </c>
      <c r="C7" s="60">
        <f t="shared" si="1"/>
        <v>2513336</v>
      </c>
      <c r="D7" s="380">
        <f>D9+D10+D8</f>
        <v>2365925</v>
      </c>
      <c r="E7" s="380">
        <f t="shared" ref="E7:V7" si="4">E9+E10+E8</f>
        <v>0</v>
      </c>
      <c r="F7" s="380">
        <f t="shared" si="4"/>
        <v>38924</v>
      </c>
      <c r="G7" s="380">
        <f t="shared" si="4"/>
        <v>0</v>
      </c>
      <c r="H7" s="380">
        <f t="shared" si="4"/>
        <v>0</v>
      </c>
      <c r="I7" s="380">
        <f t="shared" si="4"/>
        <v>0</v>
      </c>
      <c r="J7" s="380">
        <f t="shared" si="4"/>
        <v>22568</v>
      </c>
      <c r="K7" s="380">
        <f t="shared" si="4"/>
        <v>0</v>
      </c>
      <c r="L7" s="380">
        <f t="shared" si="4"/>
        <v>0</v>
      </c>
      <c r="M7" s="380">
        <f t="shared" si="4"/>
        <v>0</v>
      </c>
      <c r="N7" s="380">
        <f t="shared" si="4"/>
        <v>85919</v>
      </c>
      <c r="O7" s="380">
        <f t="shared" si="4"/>
        <v>0</v>
      </c>
      <c r="P7" s="380">
        <f t="shared" si="4"/>
        <v>0</v>
      </c>
      <c r="Q7" s="380">
        <f t="shared" si="4"/>
        <v>0</v>
      </c>
      <c r="R7" s="380">
        <f t="shared" si="4"/>
        <v>0</v>
      </c>
      <c r="S7" s="380">
        <f t="shared" si="4"/>
        <v>0</v>
      </c>
      <c r="T7" s="380">
        <f t="shared" si="4"/>
        <v>0</v>
      </c>
      <c r="U7" s="380">
        <f t="shared" si="4"/>
        <v>0</v>
      </c>
      <c r="V7" s="380">
        <f t="shared" si="4"/>
        <v>0</v>
      </c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27">
        <v>3111</v>
      </c>
      <c r="B8" s="8" t="s">
        <v>47</v>
      </c>
      <c r="C8" s="60">
        <f t="shared" si="1"/>
        <v>2510296</v>
      </c>
      <c r="D8" s="380">
        <f>'Unos rashoda i izdataka'!J3+'Unos rashoda i izdataka'!J11+'Unos rashoda i izdataka'!J12</f>
        <v>2362885</v>
      </c>
      <c r="E8" s="380"/>
      <c r="F8" s="380">
        <f>'Unos rashoda i izdataka'!J57</f>
        <v>38924</v>
      </c>
      <c r="G8" s="380"/>
      <c r="H8" s="380"/>
      <c r="I8" s="380"/>
      <c r="J8" s="380">
        <f>'Unos rashoda i izdataka'!J105+'Unos rashoda P4'!H29</f>
        <v>22568</v>
      </c>
      <c r="K8" s="380"/>
      <c r="L8" s="380"/>
      <c r="M8" s="380"/>
      <c r="N8" s="380">
        <f>'Unos rashoda P4'!H27</f>
        <v>85919</v>
      </c>
      <c r="O8" s="380"/>
      <c r="P8" s="380"/>
      <c r="Q8" s="380"/>
      <c r="R8" s="380"/>
      <c r="S8" s="380"/>
      <c r="T8" s="380"/>
      <c r="U8" s="380"/>
      <c r="V8" s="380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27">
        <v>3113</v>
      </c>
      <c r="B9" s="8" t="s">
        <v>125</v>
      </c>
      <c r="C9" s="60">
        <f t="shared" si="1"/>
        <v>1238</v>
      </c>
      <c r="D9" s="380">
        <f>'Unos rashoda i izdataka'!J13</f>
        <v>1238</v>
      </c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27">
        <v>3114</v>
      </c>
      <c r="B10" s="8" t="s">
        <v>147</v>
      </c>
      <c r="C10" s="60">
        <f t="shared" si="1"/>
        <v>1802</v>
      </c>
      <c r="D10" s="380">
        <f>'Unos rashoda i izdataka'!J4</f>
        <v>1802</v>
      </c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27">
        <v>312</v>
      </c>
      <c r="B11" s="8" t="s">
        <v>50</v>
      </c>
      <c r="C11" s="60">
        <f t="shared" si="1"/>
        <v>256222</v>
      </c>
      <c r="D11" s="380">
        <f>D12</f>
        <v>221714</v>
      </c>
      <c r="E11" s="380">
        <f t="shared" ref="E11:V11" si="5">E12</f>
        <v>0</v>
      </c>
      <c r="F11" s="380">
        <f t="shared" si="5"/>
        <v>33181</v>
      </c>
      <c r="G11" s="380">
        <f t="shared" si="5"/>
        <v>0</v>
      </c>
      <c r="H11" s="380">
        <f t="shared" si="5"/>
        <v>1327</v>
      </c>
      <c r="I11" s="380">
        <f t="shared" si="5"/>
        <v>0</v>
      </c>
      <c r="J11" s="380">
        <f t="shared" si="5"/>
        <v>0</v>
      </c>
      <c r="K11" s="380">
        <f t="shared" si="5"/>
        <v>0</v>
      </c>
      <c r="L11" s="380">
        <f t="shared" si="5"/>
        <v>0</v>
      </c>
      <c r="M11" s="380">
        <f t="shared" si="5"/>
        <v>0</v>
      </c>
      <c r="N11" s="380">
        <f t="shared" si="5"/>
        <v>0</v>
      </c>
      <c r="O11" s="380">
        <f t="shared" si="5"/>
        <v>0</v>
      </c>
      <c r="P11" s="380">
        <f t="shared" si="5"/>
        <v>0</v>
      </c>
      <c r="Q11" s="380">
        <f t="shared" si="5"/>
        <v>0</v>
      </c>
      <c r="R11" s="380">
        <f t="shared" si="5"/>
        <v>0</v>
      </c>
      <c r="S11" s="380">
        <f t="shared" si="5"/>
        <v>0</v>
      </c>
      <c r="T11" s="380">
        <f t="shared" si="5"/>
        <v>0</v>
      </c>
      <c r="U11" s="380">
        <f t="shared" si="5"/>
        <v>0</v>
      </c>
      <c r="V11" s="380">
        <f t="shared" si="5"/>
        <v>0</v>
      </c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9" customFormat="1" ht="12.6" customHeight="1">
      <c r="A12" s="327">
        <v>3121</v>
      </c>
      <c r="B12" s="8" t="s">
        <v>50</v>
      </c>
      <c r="C12" s="60">
        <f t="shared" si="1"/>
        <v>256222</v>
      </c>
      <c r="D12" s="380">
        <f>'Unos rashoda i izdataka'!J5+'Unos rashoda i izdataka'!J14</f>
        <v>221714</v>
      </c>
      <c r="E12" s="380"/>
      <c r="F12" s="380">
        <f>'Unos rashoda i izdataka'!J58</f>
        <v>33181</v>
      </c>
      <c r="G12" s="380"/>
      <c r="H12" s="380">
        <f>'Unos rashoda i izdataka'!J67</f>
        <v>1327</v>
      </c>
      <c r="I12" s="380"/>
      <c r="J12" s="380">
        <f>'Unos rashoda i izdataka'!J106+'Unos rashoda P4'!H30</f>
        <v>0</v>
      </c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9" customFormat="1" ht="12.6" customHeight="1">
      <c r="A13" s="327">
        <v>313</v>
      </c>
      <c r="B13" s="8" t="s">
        <v>5262</v>
      </c>
      <c r="C13" s="60">
        <f t="shared" si="1"/>
        <v>399484</v>
      </c>
      <c r="D13" s="380">
        <f>D14</f>
        <v>372902</v>
      </c>
      <c r="E13" s="380">
        <f t="shared" ref="E13:V13" si="6">E14</f>
        <v>0</v>
      </c>
      <c r="F13" s="380">
        <f t="shared" si="6"/>
        <v>5042</v>
      </c>
      <c r="G13" s="380">
        <f t="shared" si="6"/>
        <v>0</v>
      </c>
      <c r="H13" s="380">
        <f t="shared" si="6"/>
        <v>0</v>
      </c>
      <c r="I13" s="380">
        <f t="shared" si="6"/>
        <v>0</v>
      </c>
      <c r="J13" s="380">
        <f t="shared" si="6"/>
        <v>4459</v>
      </c>
      <c r="K13" s="380">
        <f t="shared" si="6"/>
        <v>0</v>
      </c>
      <c r="L13" s="380">
        <f t="shared" si="6"/>
        <v>0</v>
      </c>
      <c r="M13" s="380">
        <f t="shared" si="6"/>
        <v>0</v>
      </c>
      <c r="N13" s="380">
        <f t="shared" si="6"/>
        <v>17081</v>
      </c>
      <c r="O13" s="380">
        <f t="shared" si="6"/>
        <v>0</v>
      </c>
      <c r="P13" s="380">
        <f t="shared" si="6"/>
        <v>0</v>
      </c>
      <c r="Q13" s="380">
        <f t="shared" si="6"/>
        <v>0</v>
      </c>
      <c r="R13" s="380">
        <f t="shared" si="6"/>
        <v>0</v>
      </c>
      <c r="S13" s="380">
        <f t="shared" si="6"/>
        <v>0</v>
      </c>
      <c r="T13" s="380">
        <f t="shared" si="6"/>
        <v>0</v>
      </c>
      <c r="U13" s="380">
        <f t="shared" si="6"/>
        <v>0</v>
      </c>
      <c r="V13" s="380">
        <f t="shared" si="6"/>
        <v>0</v>
      </c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9" customFormat="1" ht="12.6" customHeight="1">
      <c r="A14" s="327">
        <v>3132</v>
      </c>
      <c r="B14" s="8" t="s">
        <v>51</v>
      </c>
      <c r="C14" s="60">
        <f t="shared" si="1"/>
        <v>399484</v>
      </c>
      <c r="D14" s="380">
        <f>'Unos rashoda i izdataka'!J6+'Unos rashoda i izdataka'!J15</f>
        <v>372902</v>
      </c>
      <c r="E14" s="380"/>
      <c r="F14" s="380">
        <f>'Unos rashoda i izdataka'!J59</f>
        <v>5042</v>
      </c>
      <c r="G14" s="380"/>
      <c r="H14" s="380"/>
      <c r="I14" s="380"/>
      <c r="J14" s="380">
        <f>'Unos rashoda i izdataka'!J107+'Unos rashoda P4'!H31</f>
        <v>4459</v>
      </c>
      <c r="K14" s="380"/>
      <c r="L14" s="380"/>
      <c r="M14" s="380"/>
      <c r="N14" s="380">
        <f>'Unos rashoda P4'!H28</f>
        <v>17081</v>
      </c>
      <c r="O14" s="380"/>
      <c r="P14" s="380"/>
      <c r="Q14" s="380"/>
      <c r="R14" s="380"/>
      <c r="S14" s="380"/>
      <c r="T14" s="380"/>
      <c r="U14" s="380"/>
      <c r="V14" s="380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28">
        <v>32</v>
      </c>
      <c r="B15" s="10" t="s">
        <v>199</v>
      </c>
      <c r="C15" s="60">
        <f t="shared" si="1"/>
        <v>2054966</v>
      </c>
      <c r="D15" s="380">
        <f>D16+D20+D26+D36+D38</f>
        <v>1011974</v>
      </c>
      <c r="E15" s="380">
        <f t="shared" ref="E15:V15" si="7">E16+E20+E26+E36+E38</f>
        <v>25865</v>
      </c>
      <c r="F15" s="380">
        <f t="shared" si="7"/>
        <v>8581</v>
      </c>
      <c r="G15" s="380">
        <f t="shared" si="7"/>
        <v>0</v>
      </c>
      <c r="H15" s="380">
        <f t="shared" si="7"/>
        <v>609478</v>
      </c>
      <c r="I15" s="380">
        <f t="shared" si="7"/>
        <v>0</v>
      </c>
      <c r="J15" s="380">
        <f t="shared" si="7"/>
        <v>266032</v>
      </c>
      <c r="K15" s="380">
        <f t="shared" si="7"/>
        <v>0</v>
      </c>
      <c r="L15" s="380">
        <f t="shared" si="7"/>
        <v>0</v>
      </c>
      <c r="M15" s="380">
        <f t="shared" si="7"/>
        <v>0</v>
      </c>
      <c r="N15" s="380">
        <f t="shared" si="7"/>
        <v>133036</v>
      </c>
      <c r="O15" s="380">
        <f t="shared" si="7"/>
        <v>0</v>
      </c>
      <c r="P15" s="380">
        <f t="shared" si="7"/>
        <v>0</v>
      </c>
      <c r="Q15" s="380">
        <f t="shared" si="7"/>
        <v>0</v>
      </c>
      <c r="R15" s="380">
        <f t="shared" si="7"/>
        <v>0</v>
      </c>
      <c r="S15" s="380">
        <f t="shared" si="7"/>
        <v>0</v>
      </c>
      <c r="T15" s="380">
        <f t="shared" si="7"/>
        <v>0</v>
      </c>
      <c r="U15" s="380">
        <f t="shared" si="7"/>
        <v>0</v>
      </c>
      <c r="V15" s="380">
        <f t="shared" si="7"/>
        <v>0</v>
      </c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28">
        <v>321</v>
      </c>
      <c r="B16" s="10" t="s">
        <v>5263</v>
      </c>
      <c r="C16" s="60">
        <f t="shared" si="1"/>
        <v>214617</v>
      </c>
      <c r="D16" s="380">
        <f>D17+D18+D19</f>
        <v>90890</v>
      </c>
      <c r="E16" s="380">
        <f t="shared" ref="E16:V16" si="8">E17+E18+E19</f>
        <v>0</v>
      </c>
      <c r="F16" s="380">
        <f t="shared" si="8"/>
        <v>8581</v>
      </c>
      <c r="G16" s="380">
        <f t="shared" si="8"/>
        <v>0</v>
      </c>
      <c r="H16" s="380">
        <f t="shared" si="8"/>
        <v>9556</v>
      </c>
      <c r="I16" s="380">
        <f t="shared" si="8"/>
        <v>0</v>
      </c>
      <c r="J16" s="380">
        <f t="shared" si="8"/>
        <v>98954</v>
      </c>
      <c r="K16" s="380">
        <f t="shared" si="8"/>
        <v>0</v>
      </c>
      <c r="L16" s="380">
        <f t="shared" si="8"/>
        <v>0</v>
      </c>
      <c r="M16" s="380">
        <f t="shared" si="8"/>
        <v>0</v>
      </c>
      <c r="N16" s="380">
        <f t="shared" si="8"/>
        <v>6636</v>
      </c>
      <c r="O16" s="380">
        <f t="shared" si="8"/>
        <v>0</v>
      </c>
      <c r="P16" s="380">
        <f t="shared" si="8"/>
        <v>0</v>
      </c>
      <c r="Q16" s="380">
        <f t="shared" si="8"/>
        <v>0</v>
      </c>
      <c r="R16" s="380">
        <f t="shared" si="8"/>
        <v>0</v>
      </c>
      <c r="S16" s="380">
        <f t="shared" si="8"/>
        <v>0</v>
      </c>
      <c r="T16" s="380">
        <f t="shared" si="8"/>
        <v>0</v>
      </c>
      <c r="U16" s="380">
        <f t="shared" si="8"/>
        <v>0</v>
      </c>
      <c r="V16" s="380">
        <f t="shared" si="8"/>
        <v>0</v>
      </c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35" customFormat="1" ht="12.6" customHeight="1">
      <c r="A17" s="328">
        <v>3211</v>
      </c>
      <c r="B17" s="10" t="s">
        <v>78</v>
      </c>
      <c r="C17" s="60">
        <f t="shared" si="1"/>
        <v>154361</v>
      </c>
      <c r="D17" s="380">
        <f>'Unos rashoda i izdataka'!J16+'Unos rashoda i izdataka'!J122</f>
        <v>30899</v>
      </c>
      <c r="E17" s="380"/>
      <c r="F17" s="380">
        <f>'Unos rashoda i izdataka'!J60</f>
        <v>8581</v>
      </c>
      <c r="G17" s="380"/>
      <c r="H17" s="380">
        <f>'Unos rashoda i izdataka'!J68</f>
        <v>9291</v>
      </c>
      <c r="I17" s="380"/>
      <c r="J17" s="380">
        <f>'Unos rashoda i izdataka'!J108+'Unos rashoda P4'!H32</f>
        <v>98954</v>
      </c>
      <c r="K17" s="380"/>
      <c r="L17" s="380"/>
      <c r="M17" s="380"/>
      <c r="N17" s="380">
        <f>'Unos rashoda P4'!H24</f>
        <v>6636</v>
      </c>
      <c r="O17" s="380"/>
      <c r="P17" s="380"/>
      <c r="Q17" s="380"/>
      <c r="R17" s="380"/>
      <c r="S17" s="380"/>
      <c r="T17" s="380"/>
      <c r="U17" s="380"/>
      <c r="V17" s="380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35" customFormat="1" ht="12.6" customHeight="1">
      <c r="A18" s="328">
        <v>3212</v>
      </c>
      <c r="B18" s="10" t="s">
        <v>5284</v>
      </c>
      <c r="C18" s="60">
        <f t="shared" si="1"/>
        <v>57069</v>
      </c>
      <c r="D18" s="380">
        <f>'Unos rashoda i izdataka'!J7</f>
        <v>57069</v>
      </c>
      <c r="E18" s="380"/>
      <c r="F18" s="380"/>
      <c r="G18" s="380"/>
      <c r="H18" s="380"/>
      <c r="I18" s="380"/>
      <c r="J18" s="380">
        <f>'Unos rashoda i izdataka'!J109+'Unos rashoda P4'!H33</f>
        <v>0</v>
      </c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35" customFormat="1" ht="12.6" customHeight="1">
      <c r="A19" s="328">
        <v>3213</v>
      </c>
      <c r="B19" s="10" t="s">
        <v>97</v>
      </c>
      <c r="C19" s="60">
        <f t="shared" si="1"/>
        <v>3187</v>
      </c>
      <c r="D19" s="380">
        <f>'Unos rashoda i izdataka'!J17</f>
        <v>2922</v>
      </c>
      <c r="E19" s="380"/>
      <c r="F19" s="380"/>
      <c r="G19" s="380"/>
      <c r="H19" s="380">
        <f>'Unos rashoda i izdataka'!J69</f>
        <v>265</v>
      </c>
      <c r="I19" s="380"/>
      <c r="J19" s="380"/>
      <c r="K19" s="380"/>
      <c r="L19" s="380"/>
      <c r="M19" s="380"/>
      <c r="N19" s="380">
        <f>'Unos rashoda P4'!H25</f>
        <v>0</v>
      </c>
      <c r="O19" s="380"/>
      <c r="P19" s="380"/>
      <c r="Q19" s="380"/>
      <c r="R19" s="380"/>
      <c r="S19" s="380"/>
      <c r="T19" s="380"/>
      <c r="U19" s="380"/>
      <c r="V19" s="380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35" customFormat="1" ht="12.6" customHeight="1">
      <c r="A20" s="328">
        <v>322</v>
      </c>
      <c r="B20" s="10" t="s">
        <v>5285</v>
      </c>
      <c r="C20" s="60">
        <f t="shared" si="1"/>
        <v>390653</v>
      </c>
      <c r="D20" s="380">
        <f>D21+D22+D23+D24+D25</f>
        <v>325078</v>
      </c>
      <c r="E20" s="380">
        <f t="shared" ref="E20:V20" si="9">E21+E22+E23+E24+E25</f>
        <v>0</v>
      </c>
      <c r="F20" s="380">
        <f t="shared" si="9"/>
        <v>0</v>
      </c>
      <c r="G20" s="380">
        <f t="shared" si="9"/>
        <v>0</v>
      </c>
      <c r="H20" s="380">
        <f t="shared" si="9"/>
        <v>5575</v>
      </c>
      <c r="I20" s="380">
        <f t="shared" si="9"/>
        <v>0</v>
      </c>
      <c r="J20" s="380">
        <f t="shared" si="9"/>
        <v>10000</v>
      </c>
      <c r="K20" s="380">
        <f t="shared" si="9"/>
        <v>0</v>
      </c>
      <c r="L20" s="380">
        <f t="shared" si="9"/>
        <v>0</v>
      </c>
      <c r="M20" s="380">
        <f t="shared" si="9"/>
        <v>0</v>
      </c>
      <c r="N20" s="380">
        <f t="shared" si="9"/>
        <v>50000</v>
      </c>
      <c r="O20" s="380">
        <f t="shared" si="9"/>
        <v>0</v>
      </c>
      <c r="P20" s="380">
        <f t="shared" si="9"/>
        <v>0</v>
      </c>
      <c r="Q20" s="380">
        <f t="shared" si="9"/>
        <v>0</v>
      </c>
      <c r="R20" s="380">
        <f t="shared" si="9"/>
        <v>0</v>
      </c>
      <c r="S20" s="380">
        <f t="shared" si="9"/>
        <v>0</v>
      </c>
      <c r="T20" s="380">
        <f t="shared" si="9"/>
        <v>0</v>
      </c>
      <c r="U20" s="380">
        <f t="shared" si="9"/>
        <v>0</v>
      </c>
      <c r="V20" s="380">
        <f t="shared" si="9"/>
        <v>0</v>
      </c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28">
        <v>3221</v>
      </c>
      <c r="B21" s="10" t="s">
        <v>79</v>
      </c>
      <c r="C21" s="60">
        <f t="shared" si="1"/>
        <v>94027</v>
      </c>
      <c r="D21" s="380">
        <f>'Unos rashoda i izdataka'!J18</f>
        <v>32036</v>
      </c>
      <c r="E21" s="380"/>
      <c r="F21" s="380"/>
      <c r="G21" s="380"/>
      <c r="H21" s="380">
        <f>'Unos rashoda i izdataka'!J70</f>
        <v>1991</v>
      </c>
      <c r="I21" s="380"/>
      <c r="J21" s="380">
        <f>'Unos rashoda i izdataka'!J110+'Unos rashoda P4'!H34</f>
        <v>10000</v>
      </c>
      <c r="K21" s="380"/>
      <c r="L21" s="380"/>
      <c r="M21" s="380"/>
      <c r="N21" s="380">
        <f>'Unos rashoda P4'!H14</f>
        <v>50000</v>
      </c>
      <c r="O21" s="380"/>
      <c r="P21" s="380"/>
      <c r="Q21" s="380"/>
      <c r="R21" s="380"/>
      <c r="S21" s="380"/>
      <c r="T21" s="380"/>
      <c r="U21" s="380"/>
      <c r="V21" s="380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28">
        <v>3223</v>
      </c>
      <c r="B22" s="10" t="s">
        <v>88</v>
      </c>
      <c r="C22" s="60">
        <f t="shared" si="1"/>
        <v>279673</v>
      </c>
      <c r="D22" s="380">
        <f>'Unos rashoda i izdataka'!J19</f>
        <v>276355</v>
      </c>
      <c r="E22" s="380"/>
      <c r="F22" s="380"/>
      <c r="G22" s="380"/>
      <c r="H22" s="380">
        <f>'Unos rashoda i izdataka'!J71</f>
        <v>3318</v>
      </c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28">
        <v>3224</v>
      </c>
      <c r="B23" s="10" t="s">
        <v>93</v>
      </c>
      <c r="C23" s="60">
        <f t="shared" si="1"/>
        <v>1455</v>
      </c>
      <c r="D23" s="380">
        <f>'Unos rashoda i izdataka'!J20</f>
        <v>1455</v>
      </c>
      <c r="E23" s="380"/>
      <c r="F23" s="380"/>
      <c r="G23" s="380"/>
      <c r="H23" s="380">
        <f>'Unos rashoda i izdataka'!J72</f>
        <v>0</v>
      </c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28">
        <v>3225</v>
      </c>
      <c r="B24" s="10" t="s">
        <v>101</v>
      </c>
      <c r="C24" s="60">
        <f t="shared" si="1"/>
        <v>7359</v>
      </c>
      <c r="D24" s="380">
        <f>'Unos rashoda i izdataka'!J21</f>
        <v>7226</v>
      </c>
      <c r="E24" s="380"/>
      <c r="F24" s="380"/>
      <c r="G24" s="380"/>
      <c r="H24" s="380">
        <f>'Unos rashoda i izdataka'!J73</f>
        <v>133</v>
      </c>
      <c r="I24" s="380"/>
      <c r="J24" s="380">
        <f>'Unos rashoda P4'!H35</f>
        <v>0</v>
      </c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28">
        <v>3227</v>
      </c>
      <c r="B25" s="10" t="s">
        <v>118</v>
      </c>
      <c r="C25" s="60">
        <f t="shared" si="1"/>
        <v>8139</v>
      </c>
      <c r="D25" s="380">
        <f>'Unos rashoda i izdataka'!J22</f>
        <v>8006</v>
      </c>
      <c r="E25" s="380"/>
      <c r="F25" s="380"/>
      <c r="G25" s="380"/>
      <c r="H25" s="380">
        <f>'Unos rashoda i izdataka'!J74</f>
        <v>133</v>
      </c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28">
        <v>323</v>
      </c>
      <c r="B26" s="10" t="s">
        <v>5286</v>
      </c>
      <c r="C26" s="60">
        <f t="shared" si="1"/>
        <v>845155</v>
      </c>
      <c r="D26" s="380">
        <f>D27+D28+D29+D30+D31+D32+D33+D34++D35</f>
        <v>507287</v>
      </c>
      <c r="E26" s="380">
        <f t="shared" ref="E26" si="10">E27+E28+E29+E30+E31+E32+E33+E34++E35</f>
        <v>25865</v>
      </c>
      <c r="F26" s="380">
        <f t="shared" ref="F26" si="11">F27+F28+F29+F30+F31+F32+F33+F34++F35</f>
        <v>0</v>
      </c>
      <c r="G26" s="380">
        <f t="shared" ref="G26" si="12">G27+G28+G29+G30+G31+G32+G33+G34++G35</f>
        <v>0</v>
      </c>
      <c r="H26" s="380">
        <f t="shared" ref="H26" si="13">H27+H28+H29+H30+H31+H32+H33+H34++H35</f>
        <v>157678</v>
      </c>
      <c r="I26" s="380">
        <f t="shared" ref="I26" si="14">I27+I28+I29+I30+I31+I32+I33+I34++I35</f>
        <v>0</v>
      </c>
      <c r="J26" s="380">
        <f t="shared" ref="J26" si="15">J27+J28+J29+J30+J31+J32+J33+J34++J35</f>
        <v>77925</v>
      </c>
      <c r="K26" s="380">
        <f t="shared" ref="K26" si="16">K27+K28+K29+K30+K31+K32+K33+K34++K35</f>
        <v>0</v>
      </c>
      <c r="L26" s="380">
        <f t="shared" ref="L26" si="17">L27+L28+L29+L30+L31+L32+L33+L34++L35</f>
        <v>0</v>
      </c>
      <c r="M26" s="380">
        <f t="shared" ref="M26" si="18">M27+M28+M29+M30+M31+M32+M33+M34++M35</f>
        <v>0</v>
      </c>
      <c r="N26" s="380">
        <f t="shared" ref="N26" si="19">N27+N28+N29+N30+N31+N32+N33+N34++N35</f>
        <v>76400</v>
      </c>
      <c r="O26" s="380">
        <f t="shared" ref="O26" si="20">O27+O28+O29+O30+O31+O32+O33+O34++O35</f>
        <v>0</v>
      </c>
      <c r="P26" s="380">
        <f t="shared" ref="P26" si="21">P27+P28+P29+P30+P31+P32+P33+P34++P35</f>
        <v>0</v>
      </c>
      <c r="Q26" s="380">
        <f t="shared" ref="Q26" si="22">Q27+Q28+Q29+Q30+Q31+Q32+Q33+Q34++Q35</f>
        <v>0</v>
      </c>
      <c r="R26" s="380">
        <f t="shared" ref="R26" si="23">R27+R28+R29+R30+R31+R32+R33+R34++R35</f>
        <v>0</v>
      </c>
      <c r="S26" s="380">
        <f t="shared" ref="S26" si="24">S27+S28+S29+S30+S31+S32+S33+S34++S35</f>
        <v>0</v>
      </c>
      <c r="T26" s="380">
        <f t="shared" ref="T26" si="25">T27+T28+T29+T30+T31+T32+T33+T34++T35</f>
        <v>0</v>
      </c>
      <c r="U26" s="380">
        <f t="shared" ref="U26" si="26">U27+U28+U29+U30+U31+U32+U33+U34++U35</f>
        <v>0</v>
      </c>
      <c r="V26" s="380">
        <f t="shared" ref="V26" si="27">V27+V28+V29+V30+V31+V32+V33+V34++V35</f>
        <v>0</v>
      </c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28">
        <v>3231</v>
      </c>
      <c r="B27" s="10" t="s">
        <v>102</v>
      </c>
      <c r="C27" s="60">
        <f t="shared" si="1"/>
        <v>25105</v>
      </c>
      <c r="D27" s="380">
        <f>'Unos rashoda i izdataka'!J23+'Unos rashoda i izdataka'!J123</f>
        <v>23115</v>
      </c>
      <c r="E27" s="380"/>
      <c r="F27" s="380"/>
      <c r="G27" s="380"/>
      <c r="H27" s="380">
        <f>'Unos rashoda i izdataka'!J75</f>
        <v>1990</v>
      </c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28">
        <v>3232</v>
      </c>
      <c r="B28" s="10" t="s">
        <v>89</v>
      </c>
      <c r="C28" s="60">
        <f t="shared" si="1"/>
        <v>78623</v>
      </c>
      <c r="D28" s="380">
        <f>'Unos rashoda i izdataka'!J24</f>
        <v>52078</v>
      </c>
      <c r="E28" s="380"/>
      <c r="F28" s="380"/>
      <c r="G28" s="380"/>
      <c r="H28" s="380">
        <f>'Unos rashoda i izdataka'!J76</f>
        <v>0</v>
      </c>
      <c r="I28" s="380"/>
      <c r="J28" s="380"/>
      <c r="K28" s="380"/>
      <c r="L28" s="380"/>
      <c r="M28" s="380"/>
      <c r="N28" s="380">
        <f>'Unos rashoda P4'!H15</f>
        <v>26545</v>
      </c>
      <c r="O28" s="380"/>
      <c r="P28" s="380"/>
      <c r="Q28" s="380"/>
      <c r="R28" s="380"/>
      <c r="S28" s="380"/>
      <c r="T28" s="380"/>
      <c r="U28" s="380"/>
      <c r="V28" s="380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28">
        <v>3233</v>
      </c>
      <c r="B29" s="10" t="s">
        <v>77</v>
      </c>
      <c r="C29" s="60">
        <f t="shared" si="1"/>
        <v>44671</v>
      </c>
      <c r="D29" s="380">
        <f>'Unos rashoda i izdataka'!J25+'Unos rashoda i izdataka'!J124</f>
        <v>22071</v>
      </c>
      <c r="E29" s="380"/>
      <c r="F29" s="380"/>
      <c r="G29" s="380"/>
      <c r="H29" s="380">
        <f>'Unos rashoda i izdataka'!J77</f>
        <v>3982</v>
      </c>
      <c r="I29" s="380"/>
      <c r="J29" s="380">
        <f>'Unos rashoda P4'!H36</f>
        <v>8000</v>
      </c>
      <c r="K29" s="380"/>
      <c r="L29" s="380"/>
      <c r="M29" s="380"/>
      <c r="N29" s="380">
        <f>'Unos rashoda P4'!H16+'Unos rashoda P4'!H26</f>
        <v>10618</v>
      </c>
      <c r="O29" s="380"/>
      <c r="P29" s="380"/>
      <c r="Q29" s="380"/>
      <c r="R29" s="380"/>
      <c r="S29" s="380"/>
      <c r="T29" s="380"/>
      <c r="U29" s="380"/>
      <c r="V29" s="380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35" customFormat="1" ht="12.6" customHeight="1">
      <c r="A30" s="328">
        <v>3234</v>
      </c>
      <c r="B30" s="10" t="s">
        <v>90</v>
      </c>
      <c r="C30" s="60">
        <f t="shared" si="1"/>
        <v>8830</v>
      </c>
      <c r="D30" s="380">
        <f>'Unos rashoda i izdataka'!J26</f>
        <v>8698</v>
      </c>
      <c r="E30" s="380"/>
      <c r="F30" s="380"/>
      <c r="G30" s="380"/>
      <c r="H30" s="380">
        <f>'Unos rashoda i izdataka'!J78</f>
        <v>132</v>
      </c>
      <c r="I30" s="380"/>
      <c r="J30" s="380"/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35" customFormat="1" ht="12.6" customHeight="1">
      <c r="A31" s="328">
        <v>3235</v>
      </c>
      <c r="B31" s="10" t="s">
        <v>110</v>
      </c>
      <c r="C31" s="60">
        <f t="shared" si="1"/>
        <v>22115</v>
      </c>
      <c r="D31" s="380">
        <f>'Unos rashoda i izdataka'!J27</f>
        <v>20788</v>
      </c>
      <c r="E31" s="380"/>
      <c r="F31" s="380"/>
      <c r="G31" s="380"/>
      <c r="H31" s="380">
        <f>'Unos rashoda i izdataka'!J79</f>
        <v>1327</v>
      </c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35" customFormat="1" ht="12.6" customHeight="1">
      <c r="A32" s="328">
        <v>3236</v>
      </c>
      <c r="B32" s="10" t="s">
        <v>53</v>
      </c>
      <c r="C32" s="60">
        <f t="shared" si="1"/>
        <v>23448</v>
      </c>
      <c r="D32" s="380">
        <f>'Unos rashoda i izdataka'!J8+'Unos rashoda i izdataka'!J28</f>
        <v>23448</v>
      </c>
      <c r="E32" s="380"/>
      <c r="F32" s="380"/>
      <c r="G32" s="380"/>
      <c r="H32" s="380">
        <f>'Unos rashoda i izdataka'!J80</f>
        <v>0</v>
      </c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</row>
    <row r="33" spans="1:262" s="35" customFormat="1" ht="12.6" customHeight="1">
      <c r="A33" s="328">
        <v>3237</v>
      </c>
      <c r="B33" s="10" t="s">
        <v>66</v>
      </c>
      <c r="C33" s="60">
        <f t="shared" si="1"/>
        <v>509044</v>
      </c>
      <c r="D33" s="380">
        <f>'Unos rashoda i izdataka'!J29+'Unos rashoda i izdataka'!J121+'Unos rashoda i izdataka'!J127</f>
        <v>229217</v>
      </c>
      <c r="E33" s="380">
        <f>'Unos rashoda P4'!H6</f>
        <v>25865</v>
      </c>
      <c r="F33" s="380"/>
      <c r="G33" s="380"/>
      <c r="H33" s="380">
        <f>'Unos rashoda i izdataka'!J81</f>
        <v>146000</v>
      </c>
      <c r="I33" s="380"/>
      <c r="J33" s="380">
        <f>'Unos rashoda i izdataka'!J111+'Unos rashoda P4'!H37</f>
        <v>68725</v>
      </c>
      <c r="K33" s="380"/>
      <c r="L33" s="380"/>
      <c r="M33" s="380"/>
      <c r="N33" s="380">
        <f>'Unos rashoda P4'!H5+'Unos rashoda P4'!H22</f>
        <v>39237</v>
      </c>
      <c r="O33" s="380"/>
      <c r="P33" s="380"/>
      <c r="Q33" s="380"/>
      <c r="R33" s="380"/>
      <c r="S33" s="380"/>
      <c r="T33" s="380"/>
      <c r="U33" s="380"/>
      <c r="V33" s="380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35" customFormat="1" ht="12.6" customHeight="1">
      <c r="A34" s="328">
        <v>3238</v>
      </c>
      <c r="B34" s="10" t="s">
        <v>103</v>
      </c>
      <c r="C34" s="60">
        <f t="shared" si="1"/>
        <v>16179</v>
      </c>
      <c r="D34" s="380">
        <f>'Unos rashoda i izdataka'!J30</f>
        <v>15914</v>
      </c>
      <c r="E34" s="380"/>
      <c r="F34" s="380"/>
      <c r="G34" s="380"/>
      <c r="H34" s="380">
        <f>'Unos rashoda i izdataka'!J82</f>
        <v>265</v>
      </c>
      <c r="I34" s="380"/>
      <c r="J34" s="380"/>
      <c r="K34" s="380"/>
      <c r="L34" s="380"/>
      <c r="M34" s="380"/>
      <c r="N34" s="380">
        <f>'Unos rashoda P4'!H17</f>
        <v>0</v>
      </c>
      <c r="O34" s="380"/>
      <c r="P34" s="380"/>
      <c r="Q34" s="380"/>
      <c r="R34" s="380"/>
      <c r="S34" s="380"/>
      <c r="T34" s="380"/>
      <c r="U34" s="380"/>
      <c r="V34" s="380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35" customFormat="1" ht="12.6" customHeight="1">
      <c r="A35" s="328">
        <v>3239</v>
      </c>
      <c r="B35" s="10" t="s">
        <v>83</v>
      </c>
      <c r="C35" s="60">
        <f t="shared" si="1"/>
        <v>117140</v>
      </c>
      <c r="D35" s="380">
        <f>'Unos rashoda i izdataka'!J31</f>
        <v>111958</v>
      </c>
      <c r="E35" s="380"/>
      <c r="F35" s="380"/>
      <c r="G35" s="380"/>
      <c r="H35" s="380">
        <f>'Unos rashoda i izdataka'!J83</f>
        <v>3982</v>
      </c>
      <c r="I35" s="380"/>
      <c r="J35" s="380">
        <f>'Unos rashoda i izdataka'!J112+'Unos rashoda P4'!H38</f>
        <v>1200</v>
      </c>
      <c r="K35" s="380"/>
      <c r="L35" s="380"/>
      <c r="M35" s="380"/>
      <c r="N35" s="380">
        <f>'Unos rashoda P4'!H18</f>
        <v>0</v>
      </c>
      <c r="O35" s="380"/>
      <c r="P35" s="380"/>
      <c r="Q35" s="380"/>
      <c r="R35" s="380"/>
      <c r="S35" s="380"/>
      <c r="T35" s="380"/>
      <c r="U35" s="380"/>
      <c r="V35" s="380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36"/>
      <c r="IX35" s="36"/>
      <c r="IY35" s="36"/>
      <c r="IZ35" s="36"/>
      <c r="JA35" s="36"/>
      <c r="JB35" s="36"/>
    </row>
    <row r="36" spans="1:262" s="35" customFormat="1" ht="12.6" customHeight="1">
      <c r="A36" s="328">
        <v>324</v>
      </c>
      <c r="B36" s="10" t="s">
        <v>80</v>
      </c>
      <c r="C36" s="60">
        <f t="shared" si="1"/>
        <v>57507</v>
      </c>
      <c r="D36" s="380">
        <f>D37</f>
        <v>2507</v>
      </c>
      <c r="E36" s="380">
        <f t="shared" ref="E36:V36" si="28">E37</f>
        <v>0</v>
      </c>
      <c r="F36" s="380">
        <f t="shared" si="28"/>
        <v>0</v>
      </c>
      <c r="G36" s="380">
        <f t="shared" si="28"/>
        <v>0</v>
      </c>
      <c r="H36" s="380">
        <f t="shared" si="28"/>
        <v>50000</v>
      </c>
      <c r="I36" s="380">
        <f t="shared" si="28"/>
        <v>0</v>
      </c>
      <c r="J36" s="380">
        <f t="shared" si="28"/>
        <v>5000</v>
      </c>
      <c r="K36" s="380">
        <f t="shared" si="28"/>
        <v>0</v>
      </c>
      <c r="L36" s="380">
        <f t="shared" si="28"/>
        <v>0</v>
      </c>
      <c r="M36" s="380">
        <f t="shared" si="28"/>
        <v>0</v>
      </c>
      <c r="N36" s="380">
        <f t="shared" si="28"/>
        <v>0</v>
      </c>
      <c r="O36" s="380">
        <f t="shared" si="28"/>
        <v>0</v>
      </c>
      <c r="P36" s="380">
        <f t="shared" si="28"/>
        <v>0</v>
      </c>
      <c r="Q36" s="380">
        <f t="shared" si="28"/>
        <v>0</v>
      </c>
      <c r="R36" s="380">
        <f t="shared" si="28"/>
        <v>0</v>
      </c>
      <c r="S36" s="380">
        <f t="shared" si="28"/>
        <v>0</v>
      </c>
      <c r="T36" s="380">
        <f t="shared" si="28"/>
        <v>0</v>
      </c>
      <c r="U36" s="380">
        <f t="shared" si="28"/>
        <v>0</v>
      </c>
      <c r="V36" s="380">
        <f t="shared" si="28"/>
        <v>0</v>
      </c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</row>
    <row r="37" spans="1:262" s="35" customFormat="1" ht="12.6" customHeight="1">
      <c r="A37" s="328">
        <v>3241</v>
      </c>
      <c r="B37" s="10" t="s">
        <v>80</v>
      </c>
      <c r="C37" s="60">
        <f t="shared" si="1"/>
        <v>57507</v>
      </c>
      <c r="D37" s="380">
        <f>'Unos rashoda i izdataka'!J32+'Unos rashoda i izdataka'!J125</f>
        <v>2507</v>
      </c>
      <c r="E37" s="380"/>
      <c r="F37" s="380"/>
      <c r="G37" s="380"/>
      <c r="H37" s="380">
        <f>'Unos rashoda i izdataka'!J84</f>
        <v>50000</v>
      </c>
      <c r="I37" s="380"/>
      <c r="J37" s="380">
        <f>'Unos rashoda i izdataka'!J113+'Unos rashoda P4'!H39</f>
        <v>5000</v>
      </c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35" customFormat="1" ht="12.6" customHeight="1">
      <c r="A38" s="328">
        <v>329</v>
      </c>
      <c r="B38" s="10" t="s">
        <v>57</v>
      </c>
      <c r="C38" s="60">
        <f t="shared" si="1"/>
        <v>547034</v>
      </c>
      <c r="D38" s="380">
        <f>D39+D40+D41+D42+D43+D44</f>
        <v>86212</v>
      </c>
      <c r="E38" s="380">
        <f t="shared" ref="E38:V38" si="29">E39+E40+E41+E42+E43+E44</f>
        <v>0</v>
      </c>
      <c r="F38" s="380">
        <f t="shared" si="29"/>
        <v>0</v>
      </c>
      <c r="G38" s="380">
        <f t="shared" si="29"/>
        <v>0</v>
      </c>
      <c r="H38" s="380">
        <f t="shared" si="29"/>
        <v>386669</v>
      </c>
      <c r="I38" s="380">
        <f t="shared" si="29"/>
        <v>0</v>
      </c>
      <c r="J38" s="380">
        <f t="shared" si="29"/>
        <v>74153</v>
      </c>
      <c r="K38" s="380">
        <f t="shared" si="29"/>
        <v>0</v>
      </c>
      <c r="L38" s="380">
        <f t="shared" si="29"/>
        <v>0</v>
      </c>
      <c r="M38" s="380">
        <f t="shared" si="29"/>
        <v>0</v>
      </c>
      <c r="N38" s="380">
        <f t="shared" si="29"/>
        <v>0</v>
      </c>
      <c r="O38" s="380">
        <f t="shared" si="29"/>
        <v>0</v>
      </c>
      <c r="P38" s="380">
        <f t="shared" si="29"/>
        <v>0</v>
      </c>
      <c r="Q38" s="380">
        <f t="shared" si="29"/>
        <v>0</v>
      </c>
      <c r="R38" s="380">
        <f t="shared" si="29"/>
        <v>0</v>
      </c>
      <c r="S38" s="380">
        <f t="shared" si="29"/>
        <v>0</v>
      </c>
      <c r="T38" s="380">
        <f t="shared" si="29"/>
        <v>0</v>
      </c>
      <c r="U38" s="380">
        <f t="shared" si="29"/>
        <v>0</v>
      </c>
      <c r="V38" s="380">
        <f t="shared" si="29"/>
        <v>0</v>
      </c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36"/>
      <c r="IX38" s="36"/>
      <c r="IY38" s="36"/>
      <c r="IZ38" s="36"/>
      <c r="JA38" s="36"/>
      <c r="JB38" s="36"/>
    </row>
    <row r="39" spans="1:262" s="35" customFormat="1" ht="12.6" customHeight="1">
      <c r="A39" s="328">
        <v>3292</v>
      </c>
      <c r="B39" s="10" t="s">
        <v>74</v>
      </c>
      <c r="C39" s="60">
        <f t="shared" si="1"/>
        <v>2191</v>
      </c>
      <c r="D39" s="380">
        <f>'Unos rashoda i izdataka'!J33</f>
        <v>2191</v>
      </c>
      <c r="E39" s="380"/>
      <c r="F39" s="380"/>
      <c r="G39" s="380"/>
      <c r="H39" s="380">
        <f>'Unos rashoda i izdataka'!J85</f>
        <v>0</v>
      </c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36"/>
      <c r="IX39" s="36"/>
      <c r="IY39" s="36"/>
      <c r="IZ39" s="36"/>
      <c r="JA39" s="36"/>
      <c r="JB39" s="36"/>
    </row>
    <row r="40" spans="1:262" s="35" customFormat="1" ht="12.6" customHeight="1">
      <c r="A40" s="328">
        <v>3293</v>
      </c>
      <c r="B40" s="10" t="s">
        <v>84</v>
      </c>
      <c r="C40" s="60">
        <f t="shared" si="1"/>
        <v>118404</v>
      </c>
      <c r="D40" s="380">
        <f>'Unos rashoda i izdataka'!J34+'Unos rashoda i izdataka'!J126</f>
        <v>56887</v>
      </c>
      <c r="E40" s="380"/>
      <c r="F40" s="380">
        <f>'Unos rashoda i izdataka'!J61</f>
        <v>0</v>
      </c>
      <c r="G40" s="380"/>
      <c r="H40" s="380">
        <f>'Unos rashoda i izdataka'!J86</f>
        <v>4000</v>
      </c>
      <c r="I40" s="380"/>
      <c r="J40" s="380">
        <f>'Unos rashoda P4'!H40</f>
        <v>57517</v>
      </c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36"/>
      <c r="IX40" s="36"/>
      <c r="IY40" s="36"/>
      <c r="IZ40" s="36"/>
      <c r="JA40" s="36"/>
      <c r="JB40" s="36"/>
    </row>
    <row r="41" spans="1:262" s="35" customFormat="1" ht="12.6" customHeight="1">
      <c r="A41" s="328">
        <v>3294</v>
      </c>
      <c r="B41" s="10" t="s">
        <v>85</v>
      </c>
      <c r="C41" s="60">
        <f t="shared" si="1"/>
        <v>8053</v>
      </c>
      <c r="D41" s="380">
        <f>'Unos rashoda i izdataka'!J35</f>
        <v>8053</v>
      </c>
      <c r="E41" s="380"/>
      <c r="F41" s="380"/>
      <c r="G41" s="380"/>
      <c r="H41" s="380">
        <f>'Unos rashoda i izdataka'!J87</f>
        <v>0</v>
      </c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36"/>
      <c r="IX41" s="36"/>
      <c r="IY41" s="36"/>
      <c r="IZ41" s="36"/>
      <c r="JA41" s="36"/>
      <c r="JB41" s="36"/>
    </row>
    <row r="42" spans="1:262" s="35" customFormat="1" ht="12.6" customHeight="1">
      <c r="A42" s="328">
        <v>3295</v>
      </c>
      <c r="B42" s="10" t="s">
        <v>5287</v>
      </c>
      <c r="C42" s="60">
        <f t="shared" si="1"/>
        <v>8539</v>
      </c>
      <c r="D42" s="380">
        <f>'Unos rashoda i izdataka'!J9+'Unos rashoda i izdataka'!J36</f>
        <v>8539</v>
      </c>
      <c r="E42" s="380">
        <f>'Unos rashoda P4'!H7</f>
        <v>0</v>
      </c>
      <c r="F42" s="380"/>
      <c r="G42" s="380"/>
      <c r="H42" s="380">
        <f>'Unos rashoda i izdataka'!J88</f>
        <v>0</v>
      </c>
      <c r="I42" s="380"/>
      <c r="J42" s="380"/>
      <c r="K42" s="380"/>
      <c r="L42" s="380"/>
      <c r="M42" s="380"/>
      <c r="N42" s="380">
        <f>'Unos rashoda P4'!H19</f>
        <v>0</v>
      </c>
      <c r="O42" s="380"/>
      <c r="P42" s="380"/>
      <c r="Q42" s="380"/>
      <c r="R42" s="380"/>
      <c r="S42" s="380"/>
      <c r="T42" s="380"/>
      <c r="U42" s="380"/>
      <c r="V42" s="380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28">
        <v>3296</v>
      </c>
      <c r="B43" s="10" t="s">
        <v>148</v>
      </c>
      <c r="C43" s="60">
        <f t="shared" si="1"/>
        <v>0</v>
      </c>
      <c r="D43" s="380">
        <f>'Unos rashoda i izdataka'!J37</f>
        <v>0</v>
      </c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35" customFormat="1" ht="12.6" customHeight="1">
      <c r="A44" s="328">
        <v>3299</v>
      </c>
      <c r="B44" s="10" t="s">
        <v>57</v>
      </c>
      <c r="C44" s="60">
        <f t="shared" si="1"/>
        <v>409847</v>
      </c>
      <c r="D44" s="380">
        <f>'Unos rashoda i izdataka'!J38</f>
        <v>10542</v>
      </c>
      <c r="E44" s="380"/>
      <c r="F44" s="380"/>
      <c r="G44" s="380"/>
      <c r="H44" s="380">
        <f>'Unos rashoda i izdataka'!J89</f>
        <v>382669</v>
      </c>
      <c r="I44" s="380"/>
      <c r="J44" s="380">
        <f>'Unos rashoda P4'!H41</f>
        <v>16636</v>
      </c>
      <c r="K44" s="380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11" customFormat="1" ht="12.6" customHeight="1">
      <c r="A45" s="328">
        <v>34</v>
      </c>
      <c r="B45" s="10" t="s">
        <v>200</v>
      </c>
      <c r="C45" s="60">
        <f t="shared" si="1"/>
        <v>25953</v>
      </c>
      <c r="D45" s="380">
        <f>D46</f>
        <v>10181</v>
      </c>
      <c r="E45" s="380">
        <f t="shared" ref="E45:V45" si="30">E46</f>
        <v>0</v>
      </c>
      <c r="F45" s="380">
        <f t="shared" si="30"/>
        <v>0</v>
      </c>
      <c r="G45" s="380">
        <f t="shared" si="30"/>
        <v>0</v>
      </c>
      <c r="H45" s="380">
        <f t="shared" si="30"/>
        <v>15772</v>
      </c>
      <c r="I45" s="380">
        <f t="shared" si="30"/>
        <v>0</v>
      </c>
      <c r="J45" s="380">
        <f t="shared" si="30"/>
        <v>0</v>
      </c>
      <c r="K45" s="380">
        <f t="shared" si="30"/>
        <v>0</v>
      </c>
      <c r="L45" s="380">
        <f t="shared" si="30"/>
        <v>0</v>
      </c>
      <c r="M45" s="380">
        <f t="shared" si="30"/>
        <v>0</v>
      </c>
      <c r="N45" s="380">
        <f t="shared" si="30"/>
        <v>0</v>
      </c>
      <c r="O45" s="380">
        <f t="shared" si="30"/>
        <v>0</v>
      </c>
      <c r="P45" s="380">
        <f t="shared" si="30"/>
        <v>0</v>
      </c>
      <c r="Q45" s="380">
        <f t="shared" si="30"/>
        <v>0</v>
      </c>
      <c r="R45" s="380">
        <f t="shared" si="30"/>
        <v>0</v>
      </c>
      <c r="S45" s="380">
        <f t="shared" si="30"/>
        <v>0</v>
      </c>
      <c r="T45" s="380">
        <f t="shared" si="30"/>
        <v>0</v>
      </c>
      <c r="U45" s="380">
        <f t="shared" si="30"/>
        <v>0</v>
      </c>
      <c r="V45" s="380">
        <f t="shared" si="30"/>
        <v>0</v>
      </c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11" customFormat="1" ht="12.6" customHeight="1">
      <c r="A46" s="328">
        <v>343</v>
      </c>
      <c r="B46" s="10" t="s">
        <v>5288</v>
      </c>
      <c r="C46" s="60">
        <f t="shared" si="1"/>
        <v>25953</v>
      </c>
      <c r="D46" s="380">
        <f>D47+D48+D49+D50</f>
        <v>10181</v>
      </c>
      <c r="E46" s="380">
        <f t="shared" ref="E46:V46" si="31">E47+E48+E49+E50</f>
        <v>0</v>
      </c>
      <c r="F46" s="380">
        <f t="shared" si="31"/>
        <v>0</v>
      </c>
      <c r="G46" s="380">
        <f t="shared" si="31"/>
        <v>0</v>
      </c>
      <c r="H46" s="380">
        <f t="shared" si="31"/>
        <v>15772</v>
      </c>
      <c r="I46" s="380">
        <f t="shared" si="31"/>
        <v>0</v>
      </c>
      <c r="J46" s="380">
        <f t="shared" si="31"/>
        <v>0</v>
      </c>
      <c r="K46" s="380">
        <f t="shared" si="31"/>
        <v>0</v>
      </c>
      <c r="L46" s="380">
        <f t="shared" si="31"/>
        <v>0</v>
      </c>
      <c r="M46" s="380">
        <f t="shared" si="31"/>
        <v>0</v>
      </c>
      <c r="N46" s="380">
        <f t="shared" si="31"/>
        <v>0</v>
      </c>
      <c r="O46" s="380">
        <f t="shared" si="31"/>
        <v>0</v>
      </c>
      <c r="P46" s="380">
        <f t="shared" si="31"/>
        <v>0</v>
      </c>
      <c r="Q46" s="380">
        <f t="shared" si="31"/>
        <v>0</v>
      </c>
      <c r="R46" s="380">
        <f t="shared" si="31"/>
        <v>0</v>
      </c>
      <c r="S46" s="380">
        <f t="shared" si="31"/>
        <v>0</v>
      </c>
      <c r="T46" s="380">
        <f t="shared" si="31"/>
        <v>0</v>
      </c>
      <c r="U46" s="380">
        <f t="shared" si="31"/>
        <v>0</v>
      </c>
      <c r="V46" s="380">
        <f t="shared" si="31"/>
        <v>0</v>
      </c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1" customFormat="1" ht="12.6" customHeight="1">
      <c r="A47" s="328">
        <v>3431</v>
      </c>
      <c r="B47" s="10" t="s">
        <v>82</v>
      </c>
      <c r="C47" s="60">
        <f t="shared" si="1"/>
        <v>24502</v>
      </c>
      <c r="D47" s="380">
        <f>'Unos rashoda i izdataka'!J39</f>
        <v>8737</v>
      </c>
      <c r="E47" s="380"/>
      <c r="F47" s="380"/>
      <c r="G47" s="380"/>
      <c r="H47" s="380">
        <f>'Unos rashoda i izdataka'!J90</f>
        <v>15765</v>
      </c>
      <c r="I47" s="380"/>
      <c r="J47" s="380"/>
      <c r="K47" s="380"/>
      <c r="L47" s="380"/>
      <c r="M47" s="380"/>
      <c r="N47" s="380">
        <f>'Unos rashoda P4'!H21</f>
        <v>0</v>
      </c>
      <c r="O47" s="380"/>
      <c r="P47" s="380"/>
      <c r="Q47" s="380"/>
      <c r="R47" s="380"/>
      <c r="S47" s="380"/>
      <c r="T47" s="380"/>
      <c r="U47" s="380"/>
      <c r="V47" s="380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1" customFormat="1" ht="12.6" customHeight="1">
      <c r="A48" s="328">
        <v>3432</v>
      </c>
      <c r="B48" s="10" t="s">
        <v>5289</v>
      </c>
      <c r="C48" s="60">
        <f t="shared" si="1"/>
        <v>116</v>
      </c>
      <c r="D48" s="380">
        <f>'Unos rashoda i izdataka'!J40</f>
        <v>109</v>
      </c>
      <c r="E48" s="380"/>
      <c r="F48" s="380"/>
      <c r="G48" s="380"/>
      <c r="H48" s="380">
        <f>'Unos rashoda i izdataka'!J91</f>
        <v>7</v>
      </c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1" customFormat="1" ht="12.6" customHeight="1">
      <c r="A49" s="328">
        <v>3433</v>
      </c>
      <c r="B49" s="10" t="s">
        <v>136</v>
      </c>
      <c r="C49" s="60">
        <f t="shared" si="1"/>
        <v>1314</v>
      </c>
      <c r="D49" s="380">
        <f>'Unos rashoda i izdataka'!J41</f>
        <v>1314</v>
      </c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36"/>
      <c r="IX49" s="36"/>
      <c r="IY49" s="36"/>
      <c r="IZ49" s="36"/>
      <c r="JA49" s="36"/>
      <c r="JB49" s="36"/>
    </row>
    <row r="50" spans="1:262" s="11" customFormat="1" ht="12.6" customHeight="1">
      <c r="A50" s="328">
        <v>3434</v>
      </c>
      <c r="B50" s="10" t="s">
        <v>67</v>
      </c>
      <c r="C50" s="60">
        <f t="shared" si="1"/>
        <v>21</v>
      </c>
      <c r="D50" s="380">
        <f>'Unos rashoda i izdataka'!J42</f>
        <v>21</v>
      </c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35" customFormat="1" ht="12.6" customHeight="1">
      <c r="A51" s="328">
        <v>35</v>
      </c>
      <c r="B51" s="10" t="s">
        <v>252</v>
      </c>
      <c r="C51" s="60">
        <f t="shared" si="1"/>
        <v>92906</v>
      </c>
      <c r="D51" s="380">
        <f>D52</f>
        <v>0</v>
      </c>
      <c r="E51" s="380">
        <f t="shared" ref="E51:V52" si="32">E52</f>
        <v>0</v>
      </c>
      <c r="F51" s="380">
        <f t="shared" si="32"/>
        <v>0</v>
      </c>
      <c r="G51" s="380">
        <f t="shared" si="32"/>
        <v>0</v>
      </c>
      <c r="H51" s="380">
        <f t="shared" si="32"/>
        <v>0</v>
      </c>
      <c r="I51" s="380">
        <f t="shared" si="32"/>
        <v>0</v>
      </c>
      <c r="J51" s="380">
        <f t="shared" si="32"/>
        <v>0</v>
      </c>
      <c r="K51" s="380">
        <f t="shared" si="32"/>
        <v>0</v>
      </c>
      <c r="L51" s="380">
        <f t="shared" si="32"/>
        <v>0</v>
      </c>
      <c r="M51" s="380">
        <f t="shared" si="32"/>
        <v>0</v>
      </c>
      <c r="N51" s="380">
        <f>N52</f>
        <v>92906</v>
      </c>
      <c r="O51" s="380">
        <f t="shared" si="32"/>
        <v>0</v>
      </c>
      <c r="P51" s="380">
        <f t="shared" si="32"/>
        <v>0</v>
      </c>
      <c r="Q51" s="380">
        <f t="shared" si="32"/>
        <v>0</v>
      </c>
      <c r="R51" s="380">
        <f t="shared" si="32"/>
        <v>0</v>
      </c>
      <c r="S51" s="380">
        <f t="shared" si="32"/>
        <v>0</v>
      </c>
      <c r="T51" s="380">
        <f t="shared" si="32"/>
        <v>0</v>
      </c>
      <c r="U51" s="380">
        <f t="shared" si="32"/>
        <v>0</v>
      </c>
      <c r="V51" s="380">
        <f t="shared" si="32"/>
        <v>0</v>
      </c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35" customFormat="1" ht="12.6" customHeight="1">
      <c r="A52" s="328">
        <v>353</v>
      </c>
      <c r="B52" s="10" t="s">
        <v>5294</v>
      </c>
      <c r="C52" s="60">
        <f t="shared" si="1"/>
        <v>92906</v>
      </c>
      <c r="D52" s="380">
        <f>D53</f>
        <v>0</v>
      </c>
      <c r="E52" s="380">
        <f t="shared" si="32"/>
        <v>0</v>
      </c>
      <c r="F52" s="380">
        <f t="shared" si="32"/>
        <v>0</v>
      </c>
      <c r="G52" s="380">
        <f t="shared" si="32"/>
        <v>0</v>
      </c>
      <c r="H52" s="380">
        <f t="shared" si="32"/>
        <v>0</v>
      </c>
      <c r="I52" s="380">
        <f t="shared" si="32"/>
        <v>0</v>
      </c>
      <c r="J52" s="380">
        <f t="shared" si="32"/>
        <v>0</v>
      </c>
      <c r="K52" s="380">
        <f t="shared" si="32"/>
        <v>0</v>
      </c>
      <c r="L52" s="380">
        <f t="shared" si="32"/>
        <v>0</v>
      </c>
      <c r="M52" s="380">
        <f t="shared" si="32"/>
        <v>0</v>
      </c>
      <c r="N52" s="380">
        <f t="shared" si="32"/>
        <v>92906</v>
      </c>
      <c r="O52" s="380">
        <f t="shared" si="32"/>
        <v>0</v>
      </c>
      <c r="P52" s="380">
        <f t="shared" si="32"/>
        <v>0</v>
      </c>
      <c r="Q52" s="380">
        <f t="shared" si="32"/>
        <v>0</v>
      </c>
      <c r="R52" s="380">
        <f t="shared" si="32"/>
        <v>0</v>
      </c>
      <c r="S52" s="380">
        <f t="shared" si="32"/>
        <v>0</v>
      </c>
      <c r="T52" s="380">
        <f t="shared" si="32"/>
        <v>0</v>
      </c>
      <c r="U52" s="380">
        <f t="shared" si="32"/>
        <v>0</v>
      </c>
      <c r="V52" s="380">
        <f t="shared" si="32"/>
        <v>0</v>
      </c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36"/>
      <c r="IX52" s="36"/>
      <c r="IY52" s="36"/>
      <c r="IZ52" s="36"/>
      <c r="JA52" s="36"/>
      <c r="JB52" s="36"/>
    </row>
    <row r="53" spans="1:262" s="35" customFormat="1" ht="12.6" customHeight="1">
      <c r="A53" s="328">
        <v>3531</v>
      </c>
      <c r="B53" s="10" t="s">
        <v>5294</v>
      </c>
      <c r="C53" s="60">
        <f t="shared" si="1"/>
        <v>92906</v>
      </c>
      <c r="D53" s="380"/>
      <c r="E53" s="381"/>
      <c r="F53" s="381"/>
      <c r="G53" s="381"/>
      <c r="H53" s="381"/>
      <c r="I53" s="381"/>
      <c r="J53" s="381"/>
      <c r="K53" s="381"/>
      <c r="L53" s="381"/>
      <c r="M53" s="381"/>
      <c r="N53" s="380">
        <f>'Unos rashoda P4'!H11+'Unos rashoda P4'!H23</f>
        <v>92906</v>
      </c>
      <c r="O53" s="381"/>
      <c r="P53" s="381"/>
      <c r="Q53" s="381"/>
      <c r="R53" s="381"/>
      <c r="S53" s="381"/>
      <c r="T53" s="381"/>
      <c r="U53" s="381"/>
      <c r="V53" s="381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36"/>
      <c r="IX53" s="36"/>
      <c r="IY53" s="36"/>
      <c r="IZ53" s="36"/>
      <c r="JA53" s="36"/>
      <c r="JB53" s="36"/>
    </row>
    <row r="54" spans="1:262" s="35" customFormat="1" ht="12.6" customHeight="1">
      <c r="A54" s="328">
        <v>36</v>
      </c>
      <c r="B54" s="12" t="s">
        <v>201</v>
      </c>
      <c r="C54" s="60">
        <f t="shared" si="1"/>
        <v>1019709</v>
      </c>
      <c r="D54" s="380">
        <f>D57+D55</f>
        <v>0</v>
      </c>
      <c r="E54" s="380">
        <f t="shared" ref="E54:V54" si="33">E57+E55</f>
        <v>0</v>
      </c>
      <c r="F54" s="380">
        <f t="shared" si="33"/>
        <v>0</v>
      </c>
      <c r="G54" s="380">
        <f t="shared" si="33"/>
        <v>0</v>
      </c>
      <c r="H54" s="380">
        <f t="shared" si="33"/>
        <v>0</v>
      </c>
      <c r="I54" s="380">
        <f t="shared" si="33"/>
        <v>0</v>
      </c>
      <c r="J54" s="380">
        <f t="shared" si="33"/>
        <v>0</v>
      </c>
      <c r="K54" s="380">
        <f t="shared" si="33"/>
        <v>0</v>
      </c>
      <c r="L54" s="380">
        <f t="shared" si="33"/>
        <v>0</v>
      </c>
      <c r="M54" s="380">
        <f t="shared" si="33"/>
        <v>0</v>
      </c>
      <c r="N54" s="380">
        <f t="shared" si="33"/>
        <v>1019709</v>
      </c>
      <c r="O54" s="380">
        <f t="shared" si="33"/>
        <v>0</v>
      </c>
      <c r="P54" s="380">
        <f t="shared" si="33"/>
        <v>0</v>
      </c>
      <c r="Q54" s="380">
        <f t="shared" si="33"/>
        <v>0</v>
      </c>
      <c r="R54" s="380">
        <f t="shared" si="33"/>
        <v>0</v>
      </c>
      <c r="S54" s="380">
        <f t="shared" si="33"/>
        <v>0</v>
      </c>
      <c r="T54" s="380">
        <f t="shared" si="33"/>
        <v>0</v>
      </c>
      <c r="U54" s="380">
        <f t="shared" si="33"/>
        <v>0</v>
      </c>
      <c r="V54" s="380">
        <f t="shared" si="33"/>
        <v>0</v>
      </c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35" customFormat="1" ht="12.6" customHeight="1">
      <c r="A55" s="328">
        <v>368</v>
      </c>
      <c r="B55" s="12" t="s">
        <v>5295</v>
      </c>
      <c r="C55" s="60">
        <f t="shared" si="1"/>
        <v>99277</v>
      </c>
      <c r="D55" s="380">
        <f>D56</f>
        <v>0</v>
      </c>
      <c r="E55" s="380">
        <f t="shared" ref="E55:V55" si="34">E56</f>
        <v>0</v>
      </c>
      <c r="F55" s="380">
        <f t="shared" si="34"/>
        <v>0</v>
      </c>
      <c r="G55" s="380">
        <f t="shared" si="34"/>
        <v>0</v>
      </c>
      <c r="H55" s="380">
        <f t="shared" si="34"/>
        <v>0</v>
      </c>
      <c r="I55" s="380">
        <f t="shared" si="34"/>
        <v>0</v>
      </c>
      <c r="J55" s="380">
        <f t="shared" si="34"/>
        <v>0</v>
      </c>
      <c r="K55" s="380">
        <f t="shared" si="34"/>
        <v>0</v>
      </c>
      <c r="L55" s="380">
        <f t="shared" si="34"/>
        <v>0</v>
      </c>
      <c r="M55" s="380">
        <f t="shared" si="34"/>
        <v>0</v>
      </c>
      <c r="N55" s="380">
        <f t="shared" si="34"/>
        <v>99277</v>
      </c>
      <c r="O55" s="380">
        <f t="shared" si="34"/>
        <v>0</v>
      </c>
      <c r="P55" s="380">
        <f t="shared" si="34"/>
        <v>0</v>
      </c>
      <c r="Q55" s="380">
        <f t="shared" si="34"/>
        <v>0</v>
      </c>
      <c r="R55" s="380">
        <f t="shared" si="34"/>
        <v>0</v>
      </c>
      <c r="S55" s="380">
        <f t="shared" si="34"/>
        <v>0</v>
      </c>
      <c r="T55" s="380">
        <f t="shared" si="34"/>
        <v>0</v>
      </c>
      <c r="U55" s="380">
        <f t="shared" si="34"/>
        <v>0</v>
      </c>
      <c r="V55" s="380">
        <f t="shared" si="34"/>
        <v>0</v>
      </c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  <c r="IW55" s="36"/>
      <c r="IX55" s="36"/>
      <c r="IY55" s="36"/>
      <c r="IZ55" s="36"/>
      <c r="JA55" s="36"/>
      <c r="JB55" s="36"/>
    </row>
    <row r="56" spans="1:262" s="35" customFormat="1" ht="12.6" customHeight="1">
      <c r="A56" s="328">
        <v>3681</v>
      </c>
      <c r="B56" s="12" t="s">
        <v>26</v>
      </c>
      <c r="C56" s="60">
        <f t="shared" si="1"/>
        <v>99277</v>
      </c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>
        <f>'Unos rashoda P4'!H12</f>
        <v>99277</v>
      </c>
      <c r="O56" s="380"/>
      <c r="P56" s="380"/>
      <c r="Q56" s="380"/>
      <c r="R56" s="380"/>
      <c r="S56" s="380"/>
      <c r="T56" s="380"/>
      <c r="U56" s="380"/>
      <c r="V56" s="380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</row>
    <row r="57" spans="1:262" s="35" customFormat="1" ht="12.6" customHeight="1">
      <c r="A57" s="328">
        <v>369</v>
      </c>
      <c r="B57" s="12" t="s">
        <v>5293</v>
      </c>
      <c r="C57" s="60">
        <f t="shared" si="1"/>
        <v>920432</v>
      </c>
      <c r="D57" s="380">
        <f>D58+D59+D60</f>
        <v>0</v>
      </c>
      <c r="E57" s="380">
        <f t="shared" ref="E57:V57" si="35">E58+E59+E60</f>
        <v>0</v>
      </c>
      <c r="F57" s="380">
        <f t="shared" si="35"/>
        <v>0</v>
      </c>
      <c r="G57" s="380">
        <f t="shared" si="35"/>
        <v>0</v>
      </c>
      <c r="H57" s="380">
        <f t="shared" si="35"/>
        <v>0</v>
      </c>
      <c r="I57" s="380">
        <f t="shared" si="35"/>
        <v>0</v>
      </c>
      <c r="J57" s="380">
        <f t="shared" si="35"/>
        <v>0</v>
      </c>
      <c r="K57" s="380">
        <f t="shared" si="35"/>
        <v>0</v>
      </c>
      <c r="L57" s="380">
        <f t="shared" si="35"/>
        <v>0</v>
      </c>
      <c r="M57" s="380">
        <f t="shared" si="35"/>
        <v>0</v>
      </c>
      <c r="N57" s="380">
        <f t="shared" si="35"/>
        <v>920432</v>
      </c>
      <c r="O57" s="380">
        <f t="shared" si="35"/>
        <v>0</v>
      </c>
      <c r="P57" s="380">
        <f t="shared" si="35"/>
        <v>0</v>
      </c>
      <c r="Q57" s="380">
        <f t="shared" si="35"/>
        <v>0</v>
      </c>
      <c r="R57" s="380">
        <f t="shared" si="35"/>
        <v>0</v>
      </c>
      <c r="S57" s="380">
        <f t="shared" si="35"/>
        <v>0</v>
      </c>
      <c r="T57" s="380">
        <f t="shared" si="35"/>
        <v>0</v>
      </c>
      <c r="U57" s="380">
        <f t="shared" si="35"/>
        <v>0</v>
      </c>
      <c r="V57" s="380">
        <f t="shared" si="35"/>
        <v>0</v>
      </c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36"/>
      <c r="IX57" s="36"/>
      <c r="IY57" s="36"/>
      <c r="IZ57" s="36"/>
      <c r="JA57" s="36"/>
      <c r="JB57" s="36"/>
    </row>
    <row r="58" spans="1:262" s="35" customFormat="1" ht="12.6" customHeight="1">
      <c r="A58" s="328">
        <v>3691</v>
      </c>
      <c r="B58" s="10" t="s">
        <v>28</v>
      </c>
      <c r="C58" s="60">
        <f t="shared" si="1"/>
        <v>0</v>
      </c>
      <c r="D58" s="380"/>
      <c r="E58" s="381"/>
      <c r="F58" s="381"/>
      <c r="G58" s="381"/>
      <c r="H58" s="381"/>
      <c r="I58" s="381"/>
      <c r="J58" s="380">
        <f>'Unos rashoda i izdataka'!J114+'Unos rashoda i izdataka'!J115+'Unos rashoda i izdataka'!J116+'Unos rashoda i izdataka'!J117+'Unos rashoda i izdataka'!J118</f>
        <v>0</v>
      </c>
      <c r="K58" s="381"/>
      <c r="L58" s="381"/>
      <c r="M58" s="381"/>
      <c r="N58" s="380"/>
      <c r="O58" s="381"/>
      <c r="P58" s="381"/>
      <c r="Q58" s="381"/>
      <c r="R58" s="381"/>
      <c r="S58" s="381"/>
      <c r="T58" s="381"/>
      <c r="U58" s="381"/>
      <c r="V58" s="381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36"/>
      <c r="IX58" s="36"/>
      <c r="IY58" s="36"/>
      <c r="IZ58" s="36"/>
      <c r="JA58" s="36"/>
      <c r="JB58" s="36"/>
    </row>
    <row r="59" spans="1:262" s="35" customFormat="1" ht="12.6" customHeight="1">
      <c r="A59" s="328">
        <v>3693</v>
      </c>
      <c r="B59" s="10" t="s">
        <v>30</v>
      </c>
      <c r="C59" s="60">
        <f t="shared" si="1"/>
        <v>920432</v>
      </c>
      <c r="D59" s="380"/>
      <c r="E59" s="381"/>
      <c r="F59" s="381"/>
      <c r="G59" s="381"/>
      <c r="H59" s="381"/>
      <c r="I59" s="381"/>
      <c r="J59" s="380">
        <f>'Unos rashoda P4'!H43</f>
        <v>0</v>
      </c>
      <c r="K59" s="381"/>
      <c r="L59" s="381"/>
      <c r="M59" s="381"/>
      <c r="N59" s="380">
        <f>'Unos rashoda P4'!H9</f>
        <v>920432</v>
      </c>
      <c r="O59" s="381"/>
      <c r="P59" s="381"/>
      <c r="Q59" s="381"/>
      <c r="R59" s="381"/>
      <c r="S59" s="381"/>
      <c r="T59" s="381"/>
      <c r="U59" s="381"/>
      <c r="V59" s="381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35" customFormat="1" ht="12.6" customHeight="1">
      <c r="A60" s="328">
        <v>3694</v>
      </c>
      <c r="B60" s="10" t="s">
        <v>31</v>
      </c>
      <c r="C60" s="60">
        <f t="shared" si="1"/>
        <v>0</v>
      </c>
      <c r="D60" s="380"/>
      <c r="E60" s="381"/>
      <c r="F60" s="381"/>
      <c r="G60" s="381"/>
      <c r="H60" s="381"/>
      <c r="I60" s="381"/>
      <c r="J60" s="380"/>
      <c r="K60" s="381"/>
      <c r="L60" s="381"/>
      <c r="M60" s="381"/>
      <c r="N60" s="380">
        <f>'Unos rashoda P4'!H10</f>
        <v>0</v>
      </c>
      <c r="O60" s="381"/>
      <c r="P60" s="381"/>
      <c r="Q60" s="381"/>
      <c r="R60" s="381"/>
      <c r="S60" s="381"/>
      <c r="T60" s="381"/>
      <c r="U60" s="381"/>
      <c r="V60" s="381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13" customFormat="1" ht="12.6" customHeight="1">
      <c r="A61" s="328">
        <v>37</v>
      </c>
      <c r="B61" s="10" t="s">
        <v>253</v>
      </c>
      <c r="C61" s="60">
        <f t="shared" si="1"/>
        <v>1010559</v>
      </c>
      <c r="D61" s="380">
        <f>D62</f>
        <v>108937</v>
      </c>
      <c r="E61" s="380">
        <f t="shared" ref="E61:V61" si="36">E62</f>
        <v>0</v>
      </c>
      <c r="F61" s="380">
        <f t="shared" si="36"/>
        <v>0</v>
      </c>
      <c r="G61" s="380">
        <f t="shared" si="36"/>
        <v>0</v>
      </c>
      <c r="H61" s="380">
        <f t="shared" si="36"/>
        <v>66361</v>
      </c>
      <c r="I61" s="380">
        <f t="shared" si="36"/>
        <v>0</v>
      </c>
      <c r="J61" s="380">
        <f t="shared" si="36"/>
        <v>828625</v>
      </c>
      <c r="K61" s="380">
        <f t="shared" si="36"/>
        <v>0</v>
      </c>
      <c r="L61" s="380">
        <f t="shared" si="36"/>
        <v>0</v>
      </c>
      <c r="M61" s="380">
        <f t="shared" si="36"/>
        <v>0</v>
      </c>
      <c r="N61" s="380">
        <f t="shared" si="36"/>
        <v>6636</v>
      </c>
      <c r="O61" s="380">
        <f t="shared" si="36"/>
        <v>0</v>
      </c>
      <c r="P61" s="380">
        <f t="shared" si="36"/>
        <v>0</v>
      </c>
      <c r="Q61" s="380">
        <f t="shared" si="36"/>
        <v>0</v>
      </c>
      <c r="R61" s="380">
        <f t="shared" si="36"/>
        <v>0</v>
      </c>
      <c r="S61" s="380">
        <f t="shared" si="36"/>
        <v>0</v>
      </c>
      <c r="T61" s="380">
        <f t="shared" si="36"/>
        <v>0</v>
      </c>
      <c r="U61" s="380">
        <f t="shared" si="36"/>
        <v>0</v>
      </c>
      <c r="V61" s="380">
        <f t="shared" si="36"/>
        <v>0</v>
      </c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13" customFormat="1" ht="12.6" customHeight="1">
      <c r="A62" s="328">
        <v>372</v>
      </c>
      <c r="B62" s="10" t="s">
        <v>5290</v>
      </c>
      <c r="C62" s="60">
        <f t="shared" si="1"/>
        <v>1010559</v>
      </c>
      <c r="D62" s="380">
        <f>D63+D64+D65</f>
        <v>108937</v>
      </c>
      <c r="E62" s="380">
        <f t="shared" ref="E62:V62" si="37">E63+E64+E65</f>
        <v>0</v>
      </c>
      <c r="F62" s="380">
        <f t="shared" si="37"/>
        <v>0</v>
      </c>
      <c r="G62" s="380">
        <f t="shared" si="37"/>
        <v>0</v>
      </c>
      <c r="H62" s="380">
        <f t="shared" si="37"/>
        <v>66361</v>
      </c>
      <c r="I62" s="380">
        <f t="shared" si="37"/>
        <v>0</v>
      </c>
      <c r="J62" s="380">
        <f t="shared" si="37"/>
        <v>828625</v>
      </c>
      <c r="K62" s="380">
        <f t="shared" si="37"/>
        <v>0</v>
      </c>
      <c r="L62" s="380">
        <f t="shared" si="37"/>
        <v>0</v>
      </c>
      <c r="M62" s="380">
        <f t="shared" si="37"/>
        <v>0</v>
      </c>
      <c r="N62" s="380">
        <f t="shared" si="37"/>
        <v>6636</v>
      </c>
      <c r="O62" s="380">
        <f t="shared" si="37"/>
        <v>0</v>
      </c>
      <c r="P62" s="380">
        <f t="shared" si="37"/>
        <v>0</v>
      </c>
      <c r="Q62" s="380">
        <f t="shared" si="37"/>
        <v>0</v>
      </c>
      <c r="R62" s="380">
        <f t="shared" si="37"/>
        <v>0</v>
      </c>
      <c r="S62" s="380">
        <f t="shared" si="37"/>
        <v>0</v>
      </c>
      <c r="T62" s="380">
        <f t="shared" si="37"/>
        <v>0</v>
      </c>
      <c r="U62" s="380">
        <f t="shared" si="37"/>
        <v>0</v>
      </c>
      <c r="V62" s="380">
        <f t="shared" si="37"/>
        <v>0</v>
      </c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13" customFormat="1" ht="12.6" customHeight="1">
      <c r="A63" s="328">
        <v>3721</v>
      </c>
      <c r="B63" s="10" t="s">
        <v>65</v>
      </c>
      <c r="C63" s="60">
        <f t="shared" si="1"/>
        <v>181934</v>
      </c>
      <c r="D63" s="380">
        <f>'Unos rashoda i izdataka'!J43</f>
        <v>108937</v>
      </c>
      <c r="E63" s="381"/>
      <c r="F63" s="381"/>
      <c r="G63" s="381"/>
      <c r="H63" s="380">
        <f>'Unos rashoda i izdataka'!J92</f>
        <v>66361</v>
      </c>
      <c r="I63" s="381"/>
      <c r="J63" s="380">
        <f>'Unos rashoda i izdataka'!J119</f>
        <v>0</v>
      </c>
      <c r="K63" s="381"/>
      <c r="L63" s="381"/>
      <c r="M63" s="381"/>
      <c r="N63" s="380">
        <f>'Unos rashoda P4'!H20</f>
        <v>6636</v>
      </c>
      <c r="O63" s="381"/>
      <c r="P63" s="381"/>
      <c r="Q63" s="381"/>
      <c r="R63" s="381"/>
      <c r="S63" s="381"/>
      <c r="T63" s="381"/>
      <c r="U63" s="381"/>
      <c r="V63" s="381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13" customFormat="1" ht="12.6" customHeight="1">
      <c r="A64" s="328">
        <v>3722</v>
      </c>
      <c r="B64" s="10" t="s">
        <v>150</v>
      </c>
      <c r="C64" s="60">
        <f t="shared" si="1"/>
        <v>46453</v>
      </c>
      <c r="D64" s="380"/>
      <c r="E64" s="381"/>
      <c r="F64" s="381"/>
      <c r="G64" s="381"/>
      <c r="H64" s="380"/>
      <c r="I64" s="381"/>
      <c r="J64" s="380">
        <f>'Unos rashoda i izdataka'!J120</f>
        <v>46453</v>
      </c>
      <c r="K64" s="381"/>
      <c r="L64" s="381"/>
      <c r="M64" s="381"/>
      <c r="N64" s="380"/>
      <c r="O64" s="381"/>
      <c r="P64" s="381"/>
      <c r="Q64" s="381"/>
      <c r="R64" s="381"/>
      <c r="S64" s="381"/>
      <c r="T64" s="381"/>
      <c r="U64" s="381"/>
      <c r="V64" s="381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13" customFormat="1" ht="12.6" customHeight="1">
      <c r="A65" s="328">
        <v>3723</v>
      </c>
      <c r="B65" s="10" t="s">
        <v>105</v>
      </c>
      <c r="C65" s="60">
        <f t="shared" si="1"/>
        <v>782172</v>
      </c>
      <c r="D65" s="380"/>
      <c r="E65" s="381"/>
      <c r="F65" s="381"/>
      <c r="G65" s="381"/>
      <c r="H65" s="380"/>
      <c r="I65" s="381"/>
      <c r="J65" s="380">
        <f>'Unos rashoda P4'!H42</f>
        <v>782172</v>
      </c>
      <c r="K65" s="381"/>
      <c r="L65" s="381"/>
      <c r="M65" s="381"/>
      <c r="N65" s="381"/>
      <c r="O65" s="381"/>
      <c r="P65" s="381"/>
      <c r="Q65" s="381"/>
      <c r="R65" s="381"/>
      <c r="S65" s="381"/>
      <c r="T65" s="381"/>
      <c r="U65" s="381"/>
      <c r="V65" s="381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13" customFormat="1" ht="12.6" customHeight="1">
      <c r="A66" s="328">
        <v>38</v>
      </c>
      <c r="B66" s="10" t="s">
        <v>202</v>
      </c>
      <c r="C66" s="60">
        <f t="shared" si="1"/>
        <v>109926</v>
      </c>
      <c r="D66" s="380">
        <f>D67</f>
        <v>94001</v>
      </c>
      <c r="E66" s="380">
        <f t="shared" ref="E66:V66" si="38">E67</f>
        <v>0</v>
      </c>
      <c r="F66" s="380">
        <f t="shared" si="38"/>
        <v>7963</v>
      </c>
      <c r="G66" s="380">
        <f t="shared" si="38"/>
        <v>0</v>
      </c>
      <c r="H66" s="380">
        <f t="shared" si="38"/>
        <v>7962</v>
      </c>
      <c r="I66" s="380">
        <f t="shared" si="38"/>
        <v>0</v>
      </c>
      <c r="J66" s="380">
        <f t="shared" si="38"/>
        <v>0</v>
      </c>
      <c r="K66" s="380">
        <f t="shared" si="38"/>
        <v>0</v>
      </c>
      <c r="L66" s="380">
        <f t="shared" si="38"/>
        <v>0</v>
      </c>
      <c r="M66" s="380">
        <f t="shared" si="38"/>
        <v>0</v>
      </c>
      <c r="N66" s="380">
        <f t="shared" si="38"/>
        <v>0</v>
      </c>
      <c r="O66" s="380">
        <f t="shared" si="38"/>
        <v>0</v>
      </c>
      <c r="P66" s="380">
        <f t="shared" si="38"/>
        <v>0</v>
      </c>
      <c r="Q66" s="380">
        <f t="shared" si="38"/>
        <v>0</v>
      </c>
      <c r="R66" s="380">
        <f t="shared" si="38"/>
        <v>0</v>
      </c>
      <c r="S66" s="380">
        <f t="shared" si="38"/>
        <v>0</v>
      </c>
      <c r="T66" s="380">
        <f t="shared" si="38"/>
        <v>0</v>
      </c>
      <c r="U66" s="380">
        <f t="shared" si="38"/>
        <v>0</v>
      </c>
      <c r="V66" s="380">
        <f t="shared" si="38"/>
        <v>0</v>
      </c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13" customFormat="1" ht="12.6" customHeight="1">
      <c r="A67" s="328">
        <v>381</v>
      </c>
      <c r="B67" s="10" t="s">
        <v>5291</v>
      </c>
      <c r="C67" s="60">
        <f t="shared" si="1"/>
        <v>109926</v>
      </c>
      <c r="D67" s="380">
        <f t="shared" ref="D67:G67" si="39">D68+D69</f>
        <v>94001</v>
      </c>
      <c r="E67" s="380">
        <f t="shared" si="39"/>
        <v>0</v>
      </c>
      <c r="F67" s="380">
        <f t="shared" si="39"/>
        <v>7963</v>
      </c>
      <c r="G67" s="380">
        <f t="shared" si="39"/>
        <v>0</v>
      </c>
      <c r="H67" s="380">
        <f>H68+H69</f>
        <v>7962</v>
      </c>
      <c r="I67" s="380">
        <f t="shared" ref="I67:V67" si="40">I68+I69</f>
        <v>0</v>
      </c>
      <c r="J67" s="380">
        <f t="shared" si="40"/>
        <v>0</v>
      </c>
      <c r="K67" s="380">
        <f t="shared" si="40"/>
        <v>0</v>
      </c>
      <c r="L67" s="380">
        <f t="shared" si="40"/>
        <v>0</v>
      </c>
      <c r="M67" s="380">
        <f t="shared" si="40"/>
        <v>0</v>
      </c>
      <c r="N67" s="380">
        <f t="shared" si="40"/>
        <v>0</v>
      </c>
      <c r="O67" s="380">
        <f t="shared" si="40"/>
        <v>0</v>
      </c>
      <c r="P67" s="380">
        <f t="shared" si="40"/>
        <v>0</v>
      </c>
      <c r="Q67" s="380">
        <f t="shared" si="40"/>
        <v>0</v>
      </c>
      <c r="R67" s="380">
        <f t="shared" si="40"/>
        <v>0</v>
      </c>
      <c r="S67" s="380">
        <f t="shared" si="40"/>
        <v>0</v>
      </c>
      <c r="T67" s="380">
        <f t="shared" si="40"/>
        <v>0</v>
      </c>
      <c r="U67" s="380">
        <f t="shared" si="40"/>
        <v>0</v>
      </c>
      <c r="V67" s="380">
        <f t="shared" si="40"/>
        <v>0</v>
      </c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13" customFormat="1" ht="12.6" customHeight="1">
      <c r="A68" s="328">
        <v>3811</v>
      </c>
      <c r="B68" s="10" t="s">
        <v>55</v>
      </c>
      <c r="C68" s="60">
        <f t="shared" si="1"/>
        <v>105945</v>
      </c>
      <c r="D68" s="380">
        <f>'Unos rashoda i izdataka'!J10</f>
        <v>94001</v>
      </c>
      <c r="E68" s="380"/>
      <c r="F68" s="380">
        <f>'Unos rashoda i izdataka'!J62</f>
        <v>7963</v>
      </c>
      <c r="G68" s="380"/>
      <c r="H68" s="380">
        <f>'Unos rashoda i izdataka'!J93</f>
        <v>3981</v>
      </c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3" customFormat="1" ht="12.6" customHeight="1">
      <c r="A69" s="328">
        <v>3812</v>
      </c>
      <c r="B69" s="10" t="s">
        <v>5292</v>
      </c>
      <c r="C69" s="60">
        <f t="shared" si="1"/>
        <v>3981</v>
      </c>
      <c r="D69" s="382"/>
      <c r="E69" s="382"/>
      <c r="F69" s="382"/>
      <c r="G69" s="382"/>
      <c r="H69" s="382">
        <f>'Unos rashoda i izdataka'!J94</f>
        <v>3981</v>
      </c>
      <c r="I69" s="382"/>
      <c r="J69" s="382"/>
      <c r="K69" s="382"/>
      <c r="L69" s="382"/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14" customFormat="1" ht="12.6" customHeight="1">
      <c r="A70" s="329">
        <v>4</v>
      </c>
      <c r="B70" s="66" t="s">
        <v>203</v>
      </c>
      <c r="C70" s="60">
        <f t="shared" si="1"/>
        <v>969718</v>
      </c>
      <c r="D70" s="68">
        <f>+D71+D72+D73+D74+D75</f>
        <v>202337</v>
      </c>
      <c r="E70" s="68">
        <f t="shared" ref="E70:V70" si="41">+E71+E72+E73+E74+E75</f>
        <v>85930</v>
      </c>
      <c r="F70" s="68">
        <f t="shared" si="41"/>
        <v>0</v>
      </c>
      <c r="G70" s="68">
        <f t="shared" si="41"/>
        <v>0</v>
      </c>
      <c r="H70" s="68">
        <f t="shared" si="41"/>
        <v>23908</v>
      </c>
      <c r="I70" s="68">
        <f t="shared" si="41"/>
        <v>0</v>
      </c>
      <c r="J70" s="68">
        <f t="shared" si="41"/>
        <v>0</v>
      </c>
      <c r="K70" s="68">
        <f t="shared" si="41"/>
        <v>0</v>
      </c>
      <c r="L70" s="68">
        <f t="shared" si="41"/>
        <v>0</v>
      </c>
      <c r="M70" s="68">
        <f t="shared" si="41"/>
        <v>0</v>
      </c>
      <c r="N70" s="68">
        <f t="shared" si="41"/>
        <v>657543</v>
      </c>
      <c r="O70" s="68">
        <f t="shared" si="41"/>
        <v>0</v>
      </c>
      <c r="P70" s="68">
        <f t="shared" si="41"/>
        <v>0</v>
      </c>
      <c r="Q70" s="68">
        <f t="shared" si="41"/>
        <v>0</v>
      </c>
      <c r="R70" s="68">
        <f t="shared" si="41"/>
        <v>0</v>
      </c>
      <c r="S70" s="68">
        <f t="shared" si="41"/>
        <v>0</v>
      </c>
      <c r="T70" s="68">
        <f t="shared" si="41"/>
        <v>0</v>
      </c>
      <c r="U70" s="68">
        <f t="shared" si="41"/>
        <v>0</v>
      </c>
      <c r="V70" s="68">
        <f t="shared" si="41"/>
        <v>0</v>
      </c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</row>
    <row r="71" spans="1:262" s="9" customFormat="1" ht="12.6" customHeight="1">
      <c r="A71" s="327">
        <v>41</v>
      </c>
      <c r="B71" s="8" t="s">
        <v>254</v>
      </c>
      <c r="C71" s="60">
        <f t="shared" si="1"/>
        <v>5479</v>
      </c>
      <c r="D71" s="380">
        <f>'Unos rashoda i izdataka'!J44</f>
        <v>5479</v>
      </c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28">
        <v>42</v>
      </c>
      <c r="B72" s="10" t="s">
        <v>231</v>
      </c>
      <c r="C72" s="60">
        <f t="shared" si="1"/>
        <v>956650</v>
      </c>
      <c r="D72" s="380">
        <f>'Unos rashoda i izdataka'!J45+'Unos rashoda i izdataka'!J46+'Unos rashoda i izdataka'!J47+'Unos rashoda i izdataka'!J48+'Unos rashoda i izdataka'!J49+'Unos rashoda i izdataka'!J50+'Unos rashoda i izdataka'!J51+'Unos rashoda i izdataka'!J52+'Unos rashoda i izdataka'!J53+'Unos rashoda i izdataka'!J54</f>
        <v>191269</v>
      </c>
      <c r="E72" s="380">
        <f>'Unos rashoda P4'!H3</f>
        <v>85930</v>
      </c>
      <c r="F72" s="380">
        <f>'Unos rashoda i izdataka'!J63+'Unos rashoda i izdataka'!J64+'Unos rashoda i izdataka'!J65+'Unos rashoda i izdataka'!J66</f>
        <v>0</v>
      </c>
      <c r="G72" s="380"/>
      <c r="H72" s="380">
        <f>'Unos rashoda i izdataka'!J95+'Unos rashoda i izdataka'!J96+'Unos rashoda i izdataka'!J97+'Unos rashoda i izdataka'!J98+'Unos rashoda i izdataka'!J99+'Unos rashoda i izdataka'!J100+'Unos rashoda i izdataka'!J101+'Unos rashoda i izdataka'!J102+'Unos rashoda i izdataka'!J103</f>
        <v>21908</v>
      </c>
      <c r="I72" s="380"/>
      <c r="J72" s="380">
        <f>'Unos rashoda P4'!H44+'Unos rashoda P4'!H45+'Unos rashoda P4'!H46+'Unos rashoda P4'!H47</f>
        <v>0</v>
      </c>
      <c r="K72" s="380"/>
      <c r="L72" s="380"/>
      <c r="M72" s="380"/>
      <c r="N72" s="380">
        <f>'Unos rashoda P4'!H4+'Unos rashoda P4'!H13</f>
        <v>657543</v>
      </c>
      <c r="O72" s="380"/>
      <c r="P72" s="380"/>
      <c r="Q72" s="380"/>
      <c r="R72" s="380"/>
      <c r="S72" s="380"/>
      <c r="T72" s="380"/>
      <c r="U72" s="380"/>
      <c r="V72" s="380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9" customFormat="1" ht="12.6" customHeight="1">
      <c r="A73" s="327">
        <v>43</v>
      </c>
      <c r="B73" s="8" t="s">
        <v>255</v>
      </c>
      <c r="C73" s="60">
        <f t="shared" si="1"/>
        <v>110</v>
      </c>
      <c r="D73" s="380">
        <f>'Unos rashoda i izdataka'!J55</f>
        <v>110</v>
      </c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  <c r="IV73" s="34"/>
      <c r="IW73" s="34"/>
      <c r="IX73" s="34"/>
      <c r="IY73" s="34"/>
      <c r="IZ73" s="34"/>
      <c r="JA73" s="34"/>
      <c r="JB73" s="34"/>
    </row>
    <row r="74" spans="1:262" s="9" customFormat="1" ht="12.6" customHeight="1">
      <c r="A74" s="327">
        <v>44</v>
      </c>
      <c r="B74" s="8" t="s">
        <v>256</v>
      </c>
      <c r="C74" s="60">
        <f t="shared" si="1"/>
        <v>0</v>
      </c>
      <c r="D74" s="380">
        <v>0</v>
      </c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  <c r="IV74" s="34"/>
      <c r="IW74" s="34"/>
      <c r="IX74" s="34"/>
      <c r="IY74" s="34"/>
      <c r="IZ74" s="34"/>
      <c r="JA74" s="34"/>
      <c r="JB74" s="34"/>
    </row>
    <row r="75" spans="1:262" s="13" customFormat="1" ht="12.6" customHeight="1">
      <c r="A75" s="328">
        <v>45</v>
      </c>
      <c r="B75" s="10" t="s">
        <v>204</v>
      </c>
      <c r="C75" s="60">
        <f t="shared" si="1"/>
        <v>7479</v>
      </c>
      <c r="D75" s="380">
        <f>'Unos rashoda i izdataka'!J56</f>
        <v>5479</v>
      </c>
      <c r="E75" s="380"/>
      <c r="F75" s="380"/>
      <c r="G75" s="380"/>
      <c r="H75" s="380">
        <f>'Unos rashoda i izdataka'!J104</f>
        <v>2000</v>
      </c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28" customFormat="1">
      <c r="A76" s="330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</row>
    <row r="77" spans="1:262" s="30" customFormat="1" ht="71.45" customHeight="1">
      <c r="A77" s="179" t="s">
        <v>195</v>
      </c>
      <c r="B77" s="41" t="s">
        <v>196</v>
      </c>
      <c r="C77" s="2" t="s">
        <v>3017</v>
      </c>
      <c r="D77" s="2" t="s">
        <v>37</v>
      </c>
      <c r="E77" s="2" t="s">
        <v>251</v>
      </c>
      <c r="F77" s="41" t="s">
        <v>16</v>
      </c>
      <c r="G77" s="41" t="s">
        <v>5111</v>
      </c>
      <c r="H77" s="41" t="s">
        <v>17</v>
      </c>
      <c r="I77" s="41" t="s">
        <v>240</v>
      </c>
      <c r="J77" s="41" t="s">
        <v>241</v>
      </c>
      <c r="K77" s="41" t="s">
        <v>1230</v>
      </c>
      <c r="L77" s="41" t="s">
        <v>242</v>
      </c>
      <c r="M77" s="41" t="s">
        <v>243</v>
      </c>
      <c r="N77" s="41" t="s">
        <v>244</v>
      </c>
      <c r="O77" s="41" t="s">
        <v>1231</v>
      </c>
      <c r="P77" s="41" t="s">
        <v>5117</v>
      </c>
      <c r="Q77" s="41" t="s">
        <v>5118</v>
      </c>
      <c r="R77" s="41" t="s">
        <v>3016</v>
      </c>
      <c r="S77" s="41" t="s">
        <v>245</v>
      </c>
      <c r="T77" s="41" t="s">
        <v>246</v>
      </c>
      <c r="U77" s="41" t="s">
        <v>1206</v>
      </c>
      <c r="V77" s="41" t="s">
        <v>1205</v>
      </c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</row>
    <row r="78" spans="1:262" s="15" customFormat="1" ht="19.5" customHeight="1">
      <c r="A78" s="332">
        <v>2023</v>
      </c>
      <c r="B78" s="331" t="s">
        <v>5266</v>
      </c>
      <c r="C78" s="377">
        <f t="shared" ref="C78:C149" si="42">SUM(D78:V78)</f>
        <v>-1712758</v>
      </c>
      <c r="D78" s="379">
        <f t="shared" ref="D78:V78" si="43">+D79+D144</f>
        <v>-1110052</v>
      </c>
      <c r="E78" s="379">
        <f t="shared" si="43"/>
        <v>-67152</v>
      </c>
      <c r="F78" s="379">
        <f t="shared" si="43"/>
        <v>-16191</v>
      </c>
      <c r="G78" s="379">
        <f t="shared" si="43"/>
        <v>0</v>
      </c>
      <c r="H78" s="379">
        <f t="shared" si="43"/>
        <v>19702</v>
      </c>
      <c r="I78" s="379">
        <f t="shared" si="43"/>
        <v>0</v>
      </c>
      <c r="J78" s="379">
        <f t="shared" si="43"/>
        <v>607534</v>
      </c>
      <c r="K78" s="379">
        <f t="shared" si="43"/>
        <v>0</v>
      </c>
      <c r="L78" s="379">
        <f t="shared" si="43"/>
        <v>0</v>
      </c>
      <c r="M78" s="379">
        <f t="shared" si="43"/>
        <v>0</v>
      </c>
      <c r="N78" s="379">
        <f t="shared" si="43"/>
        <v>-1146599</v>
      </c>
      <c r="O78" s="61">
        <f t="shared" si="43"/>
        <v>0</v>
      </c>
      <c r="P78" s="61">
        <f t="shared" si="43"/>
        <v>0</v>
      </c>
      <c r="Q78" s="61">
        <f t="shared" si="43"/>
        <v>0</v>
      </c>
      <c r="R78" s="61">
        <f t="shared" si="43"/>
        <v>0</v>
      </c>
      <c r="S78" s="61">
        <f t="shared" si="43"/>
        <v>0</v>
      </c>
      <c r="T78" s="61">
        <f t="shared" si="43"/>
        <v>0</v>
      </c>
      <c r="U78" s="61">
        <f t="shared" si="43"/>
        <v>0</v>
      </c>
      <c r="V78" s="61">
        <f t="shared" si="43"/>
        <v>0</v>
      </c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2"/>
      <c r="AN78" s="32"/>
      <c r="AO78" s="32"/>
      <c r="AP78" s="32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</row>
    <row r="79" spans="1:262" s="7" customFormat="1" ht="12.6" customHeight="1">
      <c r="A79" s="329">
        <v>3</v>
      </c>
      <c r="B79" s="63" t="s">
        <v>197</v>
      </c>
      <c r="C79" s="60">
        <f t="shared" si="42"/>
        <v>-1211740</v>
      </c>
      <c r="D79" s="67">
        <f>+D80+D12011+D119+D125+D128+D135+D140+D89</f>
        <v>-971215</v>
      </c>
      <c r="E79" s="67">
        <f t="shared" ref="E79:V79" si="44">+E80+E12011+E119+E125+E128+E135+E140+E89</f>
        <v>-20222</v>
      </c>
      <c r="F79" s="67">
        <f t="shared" si="44"/>
        <v>-16191</v>
      </c>
      <c r="G79" s="67">
        <f t="shared" si="44"/>
        <v>0</v>
      </c>
      <c r="H79" s="67">
        <f t="shared" si="44"/>
        <v>-7590</v>
      </c>
      <c r="I79" s="67">
        <f t="shared" si="44"/>
        <v>0</v>
      </c>
      <c r="J79" s="67">
        <f t="shared" si="44"/>
        <v>508534</v>
      </c>
      <c r="K79" s="67">
        <f t="shared" si="44"/>
        <v>0</v>
      </c>
      <c r="L79" s="67">
        <f t="shared" si="44"/>
        <v>0</v>
      </c>
      <c r="M79" s="67">
        <f t="shared" si="44"/>
        <v>0</v>
      </c>
      <c r="N79" s="67">
        <f t="shared" si="44"/>
        <v>-705056</v>
      </c>
      <c r="O79" s="67">
        <f t="shared" si="44"/>
        <v>0</v>
      </c>
      <c r="P79" s="67">
        <f t="shared" si="44"/>
        <v>0</v>
      </c>
      <c r="Q79" s="67">
        <f t="shared" si="44"/>
        <v>0</v>
      </c>
      <c r="R79" s="67">
        <f t="shared" si="44"/>
        <v>0</v>
      </c>
      <c r="S79" s="67">
        <f t="shared" si="44"/>
        <v>0</v>
      </c>
      <c r="T79" s="67">
        <f t="shared" si="44"/>
        <v>0</v>
      </c>
      <c r="U79" s="67">
        <f t="shared" si="44"/>
        <v>0</v>
      </c>
      <c r="V79" s="67">
        <f t="shared" si="44"/>
        <v>0</v>
      </c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</row>
    <row r="80" spans="1:262" s="9" customFormat="1" ht="12.6" customHeight="1">
      <c r="A80" s="327">
        <v>31</v>
      </c>
      <c r="B80" s="8" t="s">
        <v>198</v>
      </c>
      <c r="C80" s="60">
        <f t="shared" si="42"/>
        <v>-1041763</v>
      </c>
      <c r="D80" s="380">
        <f>D81+D85+D87</f>
        <v>-950089</v>
      </c>
      <c r="E80" s="380">
        <f t="shared" ref="E80:V80" si="45">E81+E85+E87</f>
        <v>0</v>
      </c>
      <c r="F80" s="380">
        <f t="shared" si="45"/>
        <v>-1647</v>
      </c>
      <c r="G80" s="380">
        <f t="shared" si="45"/>
        <v>0</v>
      </c>
      <c r="H80" s="380">
        <f t="shared" si="45"/>
        <v>-1127</v>
      </c>
      <c r="I80" s="380">
        <f t="shared" si="45"/>
        <v>0</v>
      </c>
      <c r="J80" s="380">
        <f t="shared" si="45"/>
        <v>1100</v>
      </c>
      <c r="K80" s="380">
        <f t="shared" si="45"/>
        <v>0</v>
      </c>
      <c r="L80" s="380">
        <f t="shared" si="45"/>
        <v>0</v>
      </c>
      <c r="M80" s="380">
        <f t="shared" si="45"/>
        <v>0</v>
      </c>
      <c r="N80" s="380">
        <f>N81+N85+N87</f>
        <v>-90000</v>
      </c>
      <c r="O80" s="380">
        <f t="shared" si="45"/>
        <v>0</v>
      </c>
      <c r="P80" s="380">
        <f t="shared" si="45"/>
        <v>0</v>
      </c>
      <c r="Q80" s="380">
        <f t="shared" si="45"/>
        <v>0</v>
      </c>
      <c r="R80" s="380">
        <f t="shared" si="45"/>
        <v>0</v>
      </c>
      <c r="S80" s="380">
        <f t="shared" si="45"/>
        <v>0</v>
      </c>
      <c r="T80" s="380">
        <f t="shared" si="45"/>
        <v>0</v>
      </c>
      <c r="U80" s="380">
        <f t="shared" si="45"/>
        <v>0</v>
      </c>
      <c r="V80" s="380">
        <f t="shared" si="45"/>
        <v>0</v>
      </c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  <c r="IW80" s="36"/>
      <c r="IX80" s="36"/>
      <c r="IY80" s="36"/>
      <c r="IZ80" s="36"/>
      <c r="JA80" s="36"/>
      <c r="JB80" s="36"/>
    </row>
    <row r="81" spans="1:262" s="9" customFormat="1" ht="12.6" customHeight="1">
      <c r="A81" s="327">
        <v>311</v>
      </c>
      <c r="B81" s="8" t="s">
        <v>5261</v>
      </c>
      <c r="C81" s="60">
        <f t="shared" si="42"/>
        <v>-888767</v>
      </c>
      <c r="D81" s="380">
        <f>D82+D83+D84</f>
        <v>-779924</v>
      </c>
      <c r="E81" s="380">
        <f t="shared" ref="E81:V81" si="46">E82+E83+E84</f>
        <v>0</v>
      </c>
      <c r="F81" s="380">
        <f t="shared" si="46"/>
        <v>-33924</v>
      </c>
      <c r="G81" s="380">
        <f t="shared" si="46"/>
        <v>0</v>
      </c>
      <c r="H81" s="380">
        <f t="shared" si="46"/>
        <v>0</v>
      </c>
      <c r="I81" s="380">
        <f t="shared" si="46"/>
        <v>0</v>
      </c>
      <c r="J81" s="380">
        <f t="shared" si="46"/>
        <v>0</v>
      </c>
      <c r="K81" s="380">
        <f t="shared" si="46"/>
        <v>0</v>
      </c>
      <c r="L81" s="380">
        <f t="shared" si="46"/>
        <v>0</v>
      </c>
      <c r="M81" s="380">
        <f t="shared" si="46"/>
        <v>0</v>
      </c>
      <c r="N81" s="380">
        <f t="shared" si="46"/>
        <v>-74919</v>
      </c>
      <c r="O81" s="380">
        <f t="shared" si="46"/>
        <v>0</v>
      </c>
      <c r="P81" s="380">
        <f t="shared" si="46"/>
        <v>0</v>
      </c>
      <c r="Q81" s="380">
        <f t="shared" si="46"/>
        <v>0</v>
      </c>
      <c r="R81" s="380">
        <f t="shared" si="46"/>
        <v>0</v>
      </c>
      <c r="S81" s="380">
        <f t="shared" si="46"/>
        <v>0</v>
      </c>
      <c r="T81" s="380">
        <f t="shared" si="46"/>
        <v>0</v>
      </c>
      <c r="U81" s="380">
        <f t="shared" si="46"/>
        <v>0</v>
      </c>
      <c r="V81" s="380">
        <f t="shared" si="46"/>
        <v>0</v>
      </c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  <c r="IW81" s="36"/>
      <c r="IX81" s="36"/>
      <c r="IY81" s="36"/>
      <c r="IZ81" s="36"/>
      <c r="JA81" s="36"/>
      <c r="JB81" s="36"/>
    </row>
    <row r="82" spans="1:262" s="9" customFormat="1" ht="12.6" customHeight="1">
      <c r="A82" s="327">
        <v>3111</v>
      </c>
      <c r="B82" s="8" t="s">
        <v>47</v>
      </c>
      <c r="C82" s="60">
        <f t="shared" si="42"/>
        <v>-890727</v>
      </c>
      <c r="D82" s="380">
        <f>'Unos rashoda i izdataka'!K3+'Unos rashoda i izdataka'!K11+'Unos rashoda i izdataka'!K12</f>
        <v>-781884</v>
      </c>
      <c r="E82" s="380"/>
      <c r="F82" s="380">
        <f>'Unos rashoda i izdataka'!K57</f>
        <v>-33924</v>
      </c>
      <c r="G82" s="380"/>
      <c r="H82" s="380"/>
      <c r="I82" s="380"/>
      <c r="J82" s="380">
        <f>'Unos rashoda i izdataka'!K105+'Unos rashoda P4'!I29</f>
        <v>0</v>
      </c>
      <c r="K82" s="380"/>
      <c r="L82" s="380"/>
      <c r="M82" s="380"/>
      <c r="N82" s="380">
        <f>'Unos rashoda P4'!I27</f>
        <v>-74919</v>
      </c>
      <c r="O82" s="380"/>
      <c r="P82" s="380"/>
      <c r="Q82" s="380"/>
      <c r="R82" s="380"/>
      <c r="S82" s="380"/>
      <c r="T82" s="380"/>
      <c r="U82" s="380"/>
      <c r="V82" s="380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  <c r="IW82" s="36"/>
      <c r="IX82" s="36"/>
      <c r="IY82" s="36"/>
      <c r="IZ82" s="36"/>
      <c r="JA82" s="36"/>
      <c r="JB82" s="36"/>
    </row>
    <row r="83" spans="1:262" s="9" customFormat="1" ht="12.6" customHeight="1">
      <c r="A83" s="327">
        <v>3113</v>
      </c>
      <c r="B83" s="8"/>
      <c r="C83" s="60">
        <f t="shared" si="42"/>
        <v>3762</v>
      </c>
      <c r="D83" s="380">
        <f>'Unos rashoda i izdataka'!K13</f>
        <v>3762</v>
      </c>
      <c r="E83" s="380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6"/>
      <c r="HQ83" s="36"/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6"/>
      <c r="IF83" s="36"/>
      <c r="IG83" s="36"/>
      <c r="IH83" s="36"/>
      <c r="II83" s="36"/>
      <c r="IJ83" s="36"/>
      <c r="IK83" s="36"/>
      <c r="IL83" s="36"/>
      <c r="IM83" s="36"/>
      <c r="IN83" s="36"/>
      <c r="IO83" s="36"/>
      <c r="IP83" s="36"/>
      <c r="IQ83" s="36"/>
      <c r="IR83" s="36"/>
      <c r="IS83" s="36"/>
      <c r="IT83" s="36"/>
      <c r="IU83" s="36"/>
      <c r="IV83" s="36"/>
      <c r="IW83" s="36"/>
      <c r="IX83" s="36"/>
      <c r="IY83" s="36"/>
      <c r="IZ83" s="36"/>
      <c r="JA83" s="36"/>
      <c r="JB83" s="36"/>
    </row>
    <row r="84" spans="1:262" s="9" customFormat="1" ht="12.6" customHeight="1">
      <c r="A84" s="327">
        <v>3114</v>
      </c>
      <c r="B84" s="8" t="s">
        <v>147</v>
      </c>
      <c r="C84" s="60">
        <f t="shared" si="42"/>
        <v>-1802</v>
      </c>
      <c r="D84" s="380">
        <f>'Unos rashoda i izdataka'!K4</f>
        <v>-1802</v>
      </c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6"/>
      <c r="HQ84" s="36"/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6"/>
      <c r="IF84" s="36"/>
      <c r="IG84" s="36"/>
      <c r="IH84" s="36"/>
      <c r="II84" s="36"/>
      <c r="IJ84" s="36"/>
      <c r="IK84" s="36"/>
      <c r="IL84" s="36"/>
      <c r="IM84" s="36"/>
      <c r="IN84" s="36"/>
      <c r="IO84" s="36"/>
      <c r="IP84" s="36"/>
      <c r="IQ84" s="36"/>
      <c r="IR84" s="36"/>
      <c r="IS84" s="36"/>
      <c r="IT84" s="36"/>
      <c r="IU84" s="36"/>
      <c r="IV84" s="36"/>
      <c r="IW84" s="36"/>
      <c r="IX84" s="36"/>
      <c r="IY84" s="36"/>
      <c r="IZ84" s="36"/>
      <c r="JA84" s="36"/>
      <c r="JB84" s="36"/>
    </row>
    <row r="85" spans="1:262" s="9" customFormat="1" ht="12.6" customHeight="1">
      <c r="A85" s="327">
        <v>312</v>
      </c>
      <c r="B85" s="8" t="s">
        <v>50</v>
      </c>
      <c r="C85" s="60">
        <f t="shared" si="42"/>
        <v>-30022</v>
      </c>
      <c r="D85" s="380">
        <f>D86</f>
        <v>-66814</v>
      </c>
      <c r="E85" s="380">
        <f t="shared" ref="E85:V85" si="47">E86</f>
        <v>0</v>
      </c>
      <c r="F85" s="380">
        <f t="shared" si="47"/>
        <v>36819</v>
      </c>
      <c r="G85" s="380">
        <f t="shared" si="47"/>
        <v>0</v>
      </c>
      <c r="H85" s="380">
        <f t="shared" si="47"/>
        <v>-1127</v>
      </c>
      <c r="I85" s="380">
        <f t="shared" si="47"/>
        <v>0</v>
      </c>
      <c r="J85" s="380">
        <f t="shared" si="47"/>
        <v>1100</v>
      </c>
      <c r="K85" s="380">
        <f t="shared" si="47"/>
        <v>0</v>
      </c>
      <c r="L85" s="380">
        <f t="shared" si="47"/>
        <v>0</v>
      </c>
      <c r="M85" s="380">
        <f t="shared" si="47"/>
        <v>0</v>
      </c>
      <c r="N85" s="380">
        <f t="shared" si="47"/>
        <v>0</v>
      </c>
      <c r="O85" s="380">
        <f t="shared" si="47"/>
        <v>0</v>
      </c>
      <c r="P85" s="380">
        <f t="shared" si="47"/>
        <v>0</v>
      </c>
      <c r="Q85" s="380">
        <f t="shared" si="47"/>
        <v>0</v>
      </c>
      <c r="R85" s="380">
        <f t="shared" si="47"/>
        <v>0</v>
      </c>
      <c r="S85" s="380">
        <f t="shared" si="47"/>
        <v>0</v>
      </c>
      <c r="T85" s="380">
        <f t="shared" si="47"/>
        <v>0</v>
      </c>
      <c r="U85" s="380">
        <f t="shared" si="47"/>
        <v>0</v>
      </c>
      <c r="V85" s="380">
        <f t="shared" si="47"/>
        <v>0</v>
      </c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6"/>
      <c r="HB85" s="36"/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6"/>
      <c r="HQ85" s="36"/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6"/>
      <c r="IF85" s="36"/>
      <c r="IG85" s="36"/>
      <c r="IH85" s="36"/>
      <c r="II85" s="36"/>
      <c r="IJ85" s="36"/>
      <c r="IK85" s="36"/>
      <c r="IL85" s="36"/>
      <c r="IM85" s="36"/>
      <c r="IN85" s="36"/>
      <c r="IO85" s="36"/>
      <c r="IP85" s="36"/>
      <c r="IQ85" s="36"/>
      <c r="IR85" s="36"/>
      <c r="IS85" s="36"/>
      <c r="IT85" s="36"/>
      <c r="IU85" s="36"/>
      <c r="IV85" s="36"/>
      <c r="IW85" s="36"/>
      <c r="IX85" s="36"/>
      <c r="IY85" s="36"/>
      <c r="IZ85" s="36"/>
      <c r="JA85" s="36"/>
      <c r="JB85" s="36"/>
    </row>
    <row r="86" spans="1:262" s="9" customFormat="1" ht="12.6" customHeight="1">
      <c r="A86" s="327">
        <v>3121</v>
      </c>
      <c r="B86" s="8" t="s">
        <v>50</v>
      </c>
      <c r="C86" s="60">
        <f t="shared" si="42"/>
        <v>-30022</v>
      </c>
      <c r="D86" s="380">
        <f>'Unos rashoda i izdataka'!K5+'Unos rashoda i izdataka'!K14</f>
        <v>-66814</v>
      </c>
      <c r="E86" s="380"/>
      <c r="F86" s="380">
        <f>'Unos rashoda i izdataka'!K58</f>
        <v>36819</v>
      </c>
      <c r="G86" s="380"/>
      <c r="H86" s="380">
        <f>'Unos rashoda i izdataka'!K67</f>
        <v>-1127</v>
      </c>
      <c r="I86" s="380"/>
      <c r="J86" s="380">
        <f>'Unos rashoda i izdataka'!K106+'Unos rashoda P4'!I30</f>
        <v>1100</v>
      </c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6"/>
      <c r="HQ86" s="36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  <c r="IT86" s="36"/>
      <c r="IU86" s="36"/>
      <c r="IV86" s="36"/>
      <c r="IW86" s="36"/>
      <c r="IX86" s="36"/>
      <c r="IY86" s="36"/>
      <c r="IZ86" s="36"/>
      <c r="JA86" s="36"/>
      <c r="JB86" s="36"/>
    </row>
    <row r="87" spans="1:262" s="9" customFormat="1" ht="12.6" customHeight="1">
      <c r="A87" s="327">
        <v>313</v>
      </c>
      <c r="B87" s="8" t="s">
        <v>5262</v>
      </c>
      <c r="C87" s="60">
        <f t="shared" si="42"/>
        <v>-122974</v>
      </c>
      <c r="D87" s="380">
        <f>D88</f>
        <v>-103351</v>
      </c>
      <c r="E87" s="380">
        <f t="shared" ref="E87:V87" si="48">E88</f>
        <v>0</v>
      </c>
      <c r="F87" s="380">
        <f t="shared" si="48"/>
        <v>-4542</v>
      </c>
      <c r="G87" s="380">
        <f t="shared" si="48"/>
        <v>0</v>
      </c>
      <c r="H87" s="380">
        <f t="shared" si="48"/>
        <v>0</v>
      </c>
      <c r="I87" s="380">
        <f t="shared" si="48"/>
        <v>0</v>
      </c>
      <c r="J87" s="380">
        <f t="shared" si="48"/>
        <v>0</v>
      </c>
      <c r="K87" s="380">
        <f t="shared" si="48"/>
        <v>0</v>
      </c>
      <c r="L87" s="380">
        <f t="shared" si="48"/>
        <v>0</v>
      </c>
      <c r="M87" s="380">
        <f t="shared" si="48"/>
        <v>0</v>
      </c>
      <c r="N87" s="380">
        <f t="shared" si="48"/>
        <v>-15081</v>
      </c>
      <c r="O87" s="380">
        <f t="shared" si="48"/>
        <v>0</v>
      </c>
      <c r="P87" s="380">
        <f t="shared" si="48"/>
        <v>0</v>
      </c>
      <c r="Q87" s="380">
        <f t="shared" si="48"/>
        <v>0</v>
      </c>
      <c r="R87" s="380">
        <f t="shared" si="48"/>
        <v>0</v>
      </c>
      <c r="S87" s="380">
        <f t="shared" si="48"/>
        <v>0</v>
      </c>
      <c r="T87" s="380">
        <f t="shared" si="48"/>
        <v>0</v>
      </c>
      <c r="U87" s="380">
        <f t="shared" si="48"/>
        <v>0</v>
      </c>
      <c r="V87" s="380">
        <f t="shared" si="48"/>
        <v>0</v>
      </c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6"/>
      <c r="GL87" s="36"/>
      <c r="GM87" s="36"/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6"/>
      <c r="HB87" s="36"/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6"/>
      <c r="HQ87" s="36"/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6"/>
      <c r="IF87" s="36"/>
      <c r="IG87" s="36"/>
      <c r="IH87" s="36"/>
      <c r="II87" s="36"/>
      <c r="IJ87" s="36"/>
      <c r="IK87" s="36"/>
      <c r="IL87" s="36"/>
      <c r="IM87" s="36"/>
      <c r="IN87" s="36"/>
      <c r="IO87" s="36"/>
      <c r="IP87" s="36"/>
      <c r="IQ87" s="36"/>
      <c r="IR87" s="36"/>
      <c r="IS87" s="36"/>
      <c r="IT87" s="36"/>
      <c r="IU87" s="36"/>
      <c r="IV87" s="36"/>
      <c r="IW87" s="36"/>
      <c r="IX87" s="36"/>
      <c r="IY87" s="36"/>
      <c r="IZ87" s="36"/>
      <c r="JA87" s="36"/>
      <c r="JB87" s="36"/>
    </row>
    <row r="88" spans="1:262" s="9" customFormat="1" ht="12.6" customHeight="1">
      <c r="A88" s="327">
        <v>3132</v>
      </c>
      <c r="B88" s="8" t="s">
        <v>51</v>
      </c>
      <c r="C88" s="60">
        <f t="shared" si="42"/>
        <v>-122974</v>
      </c>
      <c r="D88" s="380">
        <f>'Unos rashoda i izdataka'!K6+'Unos rashoda i izdataka'!K15</f>
        <v>-103351</v>
      </c>
      <c r="E88" s="380"/>
      <c r="F88" s="380">
        <f>'Unos rashoda i izdataka'!K59</f>
        <v>-4542</v>
      </c>
      <c r="G88" s="380"/>
      <c r="H88" s="380"/>
      <c r="I88" s="380"/>
      <c r="J88" s="380">
        <f>'Unos rashoda i izdataka'!K107+'Unos rashoda P4'!I31</f>
        <v>0</v>
      </c>
      <c r="K88" s="380"/>
      <c r="L88" s="380"/>
      <c r="M88" s="380"/>
      <c r="N88" s="380">
        <f>'Unos rashoda P4'!I28</f>
        <v>-15081</v>
      </c>
      <c r="O88" s="380"/>
      <c r="P88" s="380"/>
      <c r="Q88" s="380"/>
      <c r="R88" s="380"/>
      <c r="S88" s="380"/>
      <c r="T88" s="380"/>
      <c r="U88" s="380"/>
      <c r="V88" s="380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6"/>
      <c r="HQ88" s="36"/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6"/>
      <c r="IF88" s="36"/>
      <c r="IG88" s="36"/>
      <c r="IH88" s="36"/>
      <c r="II88" s="36"/>
      <c r="IJ88" s="36"/>
      <c r="IK88" s="36"/>
      <c r="IL88" s="36"/>
      <c r="IM88" s="36"/>
      <c r="IN88" s="36"/>
      <c r="IO88" s="36"/>
      <c r="IP88" s="36"/>
      <c r="IQ88" s="36"/>
      <c r="IR88" s="36"/>
      <c r="IS88" s="36"/>
      <c r="IT88" s="36"/>
      <c r="IU88" s="36"/>
      <c r="IV88" s="36"/>
      <c r="IW88" s="36"/>
      <c r="IX88" s="36"/>
      <c r="IY88" s="36"/>
      <c r="IZ88" s="36"/>
      <c r="JA88" s="36"/>
      <c r="JB88" s="36"/>
    </row>
    <row r="89" spans="1:262" s="35" customFormat="1" ht="12.6" customHeight="1">
      <c r="A89" s="328">
        <v>32</v>
      </c>
      <c r="B89" s="10" t="s">
        <v>199</v>
      </c>
      <c r="C89" s="60">
        <f t="shared" si="42"/>
        <v>118768</v>
      </c>
      <c r="D89" s="380">
        <f>D90+D94+D100+D110+D112</f>
        <v>-30740</v>
      </c>
      <c r="E89" s="380">
        <f t="shared" ref="E89:V89" si="49">E90+E94+E100+E110+E112</f>
        <v>-20222</v>
      </c>
      <c r="F89" s="380">
        <f t="shared" si="49"/>
        <v>-7581</v>
      </c>
      <c r="G89" s="380">
        <f t="shared" si="49"/>
        <v>0</v>
      </c>
      <c r="H89" s="380">
        <f t="shared" si="49"/>
        <v>66672</v>
      </c>
      <c r="I89" s="380">
        <f t="shared" si="49"/>
        <v>0</v>
      </c>
      <c r="J89" s="380">
        <f t="shared" si="49"/>
        <v>53229</v>
      </c>
      <c r="K89" s="380">
        <f t="shared" si="49"/>
        <v>0</v>
      </c>
      <c r="L89" s="380">
        <f t="shared" si="49"/>
        <v>0</v>
      </c>
      <c r="M89" s="380">
        <f t="shared" si="49"/>
        <v>0</v>
      </c>
      <c r="N89" s="380">
        <f t="shared" si="49"/>
        <v>57410</v>
      </c>
      <c r="O89" s="380">
        <f t="shared" si="49"/>
        <v>0</v>
      </c>
      <c r="P89" s="380">
        <f t="shared" si="49"/>
        <v>0</v>
      </c>
      <c r="Q89" s="380">
        <f t="shared" si="49"/>
        <v>0</v>
      </c>
      <c r="R89" s="380">
        <f t="shared" si="49"/>
        <v>0</v>
      </c>
      <c r="S89" s="380">
        <f t="shared" si="49"/>
        <v>0</v>
      </c>
      <c r="T89" s="380">
        <f t="shared" si="49"/>
        <v>0</v>
      </c>
      <c r="U89" s="380">
        <f t="shared" si="49"/>
        <v>0</v>
      </c>
      <c r="V89" s="380">
        <f t="shared" si="49"/>
        <v>0</v>
      </c>
      <c r="GK89" s="36"/>
      <c r="GL89" s="36"/>
      <c r="GM89" s="36"/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6"/>
      <c r="HB89" s="36"/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6"/>
      <c r="HQ89" s="36"/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6"/>
      <c r="IF89" s="36"/>
      <c r="IG89" s="36"/>
      <c r="IH89" s="36"/>
      <c r="II89" s="36"/>
      <c r="IJ89" s="36"/>
      <c r="IK89" s="36"/>
      <c r="IL89" s="36"/>
      <c r="IM89" s="36"/>
      <c r="IN89" s="36"/>
      <c r="IO89" s="36"/>
      <c r="IP89" s="36"/>
      <c r="IQ89" s="36"/>
      <c r="IR89" s="36"/>
      <c r="IS89" s="36"/>
      <c r="IT89" s="36"/>
      <c r="IU89" s="36"/>
      <c r="IV89" s="36"/>
      <c r="IW89" s="36"/>
      <c r="IX89" s="36"/>
      <c r="IY89" s="36"/>
      <c r="IZ89" s="36"/>
      <c r="JA89" s="36"/>
      <c r="JB89" s="36"/>
    </row>
    <row r="90" spans="1:262" s="35" customFormat="1" ht="12.6" customHeight="1">
      <c r="A90" s="328">
        <v>321</v>
      </c>
      <c r="B90" s="10" t="s">
        <v>5263</v>
      </c>
      <c r="C90" s="60">
        <f t="shared" si="42"/>
        <v>13</v>
      </c>
      <c r="D90" s="380">
        <f>D91+D92+D93</f>
        <v>11179</v>
      </c>
      <c r="E90" s="380">
        <f t="shared" ref="E90" si="50">E91+E92+E93</f>
        <v>0</v>
      </c>
      <c r="F90" s="380">
        <f t="shared" ref="F90" si="51">F91+F92+F93</f>
        <v>-8081</v>
      </c>
      <c r="G90" s="380">
        <f t="shared" ref="G90" si="52">G91+G92+G93</f>
        <v>0</v>
      </c>
      <c r="H90" s="380">
        <f t="shared" ref="H90" si="53">H91+H92+H93</f>
        <v>-2456</v>
      </c>
      <c r="I90" s="380">
        <f t="shared" ref="I90" si="54">I91+I92+I93</f>
        <v>0</v>
      </c>
      <c r="J90" s="380">
        <f t="shared" ref="J90" si="55">J91+J92+J93</f>
        <v>407</v>
      </c>
      <c r="K90" s="380">
        <f t="shared" ref="K90" si="56">K91+K92+K93</f>
        <v>0</v>
      </c>
      <c r="L90" s="380">
        <f t="shared" ref="L90" si="57">L91+L92+L93</f>
        <v>0</v>
      </c>
      <c r="M90" s="380">
        <f t="shared" ref="M90" si="58">M91+M92+M93</f>
        <v>0</v>
      </c>
      <c r="N90" s="380">
        <f t="shared" ref="N90" si="59">N91+N92+N93</f>
        <v>-1036</v>
      </c>
      <c r="O90" s="380">
        <f t="shared" ref="O90" si="60">O91+O92+O93</f>
        <v>0</v>
      </c>
      <c r="P90" s="380">
        <f t="shared" ref="P90" si="61">P91+P92+P93</f>
        <v>0</v>
      </c>
      <c r="Q90" s="380">
        <f t="shared" ref="Q90" si="62">Q91+Q92+Q93</f>
        <v>0</v>
      </c>
      <c r="R90" s="380">
        <f t="shared" ref="R90" si="63">R91+R92+R93</f>
        <v>0</v>
      </c>
      <c r="S90" s="380">
        <f t="shared" ref="S90" si="64">S91+S92+S93</f>
        <v>0</v>
      </c>
      <c r="T90" s="380">
        <f t="shared" ref="T90" si="65">T91+T92+T93</f>
        <v>0</v>
      </c>
      <c r="U90" s="380">
        <f t="shared" ref="U90" si="66">U91+U92+U93</f>
        <v>0</v>
      </c>
      <c r="V90" s="380">
        <f t="shared" ref="V90" si="67">V91+V92+V93</f>
        <v>0</v>
      </c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6"/>
      <c r="HQ90" s="36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  <c r="IT90" s="36"/>
      <c r="IU90" s="36"/>
      <c r="IV90" s="36"/>
      <c r="IW90" s="36"/>
      <c r="IX90" s="36"/>
      <c r="IY90" s="36"/>
      <c r="IZ90" s="36"/>
      <c r="JA90" s="36"/>
      <c r="JB90" s="36"/>
    </row>
    <row r="91" spans="1:262" s="35" customFormat="1" ht="12.6" customHeight="1">
      <c r="A91" s="328">
        <v>3211</v>
      </c>
      <c r="B91" s="10" t="s">
        <v>78</v>
      </c>
      <c r="C91" s="60">
        <f t="shared" si="42"/>
        <v>2578</v>
      </c>
      <c r="D91" s="380">
        <f>'Unos rashoda i izdataka'!K16+'Unos rashoda i izdataka'!K122</f>
        <v>16179</v>
      </c>
      <c r="E91" s="380"/>
      <c r="F91" s="380">
        <f>'Unos rashoda i izdataka'!K60</f>
        <v>-8081</v>
      </c>
      <c r="G91" s="380"/>
      <c r="H91" s="380">
        <f>'Unos rashoda i izdataka'!K68</f>
        <v>-2291</v>
      </c>
      <c r="I91" s="380"/>
      <c r="J91" s="380">
        <f>'Unos rashoda i izdataka'!K108+'Unos rashoda P4'!I32</f>
        <v>-593</v>
      </c>
      <c r="K91" s="380"/>
      <c r="L91" s="380"/>
      <c r="M91" s="380"/>
      <c r="N91" s="380">
        <f>'Unos rashoda P4'!I24</f>
        <v>-2636</v>
      </c>
      <c r="O91" s="380"/>
      <c r="P91" s="380"/>
      <c r="Q91" s="380"/>
      <c r="R91" s="380"/>
      <c r="S91" s="380"/>
      <c r="T91" s="380"/>
      <c r="U91" s="380"/>
      <c r="V91" s="380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6"/>
      <c r="HB91" s="36"/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6"/>
      <c r="HQ91" s="36"/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6"/>
      <c r="IF91" s="36"/>
      <c r="IG91" s="36"/>
      <c r="IH91" s="36"/>
      <c r="II91" s="36"/>
      <c r="IJ91" s="36"/>
      <c r="IK91" s="36"/>
      <c r="IL91" s="36"/>
      <c r="IM91" s="36"/>
      <c r="IN91" s="36"/>
      <c r="IO91" s="36"/>
      <c r="IP91" s="36"/>
      <c r="IQ91" s="36"/>
      <c r="IR91" s="36"/>
      <c r="IS91" s="36"/>
      <c r="IT91" s="36"/>
      <c r="IU91" s="36"/>
      <c r="IV91" s="36"/>
      <c r="IW91" s="36"/>
      <c r="IX91" s="36"/>
      <c r="IY91" s="36"/>
      <c r="IZ91" s="36"/>
      <c r="JA91" s="36"/>
      <c r="JB91" s="36"/>
    </row>
    <row r="92" spans="1:262" s="35" customFormat="1" ht="12.6" customHeight="1">
      <c r="A92" s="328">
        <v>3212</v>
      </c>
      <c r="B92" s="10" t="s">
        <v>5284</v>
      </c>
      <c r="C92" s="60">
        <f t="shared" si="42"/>
        <v>-4000</v>
      </c>
      <c r="D92" s="380">
        <f>'Unos rashoda i izdataka'!K7</f>
        <v>-5000</v>
      </c>
      <c r="E92" s="380"/>
      <c r="F92" s="380"/>
      <c r="G92" s="380"/>
      <c r="H92" s="380"/>
      <c r="I92" s="380"/>
      <c r="J92" s="380">
        <f>'Unos rashoda i izdataka'!K109+'Unos rashoda P4'!I33</f>
        <v>1000</v>
      </c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6"/>
      <c r="HQ92" s="36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6"/>
      <c r="IF92" s="36"/>
      <c r="IG92" s="36"/>
      <c r="IH92" s="36"/>
      <c r="II92" s="36"/>
      <c r="IJ92" s="36"/>
      <c r="IK92" s="36"/>
      <c r="IL92" s="36"/>
      <c r="IM92" s="36"/>
      <c r="IN92" s="36"/>
      <c r="IO92" s="36"/>
      <c r="IP92" s="36"/>
      <c r="IQ92" s="36"/>
      <c r="IR92" s="36"/>
      <c r="IS92" s="36"/>
      <c r="IT92" s="36"/>
      <c r="IU92" s="36"/>
      <c r="IV92" s="36"/>
      <c r="IW92" s="36"/>
      <c r="IX92" s="36"/>
      <c r="IY92" s="36"/>
      <c r="IZ92" s="36"/>
      <c r="JA92" s="36"/>
      <c r="JB92" s="36"/>
    </row>
    <row r="93" spans="1:262" s="35" customFormat="1" ht="12.6" customHeight="1">
      <c r="A93" s="328">
        <v>3213</v>
      </c>
      <c r="B93" s="10" t="s">
        <v>97</v>
      </c>
      <c r="C93" s="60">
        <f t="shared" si="42"/>
        <v>1435</v>
      </c>
      <c r="D93" s="380">
        <f>'Unos rashoda i izdataka'!K17</f>
        <v>0</v>
      </c>
      <c r="E93" s="380"/>
      <c r="F93" s="380"/>
      <c r="G93" s="380"/>
      <c r="H93" s="380">
        <f>'Unos rashoda i izdataka'!K69</f>
        <v>-165</v>
      </c>
      <c r="I93" s="380"/>
      <c r="J93" s="380"/>
      <c r="K93" s="380"/>
      <c r="L93" s="380"/>
      <c r="M93" s="380"/>
      <c r="N93" s="380">
        <f>'Unos rashoda P4'!I25</f>
        <v>1600</v>
      </c>
      <c r="O93" s="380"/>
      <c r="P93" s="380"/>
      <c r="Q93" s="380"/>
      <c r="R93" s="380"/>
      <c r="S93" s="380"/>
      <c r="T93" s="380"/>
      <c r="U93" s="380"/>
      <c r="V93" s="380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6"/>
      <c r="HB93" s="36"/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6"/>
      <c r="HQ93" s="36"/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6"/>
      <c r="IF93" s="36"/>
      <c r="IG93" s="36"/>
      <c r="IH93" s="36"/>
      <c r="II93" s="36"/>
      <c r="IJ93" s="36"/>
      <c r="IK93" s="36"/>
      <c r="IL93" s="36"/>
      <c r="IM93" s="36"/>
      <c r="IN93" s="36"/>
      <c r="IO93" s="36"/>
      <c r="IP93" s="36"/>
      <c r="IQ93" s="36"/>
      <c r="IR93" s="36"/>
      <c r="IS93" s="36"/>
      <c r="IT93" s="36"/>
      <c r="IU93" s="36"/>
      <c r="IV93" s="36"/>
      <c r="IW93" s="36"/>
      <c r="IX93" s="36"/>
      <c r="IY93" s="36"/>
      <c r="IZ93" s="36"/>
      <c r="JA93" s="36"/>
      <c r="JB93" s="36"/>
    </row>
    <row r="94" spans="1:262" s="35" customFormat="1" ht="12.6" customHeight="1">
      <c r="A94" s="328">
        <v>322</v>
      </c>
      <c r="B94" s="10" t="s">
        <v>5285</v>
      </c>
      <c r="C94" s="60">
        <f t="shared" si="42"/>
        <v>-223567</v>
      </c>
      <c r="D94" s="380">
        <f>D95+D96+D97+D98+D99</f>
        <v>-197542</v>
      </c>
      <c r="E94" s="380">
        <f t="shared" ref="E94" si="68">E95+E96+E97+E98+E99</f>
        <v>0</v>
      </c>
      <c r="F94" s="380">
        <f t="shared" ref="F94" si="69">F95+F96+F97+F98+F99</f>
        <v>0</v>
      </c>
      <c r="G94" s="380">
        <f t="shared" ref="G94" si="70">G95+G96+G97+G98+G99</f>
        <v>0</v>
      </c>
      <c r="H94" s="380">
        <f t="shared" ref="H94" si="71">H95+H96+H97+H98+H99</f>
        <v>12475</v>
      </c>
      <c r="I94" s="380">
        <f t="shared" ref="I94" si="72">I95+I96+I97+I98+I99</f>
        <v>0</v>
      </c>
      <c r="J94" s="380">
        <f t="shared" ref="J94" si="73">J95+J96+J97+J98+J99</f>
        <v>0</v>
      </c>
      <c r="K94" s="380">
        <f t="shared" ref="K94" si="74">K95+K96+K97+K98+K99</f>
        <v>0</v>
      </c>
      <c r="L94" s="380">
        <f t="shared" ref="L94" si="75">L95+L96+L97+L98+L99</f>
        <v>0</v>
      </c>
      <c r="M94" s="380">
        <f t="shared" ref="M94" si="76">M95+M96+M97+M98+M99</f>
        <v>0</v>
      </c>
      <c r="N94" s="380">
        <f t="shared" ref="N94" si="77">N95+N96+N97+N98+N99</f>
        <v>-38500</v>
      </c>
      <c r="O94" s="380">
        <f t="shared" ref="O94" si="78">O95+O96+O97+O98+O99</f>
        <v>0</v>
      </c>
      <c r="P94" s="380">
        <f t="shared" ref="P94" si="79">P95+P96+P97+P98+P99</f>
        <v>0</v>
      </c>
      <c r="Q94" s="380">
        <f t="shared" ref="Q94" si="80">Q95+Q96+Q97+Q98+Q99</f>
        <v>0</v>
      </c>
      <c r="R94" s="380">
        <f t="shared" ref="R94" si="81">R95+R96+R97+R98+R99</f>
        <v>0</v>
      </c>
      <c r="S94" s="380">
        <f t="shared" ref="S94" si="82">S95+S96+S97+S98+S99</f>
        <v>0</v>
      </c>
      <c r="T94" s="380">
        <f t="shared" ref="T94" si="83">T95+T96+T97+T98+T99</f>
        <v>0</v>
      </c>
      <c r="U94" s="380">
        <f t="shared" ref="U94" si="84">U95+U96+U97+U98+U99</f>
        <v>0</v>
      </c>
      <c r="V94" s="380">
        <f t="shared" ref="V94" si="85">V95+V96+V97+V98+V99</f>
        <v>0</v>
      </c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  <c r="IU94" s="36"/>
      <c r="IV94" s="36"/>
      <c r="IW94" s="36"/>
      <c r="IX94" s="36"/>
      <c r="IY94" s="36"/>
      <c r="IZ94" s="36"/>
      <c r="JA94" s="36"/>
      <c r="JB94" s="36"/>
    </row>
    <row r="95" spans="1:262" s="35" customFormat="1" ht="12.6" customHeight="1">
      <c r="A95" s="328">
        <v>3221</v>
      </c>
      <c r="B95" s="10" t="s">
        <v>79</v>
      </c>
      <c r="C95" s="60">
        <f t="shared" si="42"/>
        <v>-26611</v>
      </c>
      <c r="D95" s="380">
        <f>'Unos rashoda i izdataka'!K18</f>
        <v>0</v>
      </c>
      <c r="E95" s="380"/>
      <c r="F95" s="380"/>
      <c r="G95" s="380"/>
      <c r="H95" s="380">
        <f>'Unos rashoda i izdataka'!K70</f>
        <v>12009</v>
      </c>
      <c r="I95" s="380"/>
      <c r="J95" s="380">
        <f>'Unos rashoda i izdataka'!K110+'Unos rashoda P4'!I34</f>
        <v>-120</v>
      </c>
      <c r="K95" s="380"/>
      <c r="L95" s="380"/>
      <c r="M95" s="380"/>
      <c r="N95" s="380">
        <f>'Unos rashoda P4'!I14</f>
        <v>-38500</v>
      </c>
      <c r="O95" s="380"/>
      <c r="P95" s="380"/>
      <c r="Q95" s="380"/>
      <c r="R95" s="380"/>
      <c r="S95" s="380"/>
      <c r="T95" s="380"/>
      <c r="U95" s="380"/>
      <c r="V95" s="380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  <c r="IW95" s="36"/>
      <c r="IX95" s="36"/>
      <c r="IY95" s="36"/>
      <c r="IZ95" s="36"/>
      <c r="JA95" s="36"/>
      <c r="JB95" s="36"/>
    </row>
    <row r="96" spans="1:262" s="35" customFormat="1" ht="12.6" customHeight="1">
      <c r="A96" s="328">
        <v>3223</v>
      </c>
      <c r="B96" s="10" t="s">
        <v>88</v>
      </c>
      <c r="C96" s="60">
        <f t="shared" si="42"/>
        <v>-189673</v>
      </c>
      <c r="D96" s="380">
        <f>'Unos rashoda i izdataka'!K19</f>
        <v>-186355</v>
      </c>
      <c r="E96" s="380"/>
      <c r="F96" s="380"/>
      <c r="G96" s="380"/>
      <c r="H96" s="380">
        <f>'Unos rashoda i izdataka'!K71</f>
        <v>-3318</v>
      </c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6"/>
      <c r="HB96" s="36"/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6"/>
      <c r="HQ96" s="36"/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6"/>
      <c r="IF96" s="36"/>
      <c r="IG96" s="36"/>
      <c r="IH96" s="36"/>
      <c r="II96" s="36"/>
      <c r="IJ96" s="36"/>
      <c r="IK96" s="36"/>
      <c r="IL96" s="36"/>
      <c r="IM96" s="36"/>
      <c r="IN96" s="36"/>
      <c r="IO96" s="36"/>
      <c r="IP96" s="36"/>
      <c r="IQ96" s="36"/>
      <c r="IR96" s="36"/>
      <c r="IS96" s="36"/>
      <c r="IT96" s="36"/>
      <c r="IU96" s="36"/>
      <c r="IV96" s="36"/>
      <c r="IW96" s="36"/>
      <c r="IX96" s="36"/>
      <c r="IY96" s="36"/>
      <c r="IZ96" s="36"/>
      <c r="JA96" s="36"/>
      <c r="JB96" s="36"/>
    </row>
    <row r="97" spans="1:262" s="35" customFormat="1" ht="12.6" customHeight="1">
      <c r="A97" s="328">
        <v>3224</v>
      </c>
      <c r="B97" s="10" t="s">
        <v>93</v>
      </c>
      <c r="C97" s="60">
        <f t="shared" si="42"/>
        <v>-455</v>
      </c>
      <c r="D97" s="380">
        <f>'Unos rashoda i izdataka'!K20</f>
        <v>-455</v>
      </c>
      <c r="E97" s="380"/>
      <c r="F97" s="380"/>
      <c r="G97" s="380"/>
      <c r="H97" s="380">
        <f>'Unos rashoda i izdataka'!K72</f>
        <v>0</v>
      </c>
      <c r="I97" s="380"/>
      <c r="J97" s="380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6"/>
      <c r="IK97" s="36"/>
      <c r="IL97" s="36"/>
      <c r="IM97" s="36"/>
      <c r="IN97" s="36"/>
      <c r="IO97" s="36"/>
      <c r="IP97" s="36"/>
      <c r="IQ97" s="36"/>
      <c r="IR97" s="36"/>
      <c r="IS97" s="36"/>
      <c r="IT97" s="36"/>
      <c r="IU97" s="36"/>
      <c r="IV97" s="36"/>
      <c r="IW97" s="36"/>
      <c r="IX97" s="36"/>
      <c r="IY97" s="36"/>
      <c r="IZ97" s="36"/>
      <c r="JA97" s="36"/>
      <c r="JB97" s="36"/>
    </row>
    <row r="98" spans="1:262" s="35" customFormat="1" ht="12.6" customHeight="1">
      <c r="A98" s="328">
        <v>3225</v>
      </c>
      <c r="B98" s="10" t="s">
        <v>101</v>
      </c>
      <c r="C98" s="60">
        <f t="shared" si="42"/>
        <v>-239</v>
      </c>
      <c r="D98" s="380">
        <f>'Unos rashoda i izdataka'!K21</f>
        <v>-4226</v>
      </c>
      <c r="E98" s="380"/>
      <c r="F98" s="380"/>
      <c r="G98" s="380"/>
      <c r="H98" s="380">
        <f>'Unos rashoda i izdataka'!K73</f>
        <v>3867</v>
      </c>
      <c r="I98" s="380"/>
      <c r="J98" s="380">
        <f>'Unos rashoda P4'!I35</f>
        <v>120</v>
      </c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  <c r="IS98" s="36"/>
      <c r="IT98" s="36"/>
      <c r="IU98" s="36"/>
      <c r="IV98" s="36"/>
      <c r="IW98" s="36"/>
      <c r="IX98" s="36"/>
      <c r="IY98" s="36"/>
      <c r="IZ98" s="36"/>
      <c r="JA98" s="36"/>
      <c r="JB98" s="36"/>
    </row>
    <row r="99" spans="1:262" s="35" customFormat="1" ht="12.6" customHeight="1">
      <c r="A99" s="328">
        <v>3227</v>
      </c>
      <c r="B99" s="10" t="s">
        <v>118</v>
      </c>
      <c r="C99" s="60">
        <f t="shared" si="42"/>
        <v>-6589</v>
      </c>
      <c r="D99" s="380">
        <f>'Unos rashoda i izdataka'!K22</f>
        <v>-6506</v>
      </c>
      <c r="E99" s="380"/>
      <c r="F99" s="380"/>
      <c r="G99" s="380"/>
      <c r="H99" s="380">
        <f>'Unos rashoda i izdataka'!K74</f>
        <v>-83</v>
      </c>
      <c r="I99" s="380"/>
      <c r="J99" s="380"/>
      <c r="K99" s="380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  <c r="IW99" s="36"/>
      <c r="IX99" s="36"/>
      <c r="IY99" s="36"/>
      <c r="IZ99" s="36"/>
      <c r="JA99" s="36"/>
      <c r="JB99" s="36"/>
    </row>
    <row r="100" spans="1:262" s="35" customFormat="1" ht="12.6" customHeight="1">
      <c r="A100" s="328">
        <v>323</v>
      </c>
      <c r="B100" s="10" t="s">
        <v>5286</v>
      </c>
      <c r="C100" s="60">
        <f t="shared" si="42"/>
        <v>145730</v>
      </c>
      <c r="D100" s="380">
        <f>D101+D102+D103+D104+D105+D106+D107+D108++D109</f>
        <v>63463</v>
      </c>
      <c r="E100" s="380">
        <f t="shared" ref="E100:V100" si="86">E101+E102+E103+E104+E105+E106+E107+E108++E109</f>
        <v>-22600</v>
      </c>
      <c r="F100" s="380">
        <f t="shared" si="86"/>
        <v>0</v>
      </c>
      <c r="G100" s="380">
        <f t="shared" si="86"/>
        <v>0</v>
      </c>
      <c r="H100" s="380">
        <f t="shared" si="86"/>
        <v>12322</v>
      </c>
      <c r="I100" s="380">
        <f t="shared" si="86"/>
        <v>0</v>
      </c>
      <c r="J100" s="380">
        <f t="shared" si="86"/>
        <v>9075</v>
      </c>
      <c r="K100" s="380">
        <f t="shared" si="86"/>
        <v>0</v>
      </c>
      <c r="L100" s="380">
        <f t="shared" si="86"/>
        <v>0</v>
      </c>
      <c r="M100" s="380">
        <f t="shared" si="86"/>
        <v>0</v>
      </c>
      <c r="N100" s="380">
        <f t="shared" si="86"/>
        <v>83470</v>
      </c>
      <c r="O100" s="380">
        <f t="shared" si="86"/>
        <v>0</v>
      </c>
      <c r="P100" s="380">
        <f t="shared" si="86"/>
        <v>0</v>
      </c>
      <c r="Q100" s="380">
        <f t="shared" si="86"/>
        <v>0</v>
      </c>
      <c r="R100" s="380">
        <f t="shared" si="86"/>
        <v>0</v>
      </c>
      <c r="S100" s="380">
        <f t="shared" si="86"/>
        <v>0</v>
      </c>
      <c r="T100" s="380">
        <f t="shared" si="86"/>
        <v>0</v>
      </c>
      <c r="U100" s="380">
        <f t="shared" si="86"/>
        <v>0</v>
      </c>
      <c r="V100" s="380">
        <f t="shared" si="86"/>
        <v>0</v>
      </c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  <c r="IW100" s="36"/>
      <c r="IX100" s="36"/>
      <c r="IY100" s="36"/>
      <c r="IZ100" s="36"/>
      <c r="JA100" s="36"/>
      <c r="JB100" s="36"/>
    </row>
    <row r="101" spans="1:262" s="35" customFormat="1" ht="12.6" customHeight="1">
      <c r="A101" s="328">
        <v>3231</v>
      </c>
      <c r="B101" s="10" t="s">
        <v>102</v>
      </c>
      <c r="C101" s="60">
        <f t="shared" si="42"/>
        <v>11895</v>
      </c>
      <c r="D101" s="380">
        <f>'Unos rashoda i izdataka'!K23+'Unos rashoda i izdataka'!K123</f>
        <v>1885</v>
      </c>
      <c r="E101" s="380"/>
      <c r="F101" s="380"/>
      <c r="G101" s="380"/>
      <c r="H101" s="380">
        <f>'Unos rashoda i izdataka'!K75</f>
        <v>10010</v>
      </c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  <c r="IV101" s="36"/>
      <c r="IW101" s="36"/>
      <c r="IX101" s="36"/>
      <c r="IY101" s="36"/>
      <c r="IZ101" s="36"/>
      <c r="JA101" s="36"/>
      <c r="JB101" s="36"/>
    </row>
    <row r="102" spans="1:262" s="35" customFormat="1" ht="12.6" customHeight="1">
      <c r="A102" s="328">
        <v>3232</v>
      </c>
      <c r="B102" s="10" t="s">
        <v>89</v>
      </c>
      <c r="C102" s="60">
        <f t="shared" si="42"/>
        <v>11555</v>
      </c>
      <c r="D102" s="380">
        <f>'Unos rashoda i izdataka'!K24</f>
        <v>0</v>
      </c>
      <c r="E102" s="380"/>
      <c r="F102" s="380"/>
      <c r="G102" s="380"/>
      <c r="H102" s="380">
        <f>'Unos rashoda i izdataka'!K76</f>
        <v>1100</v>
      </c>
      <c r="I102" s="380"/>
      <c r="J102" s="380"/>
      <c r="K102" s="380"/>
      <c r="L102" s="380"/>
      <c r="M102" s="380"/>
      <c r="N102" s="380">
        <f>'Unos rashoda P4'!I15</f>
        <v>10455</v>
      </c>
      <c r="O102" s="380"/>
      <c r="P102" s="380"/>
      <c r="Q102" s="380"/>
      <c r="R102" s="380"/>
      <c r="S102" s="380"/>
      <c r="T102" s="380"/>
      <c r="U102" s="380"/>
      <c r="V102" s="380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  <c r="IV102" s="36"/>
      <c r="IW102" s="36"/>
      <c r="IX102" s="36"/>
      <c r="IY102" s="36"/>
      <c r="IZ102" s="36"/>
      <c r="JA102" s="36"/>
      <c r="JB102" s="36"/>
    </row>
    <row r="103" spans="1:262" s="35" customFormat="1" ht="12.6" customHeight="1">
      <c r="A103" s="328">
        <v>3233</v>
      </c>
      <c r="B103" s="10" t="s">
        <v>77</v>
      </c>
      <c r="C103" s="60">
        <f t="shared" si="42"/>
        <v>15829</v>
      </c>
      <c r="D103" s="380">
        <f>'Unos rashoda i izdataka'!K25+'Unos rashoda i izdataka'!K124</f>
        <v>-1071</v>
      </c>
      <c r="E103" s="380"/>
      <c r="F103" s="380"/>
      <c r="G103" s="380"/>
      <c r="H103" s="380">
        <f>'Unos rashoda i izdataka'!K77</f>
        <v>18</v>
      </c>
      <c r="I103" s="380"/>
      <c r="J103" s="380">
        <f>'Unos rashoda P4'!I36</f>
        <v>0</v>
      </c>
      <c r="K103" s="380"/>
      <c r="L103" s="380"/>
      <c r="M103" s="380"/>
      <c r="N103" s="380">
        <f>'Unos rashoda P4'!I16+'Unos rashoda P4'!I26</f>
        <v>16882</v>
      </c>
      <c r="O103" s="380"/>
      <c r="P103" s="380"/>
      <c r="Q103" s="380"/>
      <c r="R103" s="380"/>
      <c r="S103" s="380"/>
      <c r="T103" s="380"/>
      <c r="U103" s="380"/>
      <c r="V103" s="380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  <c r="IV103" s="36"/>
      <c r="IW103" s="36"/>
      <c r="IX103" s="36"/>
      <c r="IY103" s="36"/>
      <c r="IZ103" s="36"/>
      <c r="JA103" s="36"/>
      <c r="JB103" s="36"/>
    </row>
    <row r="104" spans="1:262" s="35" customFormat="1" ht="12.6" customHeight="1">
      <c r="A104" s="328">
        <v>3234</v>
      </c>
      <c r="B104" s="10" t="s">
        <v>90</v>
      </c>
      <c r="C104" s="60">
        <f t="shared" si="42"/>
        <v>170</v>
      </c>
      <c r="D104" s="380">
        <f>'Unos rashoda i izdataka'!K26</f>
        <v>302</v>
      </c>
      <c r="E104" s="380"/>
      <c r="F104" s="380"/>
      <c r="G104" s="380"/>
      <c r="H104" s="380">
        <f>'Unos rashoda i izdataka'!K78</f>
        <v>-132</v>
      </c>
      <c r="I104" s="380"/>
      <c r="J104" s="380"/>
      <c r="K104" s="380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  <c r="IL104" s="36"/>
      <c r="IM104" s="36"/>
      <c r="IN104" s="36"/>
      <c r="IO104" s="36"/>
      <c r="IP104" s="36"/>
      <c r="IQ104" s="36"/>
      <c r="IR104" s="36"/>
      <c r="IS104" s="36"/>
      <c r="IT104" s="36"/>
      <c r="IU104" s="36"/>
      <c r="IV104" s="36"/>
      <c r="IW104" s="36"/>
      <c r="IX104" s="36"/>
      <c r="IY104" s="36"/>
      <c r="IZ104" s="36"/>
      <c r="JA104" s="36"/>
      <c r="JB104" s="36"/>
    </row>
    <row r="105" spans="1:262" s="35" customFormat="1" ht="12.6" customHeight="1">
      <c r="A105" s="328">
        <v>3235</v>
      </c>
      <c r="B105" s="10" t="s">
        <v>110</v>
      </c>
      <c r="C105" s="60">
        <f t="shared" si="42"/>
        <v>27285</v>
      </c>
      <c r="D105" s="380">
        <f>'Unos rashoda i izdataka'!K27</f>
        <v>26212</v>
      </c>
      <c r="E105" s="380"/>
      <c r="F105" s="380"/>
      <c r="G105" s="380"/>
      <c r="H105" s="380">
        <f>'Unos rashoda i izdataka'!K79</f>
        <v>1073</v>
      </c>
      <c r="I105" s="380"/>
      <c r="J105" s="380"/>
      <c r="K105" s="380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  <c r="IT105" s="36"/>
      <c r="IU105" s="36"/>
      <c r="IV105" s="36"/>
      <c r="IW105" s="36"/>
      <c r="IX105" s="36"/>
      <c r="IY105" s="36"/>
      <c r="IZ105" s="36"/>
      <c r="JA105" s="36"/>
      <c r="JB105" s="36"/>
    </row>
    <row r="106" spans="1:262" s="35" customFormat="1" ht="12.6" customHeight="1">
      <c r="A106" s="328">
        <v>3236</v>
      </c>
      <c r="B106" s="10" t="s">
        <v>53</v>
      </c>
      <c r="C106" s="60">
        <f t="shared" si="42"/>
        <v>-12948</v>
      </c>
      <c r="D106" s="380">
        <f>'Unos rashoda i izdataka'!K8+'Unos rashoda i izdataka'!K28</f>
        <v>-12948</v>
      </c>
      <c r="E106" s="380"/>
      <c r="F106" s="380"/>
      <c r="G106" s="380"/>
      <c r="H106" s="380">
        <f>'Unos rashoda i izdataka'!K80</f>
        <v>0</v>
      </c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6"/>
      <c r="IK106" s="36"/>
      <c r="IL106" s="36"/>
      <c r="IM106" s="36"/>
      <c r="IN106" s="36"/>
      <c r="IO106" s="36"/>
      <c r="IP106" s="36"/>
      <c r="IQ106" s="36"/>
      <c r="IR106" s="36"/>
      <c r="IS106" s="36"/>
      <c r="IT106" s="36"/>
      <c r="IU106" s="36"/>
      <c r="IV106" s="36"/>
      <c r="IW106" s="36"/>
      <c r="IX106" s="36"/>
      <c r="IY106" s="36"/>
      <c r="IZ106" s="36"/>
      <c r="JA106" s="36"/>
      <c r="JB106" s="36"/>
    </row>
    <row r="107" spans="1:262" s="35" customFormat="1" ht="12.6" customHeight="1">
      <c r="A107" s="328">
        <v>3237</v>
      </c>
      <c r="B107" s="10" t="s">
        <v>66</v>
      </c>
      <c r="C107" s="60">
        <f t="shared" si="42"/>
        <v>23341</v>
      </c>
      <c r="D107" s="380">
        <f>'Unos rashoda i izdataka'!K29+'Unos rashoda i izdataka'!K121+'Unos rashoda i izdataka'!K127</f>
        <v>31533</v>
      </c>
      <c r="E107" s="380">
        <f>'Unos rashoda P4'!I6</f>
        <v>-22600</v>
      </c>
      <c r="F107" s="380"/>
      <c r="G107" s="380"/>
      <c r="H107" s="380">
        <f>'Unos rashoda i izdataka'!K81</f>
        <v>0</v>
      </c>
      <c r="I107" s="380"/>
      <c r="J107" s="380">
        <f>'Unos rashoda i izdataka'!K111+'Unos rashoda P4'!I37</f>
        <v>9275</v>
      </c>
      <c r="K107" s="380"/>
      <c r="L107" s="380"/>
      <c r="M107" s="380"/>
      <c r="N107" s="380">
        <f>'Unos rashoda P4'!I5+'Unos rashoda P4'!I22</f>
        <v>5133</v>
      </c>
      <c r="O107" s="380"/>
      <c r="P107" s="380"/>
      <c r="Q107" s="380"/>
      <c r="R107" s="380"/>
      <c r="S107" s="380"/>
      <c r="T107" s="380"/>
      <c r="U107" s="380"/>
      <c r="V107" s="380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  <c r="IW107" s="36"/>
      <c r="IX107" s="36"/>
      <c r="IY107" s="36"/>
      <c r="IZ107" s="36"/>
      <c r="JA107" s="36"/>
      <c r="JB107" s="36"/>
    </row>
    <row r="108" spans="1:262" s="35" customFormat="1" ht="12.6" customHeight="1">
      <c r="A108" s="328">
        <v>3238</v>
      </c>
      <c r="B108" s="10" t="s">
        <v>103</v>
      </c>
      <c r="C108" s="60">
        <f t="shared" si="42"/>
        <v>-7579</v>
      </c>
      <c r="D108" s="380">
        <f>'Unos rashoda i izdataka'!K30</f>
        <v>-8414</v>
      </c>
      <c r="E108" s="380"/>
      <c r="F108" s="380"/>
      <c r="G108" s="380"/>
      <c r="H108" s="380">
        <f>'Unos rashoda i izdataka'!K82</f>
        <v>-165</v>
      </c>
      <c r="I108" s="380"/>
      <c r="J108" s="380"/>
      <c r="K108" s="380"/>
      <c r="L108" s="380"/>
      <c r="M108" s="380"/>
      <c r="N108" s="380">
        <f>'Unos rashoda P4'!I17</f>
        <v>1000</v>
      </c>
      <c r="O108" s="380"/>
      <c r="P108" s="380"/>
      <c r="Q108" s="380"/>
      <c r="R108" s="380"/>
      <c r="S108" s="380"/>
      <c r="T108" s="380"/>
      <c r="U108" s="380"/>
      <c r="V108" s="380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  <c r="IW108" s="36"/>
      <c r="IX108" s="36"/>
      <c r="IY108" s="36"/>
      <c r="IZ108" s="36"/>
      <c r="JA108" s="36"/>
      <c r="JB108" s="36"/>
    </row>
    <row r="109" spans="1:262" s="35" customFormat="1" ht="12.6" customHeight="1">
      <c r="A109" s="328">
        <v>3239</v>
      </c>
      <c r="B109" s="10" t="s">
        <v>83</v>
      </c>
      <c r="C109" s="60">
        <f t="shared" si="42"/>
        <v>76182</v>
      </c>
      <c r="D109" s="380">
        <f>'Unos rashoda i izdataka'!K31</f>
        <v>25964</v>
      </c>
      <c r="E109" s="380"/>
      <c r="F109" s="380"/>
      <c r="G109" s="380"/>
      <c r="H109" s="380">
        <f>'Unos rashoda i izdataka'!K83</f>
        <v>418</v>
      </c>
      <c r="I109" s="380"/>
      <c r="J109" s="380">
        <f>'Unos rashoda i izdataka'!K112+'Unos rashoda P4'!I38</f>
        <v>-200</v>
      </c>
      <c r="K109" s="380"/>
      <c r="L109" s="380"/>
      <c r="M109" s="380"/>
      <c r="N109" s="380">
        <f>'Unos rashoda P4'!I18</f>
        <v>50000</v>
      </c>
      <c r="O109" s="380"/>
      <c r="P109" s="380"/>
      <c r="Q109" s="380"/>
      <c r="R109" s="380"/>
      <c r="S109" s="380"/>
      <c r="T109" s="380"/>
      <c r="U109" s="380"/>
      <c r="V109" s="380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  <c r="IV109" s="36"/>
      <c r="IW109" s="36"/>
      <c r="IX109" s="36"/>
      <c r="IY109" s="36"/>
      <c r="IZ109" s="36"/>
      <c r="JA109" s="36"/>
      <c r="JB109" s="36"/>
    </row>
    <row r="110" spans="1:262" s="35" customFormat="1" ht="12.6" customHeight="1">
      <c r="A110" s="328">
        <v>324</v>
      </c>
      <c r="B110" s="10" t="s">
        <v>80</v>
      </c>
      <c r="C110" s="60">
        <f t="shared" si="42"/>
        <v>10393</v>
      </c>
      <c r="D110" s="380">
        <f>D111</f>
        <v>3393</v>
      </c>
      <c r="E110" s="380">
        <f t="shared" ref="E110:V110" si="87">E111</f>
        <v>0</v>
      </c>
      <c r="F110" s="380">
        <f t="shared" si="87"/>
        <v>0</v>
      </c>
      <c r="G110" s="380">
        <f t="shared" si="87"/>
        <v>0</v>
      </c>
      <c r="H110" s="380">
        <f t="shared" si="87"/>
        <v>7000</v>
      </c>
      <c r="I110" s="380">
        <f t="shared" si="87"/>
        <v>0</v>
      </c>
      <c r="J110" s="380">
        <f t="shared" si="87"/>
        <v>0</v>
      </c>
      <c r="K110" s="380">
        <f t="shared" si="87"/>
        <v>0</v>
      </c>
      <c r="L110" s="380">
        <f t="shared" si="87"/>
        <v>0</v>
      </c>
      <c r="M110" s="380">
        <f t="shared" si="87"/>
        <v>0</v>
      </c>
      <c r="N110" s="380">
        <f t="shared" si="87"/>
        <v>0</v>
      </c>
      <c r="O110" s="380">
        <f t="shared" si="87"/>
        <v>0</v>
      </c>
      <c r="P110" s="380">
        <f t="shared" si="87"/>
        <v>0</v>
      </c>
      <c r="Q110" s="380">
        <f t="shared" si="87"/>
        <v>0</v>
      </c>
      <c r="R110" s="380">
        <f t="shared" si="87"/>
        <v>0</v>
      </c>
      <c r="S110" s="380">
        <f t="shared" si="87"/>
        <v>0</v>
      </c>
      <c r="T110" s="380">
        <f t="shared" si="87"/>
        <v>0</v>
      </c>
      <c r="U110" s="380">
        <f t="shared" si="87"/>
        <v>0</v>
      </c>
      <c r="V110" s="380">
        <f t="shared" si="87"/>
        <v>0</v>
      </c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6"/>
      <c r="IK110" s="36"/>
      <c r="IL110" s="36"/>
      <c r="IM110" s="36"/>
      <c r="IN110" s="36"/>
      <c r="IO110" s="36"/>
      <c r="IP110" s="36"/>
      <c r="IQ110" s="36"/>
      <c r="IR110" s="36"/>
      <c r="IS110" s="36"/>
      <c r="IT110" s="36"/>
      <c r="IU110" s="36"/>
      <c r="IV110" s="36"/>
      <c r="IW110" s="36"/>
      <c r="IX110" s="36"/>
      <c r="IY110" s="36"/>
      <c r="IZ110" s="36"/>
      <c r="JA110" s="36"/>
      <c r="JB110" s="36"/>
    </row>
    <row r="111" spans="1:262" s="35" customFormat="1" ht="12.6" customHeight="1">
      <c r="A111" s="328">
        <v>3241</v>
      </c>
      <c r="B111" s="10" t="s">
        <v>80</v>
      </c>
      <c r="C111" s="60">
        <f t="shared" si="42"/>
        <v>10393</v>
      </c>
      <c r="D111" s="380">
        <f>'Unos rashoda i izdataka'!K32+'Unos rashoda i izdataka'!K125</f>
        <v>3393</v>
      </c>
      <c r="E111" s="380"/>
      <c r="F111" s="380"/>
      <c r="G111" s="380"/>
      <c r="H111" s="380">
        <f>'Unos rashoda i izdataka'!K84</f>
        <v>7000</v>
      </c>
      <c r="I111" s="380"/>
      <c r="J111" s="380">
        <f>'Unos rashoda i izdataka'!K113+'Unos rashoda P4'!I39</f>
        <v>0</v>
      </c>
      <c r="K111" s="380"/>
      <c r="L111" s="380"/>
      <c r="M111" s="380"/>
      <c r="N111" s="380"/>
      <c r="O111" s="380"/>
      <c r="P111" s="380"/>
      <c r="Q111" s="380"/>
      <c r="R111" s="380"/>
      <c r="S111" s="380"/>
      <c r="T111" s="380"/>
      <c r="U111" s="380"/>
      <c r="V111" s="380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  <c r="IW111" s="36"/>
      <c r="IX111" s="36"/>
      <c r="IY111" s="36"/>
      <c r="IZ111" s="36"/>
      <c r="JA111" s="36"/>
      <c r="JB111" s="36"/>
    </row>
    <row r="112" spans="1:262" s="35" customFormat="1" ht="12.6" customHeight="1">
      <c r="A112" s="328">
        <v>329</v>
      </c>
      <c r="B112" s="10" t="s">
        <v>57</v>
      </c>
      <c r="C112" s="60">
        <f t="shared" si="42"/>
        <v>186199</v>
      </c>
      <c r="D112" s="380">
        <f>D113+D114+D115+D116+D117+D118</f>
        <v>88767</v>
      </c>
      <c r="E112" s="380">
        <f t="shared" ref="E112" si="88">E113+E114+E115+E116+E117+E118</f>
        <v>2378</v>
      </c>
      <c r="F112" s="380">
        <f t="shared" ref="F112" si="89">F113+F114+F115+F116+F117+F118</f>
        <v>500</v>
      </c>
      <c r="G112" s="380">
        <f t="shared" ref="G112" si="90">G113+G114+G115+G116+G117+G118</f>
        <v>0</v>
      </c>
      <c r="H112" s="380">
        <f t="shared" ref="H112" si="91">H113+H114+H115+H116+H117+H118</f>
        <v>37331</v>
      </c>
      <c r="I112" s="380">
        <f t="shared" ref="I112" si="92">I113+I114+I115+I116+I117+I118</f>
        <v>0</v>
      </c>
      <c r="J112" s="380">
        <f t="shared" ref="J112" si="93">J113+J114+J115+J116+J117+J118</f>
        <v>43747</v>
      </c>
      <c r="K112" s="380">
        <f t="shared" ref="K112" si="94">K113+K114+K115+K116+K117+K118</f>
        <v>0</v>
      </c>
      <c r="L112" s="380">
        <f t="shared" ref="L112" si="95">L113+L114+L115+L116+L117+L118</f>
        <v>0</v>
      </c>
      <c r="M112" s="380">
        <f t="shared" ref="M112" si="96">M113+M114+M115+M116+M117+M118</f>
        <v>0</v>
      </c>
      <c r="N112" s="380">
        <f t="shared" ref="N112" si="97">N113+N114+N115+N116+N117+N118</f>
        <v>13476</v>
      </c>
      <c r="O112" s="380">
        <f t="shared" ref="O112" si="98">O113+O114+O115+O116+O117+O118</f>
        <v>0</v>
      </c>
      <c r="P112" s="380">
        <f t="shared" ref="P112" si="99">P113+P114+P115+P116+P117+P118</f>
        <v>0</v>
      </c>
      <c r="Q112" s="380">
        <f t="shared" ref="Q112" si="100">Q113+Q114+Q115+Q116+Q117+Q118</f>
        <v>0</v>
      </c>
      <c r="R112" s="380">
        <f t="shared" ref="R112" si="101">R113+R114+R115+R116+R117+R118</f>
        <v>0</v>
      </c>
      <c r="S112" s="380">
        <f t="shared" ref="S112" si="102">S113+S114+S115+S116+S117+S118</f>
        <v>0</v>
      </c>
      <c r="T112" s="380">
        <f t="shared" ref="T112" si="103">T113+T114+T115+T116+T117+T118</f>
        <v>0</v>
      </c>
      <c r="U112" s="380">
        <f t="shared" ref="U112" si="104">U113+U114+U115+U116+U117+U118</f>
        <v>0</v>
      </c>
      <c r="V112" s="380">
        <f t="shared" ref="V112" si="105">V113+V114+V115+V116+V117+V118</f>
        <v>0</v>
      </c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  <c r="IU112" s="36"/>
      <c r="IV112" s="36"/>
      <c r="IW112" s="36"/>
      <c r="IX112" s="36"/>
      <c r="IY112" s="36"/>
      <c r="IZ112" s="36"/>
      <c r="JA112" s="36"/>
      <c r="JB112" s="36"/>
    </row>
    <row r="113" spans="1:262" s="35" customFormat="1" ht="12.6" customHeight="1">
      <c r="A113" s="328">
        <v>3292</v>
      </c>
      <c r="B113" s="10" t="s">
        <v>74</v>
      </c>
      <c r="C113" s="60">
        <f t="shared" si="42"/>
        <v>2809</v>
      </c>
      <c r="D113" s="380">
        <f>'Unos rashoda i izdataka'!K33</f>
        <v>2809</v>
      </c>
      <c r="E113" s="380"/>
      <c r="F113" s="380"/>
      <c r="G113" s="380"/>
      <c r="H113" s="380">
        <f>'Unos rashoda i izdataka'!K85</f>
        <v>0</v>
      </c>
      <c r="I113" s="380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6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  <c r="IU113" s="36"/>
      <c r="IV113" s="36"/>
      <c r="IW113" s="36"/>
      <c r="IX113" s="36"/>
      <c r="IY113" s="36"/>
      <c r="IZ113" s="36"/>
      <c r="JA113" s="36"/>
      <c r="JB113" s="36"/>
    </row>
    <row r="114" spans="1:262" s="35" customFormat="1" ht="12.6" customHeight="1">
      <c r="A114" s="328">
        <v>3293</v>
      </c>
      <c r="B114" s="10" t="s">
        <v>84</v>
      </c>
      <c r="C114" s="60">
        <f t="shared" si="42"/>
        <v>-27678</v>
      </c>
      <c r="D114" s="380">
        <f>'Unos rashoda i izdataka'!K34+'Unos rashoda i izdataka'!K126</f>
        <v>21439</v>
      </c>
      <c r="E114" s="380"/>
      <c r="F114" s="380">
        <f>'Unos rashoda i izdataka'!K61</f>
        <v>500</v>
      </c>
      <c r="G114" s="380"/>
      <c r="H114" s="380">
        <f>'Unos rashoda i izdataka'!K86</f>
        <v>0</v>
      </c>
      <c r="I114" s="380"/>
      <c r="J114" s="380">
        <f>'Unos rashoda P4'!I40</f>
        <v>-49617</v>
      </c>
      <c r="K114" s="380"/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6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6"/>
      <c r="IV114" s="36"/>
      <c r="IW114" s="36"/>
      <c r="IX114" s="36"/>
      <c r="IY114" s="36"/>
      <c r="IZ114" s="36"/>
      <c r="JA114" s="36"/>
      <c r="JB114" s="36"/>
    </row>
    <row r="115" spans="1:262" s="35" customFormat="1" ht="12.6" customHeight="1">
      <c r="A115" s="328">
        <v>3294</v>
      </c>
      <c r="B115" s="10" t="s">
        <v>85</v>
      </c>
      <c r="C115" s="60">
        <f t="shared" si="42"/>
        <v>0</v>
      </c>
      <c r="D115" s="380">
        <f>'Unos rashoda i izdataka'!K35</f>
        <v>0</v>
      </c>
      <c r="E115" s="380"/>
      <c r="F115" s="380"/>
      <c r="G115" s="380"/>
      <c r="H115" s="380">
        <f>'Unos rashoda i izdataka'!K87</f>
        <v>0</v>
      </c>
      <c r="I115" s="380"/>
      <c r="J115" s="380"/>
      <c r="K115" s="380"/>
      <c r="L115" s="380"/>
      <c r="M115" s="380"/>
      <c r="N115" s="380"/>
      <c r="O115" s="380"/>
      <c r="P115" s="380"/>
      <c r="Q115" s="380"/>
      <c r="R115" s="380"/>
      <c r="S115" s="380"/>
      <c r="T115" s="380"/>
      <c r="U115" s="380"/>
      <c r="V115" s="380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  <c r="IV115" s="36"/>
      <c r="IW115" s="36"/>
      <c r="IX115" s="36"/>
      <c r="IY115" s="36"/>
      <c r="IZ115" s="36"/>
      <c r="JA115" s="36"/>
      <c r="JB115" s="36"/>
    </row>
    <row r="116" spans="1:262" s="35" customFormat="1" ht="12.6" customHeight="1">
      <c r="A116" s="328">
        <v>3295</v>
      </c>
      <c r="B116" s="10" t="s">
        <v>5287</v>
      </c>
      <c r="C116" s="60">
        <f t="shared" si="42"/>
        <v>19915</v>
      </c>
      <c r="D116" s="380">
        <f>'Unos rashoda i izdataka'!K9+'Unos rashoda i izdataka'!K36</f>
        <v>4061</v>
      </c>
      <c r="E116" s="380">
        <f>'Unos rashoda P4'!I7</f>
        <v>2378</v>
      </c>
      <c r="F116" s="380"/>
      <c r="G116" s="380"/>
      <c r="H116" s="380">
        <f>'Unos rashoda i izdataka'!K88</f>
        <v>0</v>
      </c>
      <c r="I116" s="380"/>
      <c r="J116" s="380"/>
      <c r="K116" s="380"/>
      <c r="L116" s="380"/>
      <c r="M116" s="380"/>
      <c r="N116" s="380">
        <f>'Unos rashoda P4'!I8</f>
        <v>13476</v>
      </c>
      <c r="O116" s="380"/>
      <c r="P116" s="380"/>
      <c r="Q116" s="380"/>
      <c r="R116" s="380"/>
      <c r="S116" s="380"/>
      <c r="T116" s="380"/>
      <c r="U116" s="380"/>
      <c r="V116" s="380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6"/>
      <c r="IL116" s="36"/>
      <c r="IM116" s="36"/>
      <c r="IN116" s="36"/>
      <c r="IO116" s="36"/>
      <c r="IP116" s="36"/>
      <c r="IQ116" s="36"/>
      <c r="IR116" s="36"/>
      <c r="IS116" s="36"/>
      <c r="IT116" s="36"/>
      <c r="IU116" s="36"/>
      <c r="IV116" s="36"/>
      <c r="IW116" s="36"/>
      <c r="IX116" s="36"/>
      <c r="IY116" s="36"/>
      <c r="IZ116" s="36"/>
      <c r="JA116" s="36"/>
      <c r="JB116" s="36"/>
    </row>
    <row r="117" spans="1:262" s="35" customFormat="1" ht="12.6" customHeight="1">
      <c r="A117" s="328">
        <v>3296</v>
      </c>
      <c r="B117" s="10" t="s">
        <v>148</v>
      </c>
      <c r="C117" s="60">
        <f t="shared" si="42"/>
        <v>16000</v>
      </c>
      <c r="D117" s="380">
        <f>'Unos rashoda i izdataka'!K37</f>
        <v>16000</v>
      </c>
      <c r="E117" s="380"/>
      <c r="F117" s="380"/>
      <c r="G117" s="380"/>
      <c r="H117" s="380"/>
      <c r="I117" s="380"/>
      <c r="J117" s="380"/>
      <c r="K117" s="380"/>
      <c r="L117" s="380"/>
      <c r="M117" s="380"/>
      <c r="N117" s="380"/>
      <c r="O117" s="380"/>
      <c r="P117" s="380"/>
      <c r="Q117" s="380"/>
      <c r="R117" s="380"/>
      <c r="S117" s="380"/>
      <c r="T117" s="380"/>
      <c r="U117" s="380"/>
      <c r="V117" s="380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  <c r="IW117" s="36"/>
      <c r="IX117" s="36"/>
      <c r="IY117" s="36"/>
      <c r="IZ117" s="36"/>
      <c r="JA117" s="36"/>
      <c r="JB117" s="36"/>
    </row>
    <row r="118" spans="1:262" s="35" customFormat="1" ht="12.6" customHeight="1">
      <c r="A118" s="328">
        <v>3299</v>
      </c>
      <c r="B118" s="10" t="s">
        <v>57</v>
      </c>
      <c r="C118" s="60">
        <f t="shared" si="42"/>
        <v>175153</v>
      </c>
      <c r="D118" s="380">
        <f>'Unos rashoda i izdataka'!K38</f>
        <v>44458</v>
      </c>
      <c r="E118" s="380"/>
      <c r="F118" s="380"/>
      <c r="G118" s="380"/>
      <c r="H118" s="380">
        <f>'Unos rashoda i izdataka'!K89</f>
        <v>37331</v>
      </c>
      <c r="I118" s="380"/>
      <c r="J118" s="380">
        <f>'Unos rashoda P4'!I41</f>
        <v>93364</v>
      </c>
      <c r="K118" s="380"/>
      <c r="L118" s="380"/>
      <c r="M118" s="380"/>
      <c r="N118" s="380"/>
      <c r="O118" s="380"/>
      <c r="P118" s="380"/>
      <c r="Q118" s="380"/>
      <c r="R118" s="380"/>
      <c r="S118" s="380"/>
      <c r="T118" s="380"/>
      <c r="U118" s="380"/>
      <c r="V118" s="380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36"/>
      <c r="HA118" s="36"/>
      <c r="HB118" s="36"/>
      <c r="HC118" s="36"/>
      <c r="HD118" s="36"/>
      <c r="HE118" s="36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6"/>
      <c r="IK118" s="36"/>
      <c r="IL118" s="36"/>
      <c r="IM118" s="36"/>
      <c r="IN118" s="36"/>
      <c r="IO118" s="36"/>
      <c r="IP118" s="36"/>
      <c r="IQ118" s="36"/>
      <c r="IR118" s="36"/>
      <c r="IS118" s="36"/>
      <c r="IT118" s="36"/>
      <c r="IU118" s="36"/>
      <c r="IV118" s="36"/>
      <c r="IW118" s="36"/>
      <c r="IX118" s="36"/>
      <c r="IY118" s="36"/>
      <c r="IZ118" s="36"/>
      <c r="JA118" s="36"/>
      <c r="JB118" s="36"/>
    </row>
    <row r="119" spans="1:262" s="11" customFormat="1" ht="12.6" customHeight="1">
      <c r="A119" s="328">
        <v>34</v>
      </c>
      <c r="B119" s="10" t="s">
        <v>200</v>
      </c>
      <c r="C119" s="60">
        <f t="shared" si="42"/>
        <v>9777</v>
      </c>
      <c r="D119" s="380">
        <f>D120</f>
        <v>24949</v>
      </c>
      <c r="E119" s="380">
        <f t="shared" ref="E119:V119" si="106">E120</f>
        <v>0</v>
      </c>
      <c r="F119" s="380">
        <f t="shared" si="106"/>
        <v>0</v>
      </c>
      <c r="G119" s="380">
        <f t="shared" si="106"/>
        <v>0</v>
      </c>
      <c r="H119" s="380">
        <f t="shared" si="106"/>
        <v>-15672</v>
      </c>
      <c r="I119" s="380">
        <f t="shared" si="106"/>
        <v>0</v>
      </c>
      <c r="J119" s="380">
        <f t="shared" si="106"/>
        <v>0</v>
      </c>
      <c r="K119" s="380">
        <f t="shared" si="106"/>
        <v>0</v>
      </c>
      <c r="L119" s="380">
        <f t="shared" si="106"/>
        <v>0</v>
      </c>
      <c r="M119" s="380">
        <f t="shared" si="106"/>
        <v>0</v>
      </c>
      <c r="N119" s="380">
        <f t="shared" si="106"/>
        <v>500</v>
      </c>
      <c r="O119" s="380">
        <f t="shared" si="106"/>
        <v>0</v>
      </c>
      <c r="P119" s="380">
        <f t="shared" si="106"/>
        <v>0</v>
      </c>
      <c r="Q119" s="380">
        <f t="shared" si="106"/>
        <v>0</v>
      </c>
      <c r="R119" s="380">
        <f t="shared" si="106"/>
        <v>0</v>
      </c>
      <c r="S119" s="380">
        <f t="shared" si="106"/>
        <v>0</v>
      </c>
      <c r="T119" s="380">
        <f t="shared" si="106"/>
        <v>0</v>
      </c>
      <c r="U119" s="380">
        <f t="shared" si="106"/>
        <v>0</v>
      </c>
      <c r="V119" s="380">
        <f t="shared" si="106"/>
        <v>0</v>
      </c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6"/>
      <c r="IV119" s="36"/>
      <c r="IW119" s="36"/>
      <c r="IX119" s="36"/>
      <c r="IY119" s="36"/>
      <c r="IZ119" s="36"/>
      <c r="JA119" s="36"/>
      <c r="JB119" s="36"/>
    </row>
    <row r="120" spans="1:262" s="11" customFormat="1" ht="12.6" customHeight="1">
      <c r="A120" s="328">
        <v>343</v>
      </c>
      <c r="B120" s="10" t="s">
        <v>5288</v>
      </c>
      <c r="C120" s="60">
        <f t="shared" si="42"/>
        <v>9777</v>
      </c>
      <c r="D120" s="380">
        <f>D121+D122+D123+D124</f>
        <v>24949</v>
      </c>
      <c r="E120" s="380">
        <f t="shared" ref="E120:V120" si="107">E121+E122+E123+E124</f>
        <v>0</v>
      </c>
      <c r="F120" s="380">
        <f t="shared" si="107"/>
        <v>0</v>
      </c>
      <c r="G120" s="380">
        <f t="shared" si="107"/>
        <v>0</v>
      </c>
      <c r="H120" s="380">
        <f t="shared" si="107"/>
        <v>-15672</v>
      </c>
      <c r="I120" s="380">
        <f t="shared" si="107"/>
        <v>0</v>
      </c>
      <c r="J120" s="380">
        <f t="shared" si="107"/>
        <v>0</v>
      </c>
      <c r="K120" s="380">
        <f t="shared" si="107"/>
        <v>0</v>
      </c>
      <c r="L120" s="380">
        <f t="shared" si="107"/>
        <v>0</v>
      </c>
      <c r="M120" s="380">
        <f t="shared" si="107"/>
        <v>0</v>
      </c>
      <c r="N120" s="380">
        <f t="shared" si="107"/>
        <v>500</v>
      </c>
      <c r="O120" s="380">
        <f t="shared" si="107"/>
        <v>0</v>
      </c>
      <c r="P120" s="380">
        <f t="shared" si="107"/>
        <v>0</v>
      </c>
      <c r="Q120" s="380">
        <f t="shared" si="107"/>
        <v>0</v>
      </c>
      <c r="R120" s="380">
        <f t="shared" si="107"/>
        <v>0</v>
      </c>
      <c r="S120" s="380">
        <f t="shared" si="107"/>
        <v>0</v>
      </c>
      <c r="T120" s="380">
        <f t="shared" si="107"/>
        <v>0</v>
      </c>
      <c r="U120" s="380">
        <f t="shared" si="107"/>
        <v>0</v>
      </c>
      <c r="V120" s="380">
        <f t="shared" si="107"/>
        <v>0</v>
      </c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  <c r="IV120" s="36"/>
      <c r="IW120" s="36"/>
      <c r="IX120" s="36"/>
      <c r="IY120" s="36"/>
      <c r="IZ120" s="36"/>
      <c r="JA120" s="36"/>
      <c r="JB120" s="36"/>
    </row>
    <row r="121" spans="1:262" s="11" customFormat="1" ht="12.6" customHeight="1">
      <c r="A121" s="328">
        <v>3431</v>
      </c>
      <c r="B121" s="10" t="s">
        <v>82</v>
      </c>
      <c r="C121" s="60">
        <f t="shared" si="42"/>
        <v>-8902</v>
      </c>
      <c r="D121" s="380">
        <f>'Unos rashoda i izdataka'!K39</f>
        <v>6263</v>
      </c>
      <c r="E121" s="380"/>
      <c r="F121" s="380"/>
      <c r="G121" s="380"/>
      <c r="H121" s="380">
        <f>'Unos rashoda i izdataka'!K90</f>
        <v>-15665</v>
      </c>
      <c r="I121" s="380"/>
      <c r="J121" s="380"/>
      <c r="K121" s="380"/>
      <c r="L121" s="380"/>
      <c r="M121" s="380"/>
      <c r="N121" s="380">
        <f>'Unos rashoda P4'!I21</f>
        <v>500</v>
      </c>
      <c r="O121" s="380"/>
      <c r="P121" s="380"/>
      <c r="Q121" s="380"/>
      <c r="R121" s="380"/>
      <c r="S121" s="380"/>
      <c r="T121" s="380"/>
      <c r="U121" s="380"/>
      <c r="V121" s="380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  <c r="IV121" s="36"/>
      <c r="IW121" s="36"/>
      <c r="IX121" s="36"/>
      <c r="IY121" s="36"/>
      <c r="IZ121" s="36"/>
      <c r="JA121" s="36"/>
      <c r="JB121" s="36"/>
    </row>
    <row r="122" spans="1:262" s="11" customFormat="1" ht="12.6" customHeight="1">
      <c r="A122" s="328">
        <v>3432</v>
      </c>
      <c r="B122" s="10" t="s">
        <v>5289</v>
      </c>
      <c r="C122" s="60">
        <f t="shared" si="42"/>
        <v>-7</v>
      </c>
      <c r="D122" s="380">
        <f>'Unos rashoda i izdataka'!K40</f>
        <v>0</v>
      </c>
      <c r="E122" s="380"/>
      <c r="F122" s="380"/>
      <c r="G122" s="380"/>
      <c r="H122" s="380">
        <f>'Unos rashoda i izdataka'!K91</f>
        <v>-7</v>
      </c>
      <c r="I122" s="380"/>
      <c r="J122" s="380"/>
      <c r="K122" s="380"/>
      <c r="L122" s="380"/>
      <c r="M122" s="380"/>
      <c r="N122" s="380"/>
      <c r="O122" s="380"/>
      <c r="P122" s="380"/>
      <c r="Q122" s="380"/>
      <c r="R122" s="380"/>
      <c r="S122" s="380"/>
      <c r="T122" s="380"/>
      <c r="U122" s="380"/>
      <c r="V122" s="380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6"/>
      <c r="IV122" s="36"/>
      <c r="IW122" s="36"/>
      <c r="IX122" s="36"/>
      <c r="IY122" s="36"/>
      <c r="IZ122" s="36"/>
      <c r="JA122" s="36"/>
      <c r="JB122" s="36"/>
    </row>
    <row r="123" spans="1:262" s="11" customFormat="1" ht="12.6" customHeight="1">
      <c r="A123" s="328">
        <v>3433</v>
      </c>
      <c r="B123" s="10" t="s">
        <v>136</v>
      </c>
      <c r="C123" s="60">
        <f t="shared" si="42"/>
        <v>18686</v>
      </c>
      <c r="D123" s="380">
        <f>'Unos rashoda i izdataka'!K41</f>
        <v>18686</v>
      </c>
      <c r="E123" s="380"/>
      <c r="F123" s="380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  <c r="IW123" s="36"/>
      <c r="IX123" s="36"/>
      <c r="IY123" s="36"/>
      <c r="IZ123" s="36"/>
      <c r="JA123" s="36"/>
      <c r="JB123" s="36"/>
    </row>
    <row r="124" spans="1:262" s="11" customFormat="1" ht="12.6" customHeight="1">
      <c r="A124" s="328">
        <v>3434</v>
      </c>
      <c r="B124" s="10" t="s">
        <v>67</v>
      </c>
      <c r="C124" s="60">
        <f t="shared" si="42"/>
        <v>0</v>
      </c>
      <c r="D124" s="380">
        <v>0</v>
      </c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6"/>
      <c r="IV124" s="36"/>
      <c r="IW124" s="36"/>
      <c r="IX124" s="36"/>
      <c r="IY124" s="36"/>
      <c r="IZ124" s="36"/>
      <c r="JA124" s="36"/>
      <c r="JB124" s="36"/>
    </row>
    <row r="125" spans="1:262" s="35" customFormat="1" ht="12.6" customHeight="1">
      <c r="A125" s="328">
        <v>35</v>
      </c>
      <c r="B125" s="10" t="s">
        <v>252</v>
      </c>
      <c r="C125" s="60">
        <f t="shared" si="42"/>
        <v>-52906</v>
      </c>
      <c r="D125" s="380">
        <f>D126</f>
        <v>0</v>
      </c>
      <c r="E125" s="380">
        <f t="shared" ref="E125:V125" si="108">E126</f>
        <v>0</v>
      </c>
      <c r="F125" s="380">
        <f t="shared" si="108"/>
        <v>0</v>
      </c>
      <c r="G125" s="380">
        <f t="shared" si="108"/>
        <v>0</v>
      </c>
      <c r="H125" s="380">
        <f t="shared" si="108"/>
        <v>0</v>
      </c>
      <c r="I125" s="380">
        <f t="shared" si="108"/>
        <v>0</v>
      </c>
      <c r="J125" s="380">
        <f t="shared" si="108"/>
        <v>0</v>
      </c>
      <c r="K125" s="380">
        <f t="shared" si="108"/>
        <v>0</v>
      </c>
      <c r="L125" s="380">
        <f t="shared" si="108"/>
        <v>0</v>
      </c>
      <c r="M125" s="380">
        <f t="shared" si="108"/>
        <v>0</v>
      </c>
      <c r="N125" s="380">
        <f t="shared" si="108"/>
        <v>-52906</v>
      </c>
      <c r="O125" s="380">
        <f t="shared" si="108"/>
        <v>0</v>
      </c>
      <c r="P125" s="380">
        <f t="shared" si="108"/>
        <v>0</v>
      </c>
      <c r="Q125" s="380">
        <f t="shared" si="108"/>
        <v>0</v>
      </c>
      <c r="R125" s="380">
        <f t="shared" si="108"/>
        <v>0</v>
      </c>
      <c r="S125" s="380">
        <f t="shared" si="108"/>
        <v>0</v>
      </c>
      <c r="T125" s="380">
        <f t="shared" si="108"/>
        <v>0</v>
      </c>
      <c r="U125" s="380">
        <f t="shared" si="108"/>
        <v>0</v>
      </c>
      <c r="V125" s="380">
        <f t="shared" si="108"/>
        <v>0</v>
      </c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6"/>
      <c r="IV125" s="36"/>
      <c r="IW125" s="36"/>
      <c r="IX125" s="36"/>
      <c r="IY125" s="36"/>
      <c r="IZ125" s="36"/>
      <c r="JA125" s="36"/>
      <c r="JB125" s="36"/>
    </row>
    <row r="126" spans="1:262" s="35" customFormat="1" ht="12.6" customHeight="1">
      <c r="A126" s="328">
        <v>353</v>
      </c>
      <c r="B126" s="10" t="s">
        <v>5294</v>
      </c>
      <c r="C126" s="60">
        <f t="shared" ref="C126:C127" si="109">SUM(D126:V126)</f>
        <v>-52906</v>
      </c>
      <c r="D126" s="380">
        <f>D127</f>
        <v>0</v>
      </c>
      <c r="E126" s="380">
        <f t="shared" ref="E126" si="110">E127</f>
        <v>0</v>
      </c>
      <c r="F126" s="380">
        <f t="shared" ref="F126" si="111">F127</f>
        <v>0</v>
      </c>
      <c r="G126" s="380">
        <f t="shared" ref="G126" si="112">G127</f>
        <v>0</v>
      </c>
      <c r="H126" s="380">
        <f t="shared" ref="H126" si="113">H127</f>
        <v>0</v>
      </c>
      <c r="I126" s="380">
        <f t="shared" ref="I126" si="114">I127</f>
        <v>0</v>
      </c>
      <c r="J126" s="380">
        <f t="shared" ref="J126" si="115">J127</f>
        <v>0</v>
      </c>
      <c r="K126" s="380">
        <f t="shared" ref="K126" si="116">K127</f>
        <v>0</v>
      </c>
      <c r="L126" s="380">
        <f t="shared" ref="L126" si="117">L127</f>
        <v>0</v>
      </c>
      <c r="M126" s="380">
        <f t="shared" ref="M126" si="118">M127</f>
        <v>0</v>
      </c>
      <c r="N126" s="380">
        <f t="shared" ref="N126" si="119">N127</f>
        <v>-52906</v>
      </c>
      <c r="O126" s="380">
        <f t="shared" ref="O126" si="120">O127</f>
        <v>0</v>
      </c>
      <c r="P126" s="380">
        <f t="shared" ref="P126" si="121">P127</f>
        <v>0</v>
      </c>
      <c r="Q126" s="380">
        <f t="shared" ref="Q126" si="122">Q127</f>
        <v>0</v>
      </c>
      <c r="R126" s="380">
        <f t="shared" ref="R126" si="123">R127</f>
        <v>0</v>
      </c>
      <c r="S126" s="380">
        <f t="shared" ref="S126" si="124">S127</f>
        <v>0</v>
      </c>
      <c r="T126" s="380">
        <f t="shared" ref="T126" si="125">T127</f>
        <v>0</v>
      </c>
      <c r="U126" s="380">
        <f t="shared" ref="U126" si="126">U127</f>
        <v>0</v>
      </c>
      <c r="V126" s="380">
        <f t="shared" ref="V126" si="127">V127</f>
        <v>0</v>
      </c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  <c r="IV126" s="36"/>
      <c r="IW126" s="36"/>
      <c r="IX126" s="36"/>
      <c r="IY126" s="36"/>
      <c r="IZ126" s="36"/>
      <c r="JA126" s="36"/>
      <c r="JB126" s="36"/>
    </row>
    <row r="127" spans="1:262" s="35" customFormat="1" ht="12.6" customHeight="1">
      <c r="A127" s="328">
        <v>3531</v>
      </c>
      <c r="B127" s="10" t="s">
        <v>5294</v>
      </c>
      <c r="C127" s="60">
        <f t="shared" si="109"/>
        <v>-52906</v>
      </c>
      <c r="D127" s="380"/>
      <c r="E127" s="381"/>
      <c r="F127" s="381"/>
      <c r="G127" s="381"/>
      <c r="H127" s="381"/>
      <c r="I127" s="381"/>
      <c r="J127" s="381"/>
      <c r="K127" s="381"/>
      <c r="L127" s="381"/>
      <c r="M127" s="381"/>
      <c r="N127" s="380">
        <f>'Unos rashoda P4'!I11+'Unos rashoda P4'!I23</f>
        <v>-52906</v>
      </c>
      <c r="O127" s="381"/>
      <c r="P127" s="381"/>
      <c r="Q127" s="381"/>
      <c r="R127" s="381"/>
      <c r="S127" s="381"/>
      <c r="T127" s="381"/>
      <c r="U127" s="381"/>
      <c r="V127" s="381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6"/>
      <c r="IV127" s="36"/>
      <c r="IW127" s="36"/>
      <c r="IX127" s="36"/>
      <c r="IY127" s="36"/>
      <c r="IZ127" s="36"/>
      <c r="JA127" s="36"/>
      <c r="JB127" s="36"/>
    </row>
    <row r="128" spans="1:262" s="35" customFormat="1" ht="12.6" customHeight="1">
      <c r="A128" s="328">
        <v>36</v>
      </c>
      <c r="B128" s="12" t="s">
        <v>201</v>
      </c>
      <c r="C128" s="60">
        <f t="shared" si="42"/>
        <v>49406</v>
      </c>
      <c r="D128" s="380">
        <f>D131+D129</f>
        <v>0</v>
      </c>
      <c r="E128" s="380">
        <f t="shared" ref="E128:V128" si="128">E131+E129</f>
        <v>0</v>
      </c>
      <c r="F128" s="380">
        <f t="shared" si="128"/>
        <v>0</v>
      </c>
      <c r="G128" s="380">
        <f t="shared" si="128"/>
        <v>0</v>
      </c>
      <c r="H128" s="380">
        <f t="shared" si="128"/>
        <v>0</v>
      </c>
      <c r="I128" s="380">
        <f t="shared" si="128"/>
        <v>0</v>
      </c>
      <c r="J128" s="380">
        <f t="shared" si="128"/>
        <v>662830</v>
      </c>
      <c r="K128" s="380">
        <f t="shared" si="128"/>
        <v>0</v>
      </c>
      <c r="L128" s="380">
        <f t="shared" si="128"/>
        <v>0</v>
      </c>
      <c r="M128" s="380">
        <f t="shared" si="128"/>
        <v>0</v>
      </c>
      <c r="N128" s="380">
        <f t="shared" si="128"/>
        <v>-613424</v>
      </c>
      <c r="O128" s="380">
        <f t="shared" si="128"/>
        <v>0</v>
      </c>
      <c r="P128" s="380">
        <f t="shared" si="128"/>
        <v>0</v>
      </c>
      <c r="Q128" s="380">
        <f t="shared" si="128"/>
        <v>0</v>
      </c>
      <c r="R128" s="380">
        <f t="shared" si="128"/>
        <v>0</v>
      </c>
      <c r="S128" s="380">
        <f t="shared" si="128"/>
        <v>0</v>
      </c>
      <c r="T128" s="380">
        <f t="shared" si="128"/>
        <v>0</v>
      </c>
      <c r="U128" s="380">
        <f t="shared" si="128"/>
        <v>0</v>
      </c>
      <c r="V128" s="380">
        <f t="shared" si="128"/>
        <v>0</v>
      </c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36"/>
      <c r="HJ128" s="36"/>
      <c r="HK128" s="36"/>
      <c r="HL128" s="36"/>
      <c r="HM128" s="36"/>
      <c r="HN128" s="36"/>
      <c r="HO128" s="36"/>
      <c r="HP128" s="36"/>
      <c r="HQ128" s="36"/>
      <c r="HR128" s="36"/>
      <c r="HS128" s="36"/>
      <c r="HT128" s="36"/>
      <c r="HU128" s="36"/>
      <c r="HV128" s="36"/>
      <c r="HW128" s="36"/>
      <c r="HX128" s="36"/>
      <c r="HY128" s="36"/>
      <c r="HZ128" s="36"/>
      <c r="IA128" s="36"/>
      <c r="IB128" s="36"/>
      <c r="IC128" s="36"/>
      <c r="ID128" s="36"/>
      <c r="IE128" s="36"/>
      <c r="IF128" s="36"/>
      <c r="IG128" s="36"/>
      <c r="IH128" s="36"/>
      <c r="II128" s="36"/>
      <c r="IJ128" s="36"/>
      <c r="IK128" s="36"/>
      <c r="IL128" s="36"/>
      <c r="IM128" s="36"/>
      <c r="IN128" s="36"/>
      <c r="IO128" s="36"/>
      <c r="IP128" s="36"/>
      <c r="IQ128" s="36"/>
      <c r="IR128" s="36"/>
      <c r="IS128" s="36"/>
      <c r="IT128" s="36"/>
      <c r="IU128" s="36"/>
      <c r="IV128" s="36"/>
      <c r="IW128" s="36"/>
      <c r="IX128" s="36"/>
      <c r="IY128" s="36"/>
      <c r="IZ128" s="36"/>
      <c r="JA128" s="36"/>
      <c r="JB128" s="36"/>
    </row>
    <row r="129" spans="1:262" s="35" customFormat="1" ht="12.6" customHeight="1">
      <c r="A129" s="328">
        <v>368</v>
      </c>
      <c r="B129" s="12" t="s">
        <v>5295</v>
      </c>
      <c r="C129" s="60"/>
      <c r="D129" s="380">
        <f>D130</f>
        <v>0</v>
      </c>
      <c r="E129" s="380">
        <f t="shared" ref="E129" si="129">E130</f>
        <v>0</v>
      </c>
      <c r="F129" s="380">
        <f t="shared" ref="F129" si="130">F130</f>
        <v>0</v>
      </c>
      <c r="G129" s="380">
        <f t="shared" ref="G129" si="131">G130</f>
        <v>0</v>
      </c>
      <c r="H129" s="380">
        <f t="shared" ref="H129" si="132">H130</f>
        <v>0</v>
      </c>
      <c r="I129" s="380">
        <f t="shared" ref="I129" si="133">I130</f>
        <v>0</v>
      </c>
      <c r="J129" s="380">
        <f t="shared" ref="J129" si="134">J130</f>
        <v>0</v>
      </c>
      <c r="K129" s="380">
        <f t="shared" ref="K129" si="135">K130</f>
        <v>0</v>
      </c>
      <c r="L129" s="380">
        <f t="shared" ref="L129" si="136">L130</f>
        <v>0</v>
      </c>
      <c r="M129" s="380">
        <f t="shared" ref="M129" si="137">M130</f>
        <v>0</v>
      </c>
      <c r="N129" s="380">
        <f t="shared" ref="N129" si="138">N130</f>
        <v>-47277</v>
      </c>
      <c r="O129" s="380">
        <f t="shared" ref="O129" si="139">O130</f>
        <v>0</v>
      </c>
      <c r="P129" s="380">
        <f t="shared" ref="P129" si="140">P130</f>
        <v>0</v>
      </c>
      <c r="Q129" s="380">
        <f t="shared" ref="Q129" si="141">Q130</f>
        <v>0</v>
      </c>
      <c r="R129" s="380">
        <f t="shared" ref="R129" si="142">R130</f>
        <v>0</v>
      </c>
      <c r="S129" s="380">
        <f t="shared" ref="S129" si="143">S130</f>
        <v>0</v>
      </c>
      <c r="T129" s="380">
        <f t="shared" ref="T129" si="144">T130</f>
        <v>0</v>
      </c>
      <c r="U129" s="380">
        <f t="shared" ref="U129" si="145">U130</f>
        <v>0</v>
      </c>
      <c r="V129" s="380">
        <f t="shared" ref="V129" si="146">V130</f>
        <v>0</v>
      </c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6"/>
      <c r="HV129" s="36"/>
      <c r="HW129" s="36"/>
      <c r="HX129" s="36"/>
      <c r="HY129" s="36"/>
      <c r="HZ129" s="36"/>
      <c r="IA129" s="36"/>
      <c r="IB129" s="36"/>
      <c r="IC129" s="36"/>
      <c r="ID129" s="36"/>
      <c r="IE129" s="36"/>
      <c r="IF129" s="36"/>
      <c r="IG129" s="36"/>
      <c r="IH129" s="36"/>
      <c r="II129" s="36"/>
      <c r="IJ129" s="36"/>
      <c r="IK129" s="36"/>
      <c r="IL129" s="36"/>
      <c r="IM129" s="36"/>
      <c r="IN129" s="36"/>
      <c r="IO129" s="36"/>
      <c r="IP129" s="36"/>
      <c r="IQ129" s="36"/>
      <c r="IR129" s="36"/>
      <c r="IS129" s="36"/>
      <c r="IT129" s="36"/>
      <c r="IU129" s="36"/>
      <c r="IV129" s="36"/>
      <c r="IW129" s="36"/>
      <c r="IX129" s="36"/>
      <c r="IY129" s="36"/>
      <c r="IZ129" s="36"/>
      <c r="JA129" s="36"/>
      <c r="JB129" s="36"/>
    </row>
    <row r="130" spans="1:262" s="35" customFormat="1" ht="12.6" customHeight="1">
      <c r="A130" s="328">
        <v>3681</v>
      </c>
      <c r="B130" s="12" t="s">
        <v>26</v>
      </c>
      <c r="C130" s="60"/>
      <c r="D130" s="380"/>
      <c r="E130" s="380"/>
      <c r="F130" s="380"/>
      <c r="G130" s="380"/>
      <c r="H130" s="380"/>
      <c r="I130" s="380"/>
      <c r="J130" s="380"/>
      <c r="K130" s="380"/>
      <c r="L130" s="380"/>
      <c r="M130" s="380"/>
      <c r="N130" s="380">
        <f>'Unos rashoda P4'!I12</f>
        <v>-47277</v>
      </c>
      <c r="O130" s="380"/>
      <c r="P130" s="380"/>
      <c r="Q130" s="380"/>
      <c r="R130" s="380"/>
      <c r="S130" s="380"/>
      <c r="T130" s="380"/>
      <c r="U130" s="380"/>
      <c r="V130" s="380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  <c r="IT130" s="36"/>
      <c r="IU130" s="36"/>
      <c r="IV130" s="36"/>
      <c r="IW130" s="36"/>
      <c r="IX130" s="36"/>
      <c r="IY130" s="36"/>
      <c r="IZ130" s="36"/>
      <c r="JA130" s="36"/>
      <c r="JB130" s="36"/>
    </row>
    <row r="131" spans="1:262" s="35" customFormat="1" ht="12.6" customHeight="1">
      <c r="A131" s="328">
        <v>369</v>
      </c>
      <c r="B131" s="12" t="s">
        <v>5293</v>
      </c>
      <c r="C131" s="60">
        <f t="shared" ref="C131:C133" si="147">SUM(D131:V131)</f>
        <v>96683</v>
      </c>
      <c r="D131" s="380">
        <f>D132+D133+D134</f>
        <v>0</v>
      </c>
      <c r="E131" s="380">
        <f t="shared" ref="E131:V131" si="148">E132+E133+E134</f>
        <v>0</v>
      </c>
      <c r="F131" s="380">
        <f t="shared" si="148"/>
        <v>0</v>
      </c>
      <c r="G131" s="380">
        <f t="shared" si="148"/>
        <v>0</v>
      </c>
      <c r="H131" s="380">
        <f t="shared" si="148"/>
        <v>0</v>
      </c>
      <c r="I131" s="380">
        <f t="shared" si="148"/>
        <v>0</v>
      </c>
      <c r="J131" s="380">
        <f t="shared" si="148"/>
        <v>662830</v>
      </c>
      <c r="K131" s="380">
        <f t="shared" si="148"/>
        <v>0</v>
      </c>
      <c r="L131" s="380">
        <f t="shared" si="148"/>
        <v>0</v>
      </c>
      <c r="M131" s="380">
        <f t="shared" si="148"/>
        <v>0</v>
      </c>
      <c r="N131" s="380">
        <f t="shared" si="148"/>
        <v>-566147</v>
      </c>
      <c r="O131" s="380">
        <f t="shared" si="148"/>
        <v>0</v>
      </c>
      <c r="P131" s="380">
        <f t="shared" si="148"/>
        <v>0</v>
      </c>
      <c r="Q131" s="380">
        <f t="shared" si="148"/>
        <v>0</v>
      </c>
      <c r="R131" s="380">
        <f t="shared" si="148"/>
        <v>0</v>
      </c>
      <c r="S131" s="380">
        <f t="shared" si="148"/>
        <v>0</v>
      </c>
      <c r="T131" s="380">
        <f t="shared" si="148"/>
        <v>0</v>
      </c>
      <c r="U131" s="380">
        <f t="shared" si="148"/>
        <v>0</v>
      </c>
      <c r="V131" s="380">
        <f t="shared" si="148"/>
        <v>0</v>
      </c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  <c r="HV131" s="36"/>
      <c r="HW131" s="36"/>
      <c r="HX131" s="36"/>
      <c r="HY131" s="36"/>
      <c r="HZ131" s="36"/>
      <c r="IA131" s="36"/>
      <c r="IB131" s="36"/>
      <c r="IC131" s="36"/>
      <c r="ID131" s="36"/>
      <c r="IE131" s="36"/>
      <c r="IF131" s="36"/>
      <c r="IG131" s="36"/>
      <c r="IH131" s="36"/>
      <c r="II131" s="36"/>
      <c r="IJ131" s="36"/>
      <c r="IK131" s="36"/>
      <c r="IL131" s="36"/>
      <c r="IM131" s="36"/>
      <c r="IN131" s="36"/>
      <c r="IO131" s="36"/>
      <c r="IP131" s="36"/>
      <c r="IQ131" s="36"/>
      <c r="IR131" s="36"/>
      <c r="IS131" s="36"/>
      <c r="IT131" s="36"/>
      <c r="IU131" s="36"/>
      <c r="IV131" s="36"/>
      <c r="IW131" s="36"/>
      <c r="IX131" s="36"/>
      <c r="IY131" s="36"/>
      <c r="IZ131" s="36"/>
      <c r="JA131" s="36"/>
      <c r="JB131" s="36"/>
    </row>
    <row r="132" spans="1:262" s="35" customFormat="1" ht="12.6" customHeight="1">
      <c r="A132" s="328">
        <v>3691</v>
      </c>
      <c r="B132" s="10" t="s">
        <v>28</v>
      </c>
      <c r="C132" s="60">
        <f t="shared" si="147"/>
        <v>18462</v>
      </c>
      <c r="D132" s="380"/>
      <c r="E132" s="381"/>
      <c r="F132" s="381"/>
      <c r="G132" s="381"/>
      <c r="H132" s="381"/>
      <c r="I132" s="381"/>
      <c r="J132" s="380">
        <f>'Unos rashoda i izdataka'!K114+'Unos rashoda i izdataka'!K115+'Unos rashoda i izdataka'!K116+'Unos rashoda i izdataka'!K117+'Unos rashoda i izdataka'!K118</f>
        <v>18462</v>
      </c>
      <c r="K132" s="381"/>
      <c r="L132" s="381"/>
      <c r="M132" s="381"/>
      <c r="N132" s="380"/>
      <c r="O132" s="381"/>
      <c r="P132" s="381"/>
      <c r="Q132" s="381"/>
      <c r="R132" s="381"/>
      <c r="S132" s="381"/>
      <c r="T132" s="381"/>
      <c r="U132" s="381"/>
      <c r="V132" s="381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  <c r="HN132" s="36"/>
      <c r="HO132" s="36"/>
      <c r="HP132" s="36"/>
      <c r="HQ132" s="36"/>
      <c r="HR132" s="36"/>
      <c r="HS132" s="36"/>
      <c r="HT132" s="36"/>
      <c r="HU132" s="36"/>
      <c r="HV132" s="36"/>
      <c r="HW132" s="36"/>
      <c r="HX132" s="36"/>
      <c r="HY132" s="36"/>
      <c r="HZ132" s="36"/>
      <c r="IA132" s="36"/>
      <c r="IB132" s="36"/>
      <c r="IC132" s="36"/>
      <c r="ID132" s="36"/>
      <c r="IE132" s="36"/>
      <c r="IF132" s="36"/>
      <c r="IG132" s="36"/>
      <c r="IH132" s="36"/>
      <c r="II132" s="36"/>
      <c r="IJ132" s="36"/>
      <c r="IK132" s="36"/>
      <c r="IL132" s="36"/>
      <c r="IM132" s="36"/>
      <c r="IN132" s="36"/>
      <c r="IO132" s="36"/>
      <c r="IP132" s="36"/>
      <c r="IQ132" s="36"/>
      <c r="IR132" s="36"/>
      <c r="IS132" s="36"/>
      <c r="IT132" s="36"/>
      <c r="IU132" s="36"/>
      <c r="IV132" s="36"/>
      <c r="IW132" s="36"/>
      <c r="IX132" s="36"/>
      <c r="IY132" s="36"/>
      <c r="IZ132" s="36"/>
      <c r="JA132" s="36"/>
      <c r="JB132" s="36"/>
    </row>
    <row r="133" spans="1:262" s="35" customFormat="1" ht="12.6" customHeight="1">
      <c r="A133" s="328">
        <v>3693</v>
      </c>
      <c r="B133" s="10" t="s">
        <v>30</v>
      </c>
      <c r="C133" s="60">
        <f t="shared" si="147"/>
        <v>23221</v>
      </c>
      <c r="D133" s="380"/>
      <c r="E133" s="381"/>
      <c r="F133" s="381"/>
      <c r="G133" s="381"/>
      <c r="H133" s="381"/>
      <c r="I133" s="381"/>
      <c r="J133" s="380">
        <f>'Unos rashoda P4'!I43</f>
        <v>644368</v>
      </c>
      <c r="K133" s="381"/>
      <c r="L133" s="381"/>
      <c r="M133" s="381"/>
      <c r="N133" s="380">
        <f>'Unos rashoda P4'!I9</f>
        <v>-621147</v>
      </c>
      <c r="O133" s="381"/>
      <c r="P133" s="381"/>
      <c r="Q133" s="381"/>
      <c r="R133" s="381"/>
      <c r="S133" s="381"/>
      <c r="T133" s="381"/>
      <c r="U133" s="381"/>
      <c r="V133" s="381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36"/>
      <c r="HJ133" s="36"/>
      <c r="HK133" s="36"/>
      <c r="HL133" s="36"/>
      <c r="HM133" s="36"/>
      <c r="HN133" s="36"/>
      <c r="HO133" s="36"/>
      <c r="HP133" s="36"/>
      <c r="HQ133" s="36"/>
      <c r="HR133" s="36"/>
      <c r="HS133" s="36"/>
      <c r="HT133" s="36"/>
      <c r="HU133" s="36"/>
      <c r="HV133" s="36"/>
      <c r="HW133" s="36"/>
      <c r="HX133" s="36"/>
      <c r="HY133" s="36"/>
      <c r="HZ133" s="36"/>
      <c r="IA133" s="36"/>
      <c r="IB133" s="36"/>
      <c r="IC133" s="36"/>
      <c r="ID133" s="36"/>
      <c r="IE133" s="36"/>
      <c r="IF133" s="36"/>
      <c r="IG133" s="36"/>
      <c r="IH133" s="36"/>
      <c r="II133" s="36"/>
      <c r="IJ133" s="36"/>
      <c r="IK133" s="36"/>
      <c r="IL133" s="36"/>
      <c r="IM133" s="36"/>
      <c r="IN133" s="36"/>
      <c r="IO133" s="36"/>
      <c r="IP133" s="36"/>
      <c r="IQ133" s="36"/>
      <c r="IR133" s="36"/>
      <c r="IS133" s="36"/>
      <c r="IT133" s="36"/>
      <c r="IU133" s="36"/>
      <c r="IV133" s="36"/>
      <c r="IW133" s="36"/>
      <c r="IX133" s="36"/>
      <c r="IY133" s="36"/>
      <c r="IZ133" s="36"/>
      <c r="JA133" s="36"/>
      <c r="JB133" s="36"/>
    </row>
    <row r="134" spans="1:262" s="35" customFormat="1" ht="12.6" customHeight="1">
      <c r="A134" s="328">
        <v>3694</v>
      </c>
      <c r="B134" s="10" t="s">
        <v>31</v>
      </c>
      <c r="C134" s="60"/>
      <c r="D134" s="380"/>
      <c r="E134" s="381"/>
      <c r="F134" s="381"/>
      <c r="G134" s="381"/>
      <c r="H134" s="381"/>
      <c r="I134" s="381"/>
      <c r="J134" s="380"/>
      <c r="K134" s="381"/>
      <c r="L134" s="381"/>
      <c r="M134" s="381"/>
      <c r="N134" s="380">
        <f>'Unos rashoda P4'!I10</f>
        <v>55000</v>
      </c>
      <c r="O134" s="381"/>
      <c r="P134" s="381"/>
      <c r="Q134" s="381"/>
      <c r="R134" s="381"/>
      <c r="S134" s="381"/>
      <c r="T134" s="381"/>
      <c r="U134" s="381"/>
      <c r="V134" s="381"/>
      <c r="GK134" s="36"/>
      <c r="GL134" s="36"/>
      <c r="GM134" s="36"/>
      <c r="GN134" s="36"/>
      <c r="GO134" s="36"/>
      <c r="GP134" s="36"/>
      <c r="GQ134" s="36"/>
      <c r="GR134" s="36"/>
      <c r="GS134" s="36"/>
      <c r="GT134" s="36"/>
      <c r="GU134" s="36"/>
      <c r="GV134" s="36"/>
      <c r="GW134" s="36"/>
      <c r="GX134" s="36"/>
      <c r="GY134" s="36"/>
      <c r="GZ134" s="36"/>
      <c r="HA134" s="36"/>
      <c r="HB134" s="36"/>
      <c r="HC134" s="36"/>
      <c r="HD134" s="36"/>
      <c r="HE134" s="36"/>
      <c r="HF134" s="36"/>
      <c r="HG134" s="36"/>
      <c r="HH134" s="36"/>
      <c r="HI134" s="36"/>
      <c r="HJ134" s="36"/>
      <c r="HK134" s="36"/>
      <c r="HL134" s="36"/>
      <c r="HM134" s="36"/>
      <c r="HN134" s="36"/>
      <c r="HO134" s="36"/>
      <c r="HP134" s="36"/>
      <c r="HQ134" s="36"/>
      <c r="HR134" s="36"/>
      <c r="HS134" s="36"/>
      <c r="HT134" s="36"/>
      <c r="HU134" s="36"/>
      <c r="HV134" s="36"/>
      <c r="HW134" s="36"/>
      <c r="HX134" s="36"/>
      <c r="HY134" s="36"/>
      <c r="HZ134" s="36"/>
      <c r="IA134" s="36"/>
      <c r="IB134" s="36"/>
      <c r="IC134" s="36"/>
      <c r="ID134" s="36"/>
      <c r="IE134" s="36"/>
      <c r="IF134" s="36"/>
      <c r="IG134" s="36"/>
      <c r="IH134" s="36"/>
      <c r="II134" s="36"/>
      <c r="IJ134" s="36"/>
      <c r="IK134" s="36"/>
      <c r="IL134" s="36"/>
      <c r="IM134" s="36"/>
      <c r="IN134" s="36"/>
      <c r="IO134" s="36"/>
      <c r="IP134" s="36"/>
      <c r="IQ134" s="36"/>
      <c r="IR134" s="36"/>
      <c r="IS134" s="36"/>
      <c r="IT134" s="36"/>
      <c r="IU134" s="36"/>
      <c r="IV134" s="36"/>
      <c r="IW134" s="36"/>
      <c r="IX134" s="36"/>
      <c r="IY134" s="36"/>
      <c r="IZ134" s="36"/>
      <c r="JA134" s="36"/>
      <c r="JB134" s="36"/>
    </row>
    <row r="135" spans="1:262" s="13" customFormat="1" ht="12.6" customHeight="1">
      <c r="A135" s="328">
        <v>37</v>
      </c>
      <c r="B135" s="10" t="s">
        <v>253</v>
      </c>
      <c r="C135" s="60">
        <f t="shared" si="42"/>
        <v>-262208</v>
      </c>
      <c r="D135" s="380">
        <f>D136</f>
        <v>3654</v>
      </c>
      <c r="E135" s="380">
        <f t="shared" ref="E135:V135" si="149">E136</f>
        <v>0</v>
      </c>
      <c r="F135" s="380">
        <f t="shared" si="149"/>
        <v>0</v>
      </c>
      <c r="G135" s="380">
        <f t="shared" si="149"/>
        <v>0</v>
      </c>
      <c r="H135" s="380">
        <f t="shared" si="149"/>
        <v>-50601</v>
      </c>
      <c r="I135" s="380">
        <f t="shared" si="149"/>
        <v>0</v>
      </c>
      <c r="J135" s="380">
        <f t="shared" si="149"/>
        <v>-208625</v>
      </c>
      <c r="K135" s="380">
        <f t="shared" si="149"/>
        <v>0</v>
      </c>
      <c r="L135" s="380">
        <f t="shared" si="149"/>
        <v>0</v>
      </c>
      <c r="M135" s="380">
        <f t="shared" si="149"/>
        <v>0</v>
      </c>
      <c r="N135" s="380">
        <f t="shared" si="149"/>
        <v>-6636</v>
      </c>
      <c r="O135" s="380">
        <f t="shared" si="149"/>
        <v>0</v>
      </c>
      <c r="P135" s="380">
        <f t="shared" si="149"/>
        <v>0</v>
      </c>
      <c r="Q135" s="380">
        <f t="shared" si="149"/>
        <v>0</v>
      </c>
      <c r="R135" s="380">
        <f t="shared" si="149"/>
        <v>0</v>
      </c>
      <c r="S135" s="380">
        <f t="shared" si="149"/>
        <v>0</v>
      </c>
      <c r="T135" s="380">
        <f t="shared" si="149"/>
        <v>0</v>
      </c>
      <c r="U135" s="380">
        <f t="shared" si="149"/>
        <v>0</v>
      </c>
      <c r="V135" s="380">
        <f t="shared" si="149"/>
        <v>0</v>
      </c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6"/>
      <c r="GL135" s="36"/>
      <c r="GM135" s="36"/>
      <c r="GN135" s="36"/>
      <c r="GO135" s="36"/>
      <c r="GP135" s="36"/>
      <c r="GQ135" s="36"/>
      <c r="GR135" s="36"/>
      <c r="GS135" s="36"/>
      <c r="GT135" s="36"/>
      <c r="GU135" s="36"/>
      <c r="GV135" s="36"/>
      <c r="GW135" s="36"/>
      <c r="GX135" s="36"/>
      <c r="GY135" s="36"/>
      <c r="GZ135" s="36"/>
      <c r="HA135" s="36"/>
      <c r="HB135" s="36"/>
      <c r="HC135" s="36"/>
      <c r="HD135" s="36"/>
      <c r="HE135" s="36"/>
      <c r="HF135" s="36"/>
      <c r="HG135" s="36"/>
      <c r="HH135" s="36"/>
      <c r="HI135" s="36"/>
      <c r="HJ135" s="36"/>
      <c r="HK135" s="36"/>
      <c r="HL135" s="36"/>
      <c r="HM135" s="36"/>
      <c r="HN135" s="36"/>
      <c r="HO135" s="36"/>
      <c r="HP135" s="36"/>
      <c r="HQ135" s="36"/>
      <c r="HR135" s="36"/>
      <c r="HS135" s="36"/>
      <c r="HT135" s="36"/>
      <c r="HU135" s="36"/>
      <c r="HV135" s="36"/>
      <c r="HW135" s="36"/>
      <c r="HX135" s="36"/>
      <c r="HY135" s="36"/>
      <c r="HZ135" s="36"/>
      <c r="IA135" s="36"/>
      <c r="IB135" s="36"/>
      <c r="IC135" s="36"/>
      <c r="ID135" s="36"/>
      <c r="IE135" s="36"/>
      <c r="IF135" s="36"/>
      <c r="IG135" s="36"/>
      <c r="IH135" s="36"/>
      <c r="II135" s="36"/>
      <c r="IJ135" s="36"/>
      <c r="IK135" s="36"/>
      <c r="IL135" s="36"/>
      <c r="IM135" s="36"/>
      <c r="IN135" s="36"/>
      <c r="IO135" s="36"/>
      <c r="IP135" s="36"/>
      <c r="IQ135" s="36"/>
      <c r="IR135" s="36"/>
      <c r="IS135" s="36"/>
      <c r="IT135" s="36"/>
      <c r="IU135" s="36"/>
      <c r="IV135" s="36"/>
      <c r="IW135" s="36"/>
      <c r="IX135" s="36"/>
      <c r="IY135" s="36"/>
      <c r="IZ135" s="36"/>
      <c r="JA135" s="36"/>
      <c r="JB135" s="36"/>
    </row>
    <row r="136" spans="1:262" s="13" customFormat="1" ht="12.6" customHeight="1">
      <c r="A136" s="328">
        <v>372</v>
      </c>
      <c r="B136" s="10" t="s">
        <v>5290</v>
      </c>
      <c r="C136" s="60">
        <f t="shared" si="42"/>
        <v>-262208</v>
      </c>
      <c r="D136" s="380">
        <f>D137+D138+D139</f>
        <v>3654</v>
      </c>
      <c r="E136" s="380">
        <f t="shared" ref="E136:V136" si="150">E137+E138+E139</f>
        <v>0</v>
      </c>
      <c r="F136" s="380">
        <f t="shared" si="150"/>
        <v>0</v>
      </c>
      <c r="G136" s="380">
        <f t="shared" si="150"/>
        <v>0</v>
      </c>
      <c r="H136" s="380">
        <f t="shared" si="150"/>
        <v>-50601</v>
      </c>
      <c r="I136" s="380">
        <f t="shared" si="150"/>
        <v>0</v>
      </c>
      <c r="J136" s="380">
        <f t="shared" si="150"/>
        <v>-208625</v>
      </c>
      <c r="K136" s="380">
        <f t="shared" si="150"/>
        <v>0</v>
      </c>
      <c r="L136" s="380">
        <f t="shared" si="150"/>
        <v>0</v>
      </c>
      <c r="M136" s="380">
        <f t="shared" si="150"/>
        <v>0</v>
      </c>
      <c r="N136" s="380">
        <f t="shared" si="150"/>
        <v>-6636</v>
      </c>
      <c r="O136" s="380">
        <f t="shared" si="150"/>
        <v>0</v>
      </c>
      <c r="P136" s="380">
        <f t="shared" si="150"/>
        <v>0</v>
      </c>
      <c r="Q136" s="380">
        <f t="shared" si="150"/>
        <v>0</v>
      </c>
      <c r="R136" s="380">
        <f t="shared" si="150"/>
        <v>0</v>
      </c>
      <c r="S136" s="380">
        <f t="shared" si="150"/>
        <v>0</v>
      </c>
      <c r="T136" s="380">
        <f t="shared" si="150"/>
        <v>0</v>
      </c>
      <c r="U136" s="380">
        <f t="shared" si="150"/>
        <v>0</v>
      </c>
      <c r="V136" s="380">
        <f t="shared" si="150"/>
        <v>0</v>
      </c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GW136" s="36"/>
      <c r="GX136" s="36"/>
      <c r="GY136" s="36"/>
      <c r="GZ136" s="36"/>
      <c r="HA136" s="36"/>
      <c r="HB136" s="36"/>
      <c r="HC136" s="36"/>
      <c r="HD136" s="36"/>
      <c r="HE136" s="36"/>
      <c r="HF136" s="36"/>
      <c r="HG136" s="36"/>
      <c r="HH136" s="36"/>
      <c r="HI136" s="36"/>
      <c r="HJ136" s="36"/>
      <c r="HK136" s="36"/>
      <c r="HL136" s="36"/>
      <c r="HM136" s="36"/>
      <c r="HN136" s="36"/>
      <c r="HO136" s="36"/>
      <c r="HP136" s="36"/>
      <c r="HQ136" s="36"/>
      <c r="HR136" s="36"/>
      <c r="HS136" s="36"/>
      <c r="HT136" s="36"/>
      <c r="HU136" s="36"/>
      <c r="HV136" s="36"/>
      <c r="HW136" s="36"/>
      <c r="HX136" s="36"/>
      <c r="HY136" s="36"/>
      <c r="HZ136" s="36"/>
      <c r="IA136" s="36"/>
      <c r="IB136" s="36"/>
      <c r="IC136" s="36"/>
      <c r="ID136" s="36"/>
      <c r="IE136" s="36"/>
      <c r="IF136" s="36"/>
      <c r="IG136" s="36"/>
      <c r="IH136" s="36"/>
      <c r="II136" s="36"/>
      <c r="IJ136" s="36"/>
      <c r="IK136" s="36"/>
      <c r="IL136" s="36"/>
      <c r="IM136" s="36"/>
      <c r="IN136" s="36"/>
      <c r="IO136" s="36"/>
      <c r="IP136" s="36"/>
      <c r="IQ136" s="36"/>
      <c r="IR136" s="36"/>
      <c r="IS136" s="36"/>
      <c r="IT136" s="36"/>
      <c r="IU136" s="36"/>
      <c r="IV136" s="36"/>
      <c r="IW136" s="36"/>
      <c r="IX136" s="36"/>
      <c r="IY136" s="36"/>
      <c r="IZ136" s="36"/>
      <c r="JA136" s="36"/>
      <c r="JB136" s="36"/>
    </row>
    <row r="137" spans="1:262" s="13" customFormat="1" ht="12.6" customHeight="1">
      <c r="A137" s="328">
        <v>3721</v>
      </c>
      <c r="B137" s="10" t="s">
        <v>65</v>
      </c>
      <c r="C137" s="60">
        <f t="shared" si="42"/>
        <v>-53583</v>
      </c>
      <c r="D137" s="380">
        <f>'Unos rashoda i izdataka'!K43</f>
        <v>3654</v>
      </c>
      <c r="E137" s="381"/>
      <c r="F137" s="381"/>
      <c r="G137" s="381"/>
      <c r="H137" s="380">
        <f>'Unos rashoda i izdataka'!K92</f>
        <v>-50601</v>
      </c>
      <c r="I137" s="381"/>
      <c r="J137" s="380">
        <f>'Unos rashoda i izdataka'!K119</f>
        <v>0</v>
      </c>
      <c r="K137" s="381"/>
      <c r="L137" s="381"/>
      <c r="M137" s="381"/>
      <c r="N137" s="380">
        <f>'Unos rashoda P4'!I20</f>
        <v>-6636</v>
      </c>
      <c r="O137" s="381"/>
      <c r="P137" s="381"/>
      <c r="Q137" s="381"/>
      <c r="R137" s="381"/>
      <c r="S137" s="381"/>
      <c r="T137" s="381"/>
      <c r="U137" s="381"/>
      <c r="V137" s="381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6"/>
      <c r="GL137" s="36"/>
      <c r="GM137" s="36"/>
      <c r="GN137" s="36"/>
      <c r="GO137" s="36"/>
      <c r="GP137" s="36"/>
      <c r="GQ137" s="36"/>
      <c r="GR137" s="36"/>
      <c r="GS137" s="36"/>
      <c r="GT137" s="36"/>
      <c r="GU137" s="36"/>
      <c r="GV137" s="36"/>
      <c r="GW137" s="36"/>
      <c r="GX137" s="36"/>
      <c r="GY137" s="36"/>
      <c r="GZ137" s="36"/>
      <c r="HA137" s="36"/>
      <c r="HB137" s="36"/>
      <c r="HC137" s="36"/>
      <c r="HD137" s="36"/>
      <c r="HE137" s="36"/>
      <c r="HF137" s="36"/>
      <c r="HG137" s="36"/>
      <c r="HH137" s="36"/>
      <c r="HI137" s="36"/>
      <c r="HJ137" s="36"/>
      <c r="HK137" s="36"/>
      <c r="HL137" s="36"/>
      <c r="HM137" s="36"/>
      <c r="HN137" s="36"/>
      <c r="HO137" s="36"/>
      <c r="HP137" s="36"/>
      <c r="HQ137" s="36"/>
      <c r="HR137" s="36"/>
      <c r="HS137" s="36"/>
      <c r="HT137" s="36"/>
      <c r="HU137" s="36"/>
      <c r="HV137" s="36"/>
      <c r="HW137" s="36"/>
      <c r="HX137" s="36"/>
      <c r="HY137" s="36"/>
      <c r="HZ137" s="36"/>
      <c r="IA137" s="36"/>
      <c r="IB137" s="36"/>
      <c r="IC137" s="36"/>
      <c r="ID137" s="36"/>
      <c r="IE137" s="36"/>
      <c r="IF137" s="36"/>
      <c r="IG137" s="36"/>
      <c r="IH137" s="36"/>
      <c r="II137" s="36"/>
      <c r="IJ137" s="36"/>
      <c r="IK137" s="36"/>
      <c r="IL137" s="36"/>
      <c r="IM137" s="36"/>
      <c r="IN137" s="36"/>
      <c r="IO137" s="36"/>
      <c r="IP137" s="36"/>
      <c r="IQ137" s="36"/>
      <c r="IR137" s="36"/>
      <c r="IS137" s="36"/>
      <c r="IT137" s="36"/>
      <c r="IU137" s="36"/>
      <c r="IV137" s="36"/>
      <c r="IW137" s="36"/>
      <c r="IX137" s="36"/>
      <c r="IY137" s="36"/>
      <c r="IZ137" s="36"/>
      <c r="JA137" s="36"/>
      <c r="JB137" s="36"/>
    </row>
    <row r="138" spans="1:262" s="13" customFormat="1" ht="12.6" customHeight="1">
      <c r="A138" s="328">
        <v>3722</v>
      </c>
      <c r="B138" s="10" t="s">
        <v>150</v>
      </c>
      <c r="C138" s="60">
        <f t="shared" ref="C138:C139" si="151">SUM(D138:V138)</f>
        <v>23547</v>
      </c>
      <c r="D138" s="380"/>
      <c r="E138" s="381"/>
      <c r="F138" s="381"/>
      <c r="G138" s="381"/>
      <c r="H138" s="380"/>
      <c r="I138" s="381"/>
      <c r="J138" s="380">
        <f>'Unos rashoda i izdataka'!K120</f>
        <v>23547</v>
      </c>
      <c r="K138" s="381"/>
      <c r="L138" s="381"/>
      <c r="M138" s="381"/>
      <c r="N138" s="380"/>
      <c r="O138" s="381"/>
      <c r="P138" s="381"/>
      <c r="Q138" s="381"/>
      <c r="R138" s="381"/>
      <c r="S138" s="381"/>
      <c r="T138" s="381"/>
      <c r="U138" s="381"/>
      <c r="V138" s="381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6"/>
      <c r="GL138" s="36"/>
      <c r="GM138" s="36"/>
      <c r="GN138" s="36"/>
      <c r="GO138" s="36"/>
      <c r="GP138" s="36"/>
      <c r="GQ138" s="36"/>
      <c r="GR138" s="36"/>
      <c r="GS138" s="36"/>
      <c r="GT138" s="36"/>
      <c r="GU138" s="36"/>
      <c r="GV138" s="36"/>
      <c r="GW138" s="36"/>
      <c r="GX138" s="36"/>
      <c r="GY138" s="36"/>
      <c r="GZ138" s="36"/>
      <c r="HA138" s="36"/>
      <c r="HB138" s="36"/>
      <c r="HC138" s="36"/>
      <c r="HD138" s="36"/>
      <c r="HE138" s="36"/>
      <c r="HF138" s="36"/>
      <c r="HG138" s="36"/>
      <c r="HH138" s="36"/>
      <c r="HI138" s="36"/>
      <c r="HJ138" s="36"/>
      <c r="HK138" s="36"/>
      <c r="HL138" s="36"/>
      <c r="HM138" s="36"/>
      <c r="HN138" s="36"/>
      <c r="HO138" s="36"/>
      <c r="HP138" s="36"/>
      <c r="HQ138" s="36"/>
      <c r="HR138" s="36"/>
      <c r="HS138" s="36"/>
      <c r="HT138" s="36"/>
      <c r="HU138" s="36"/>
      <c r="HV138" s="36"/>
      <c r="HW138" s="36"/>
      <c r="HX138" s="36"/>
      <c r="HY138" s="36"/>
      <c r="HZ138" s="36"/>
      <c r="IA138" s="36"/>
      <c r="IB138" s="36"/>
      <c r="IC138" s="36"/>
      <c r="ID138" s="36"/>
      <c r="IE138" s="36"/>
      <c r="IF138" s="36"/>
      <c r="IG138" s="36"/>
      <c r="IH138" s="36"/>
      <c r="II138" s="36"/>
      <c r="IJ138" s="36"/>
      <c r="IK138" s="36"/>
      <c r="IL138" s="36"/>
      <c r="IM138" s="36"/>
      <c r="IN138" s="36"/>
      <c r="IO138" s="36"/>
      <c r="IP138" s="36"/>
      <c r="IQ138" s="36"/>
      <c r="IR138" s="36"/>
      <c r="IS138" s="36"/>
      <c r="IT138" s="36"/>
      <c r="IU138" s="36"/>
      <c r="IV138" s="36"/>
      <c r="IW138" s="36"/>
      <c r="IX138" s="36"/>
      <c r="IY138" s="36"/>
      <c r="IZ138" s="36"/>
      <c r="JA138" s="36"/>
      <c r="JB138" s="36"/>
    </row>
    <row r="139" spans="1:262" s="13" customFormat="1" ht="12.6" customHeight="1">
      <c r="A139" s="328">
        <v>3723</v>
      </c>
      <c r="B139" s="10" t="s">
        <v>105</v>
      </c>
      <c r="C139" s="60">
        <f t="shared" si="151"/>
        <v>-232172</v>
      </c>
      <c r="D139" s="380"/>
      <c r="E139" s="381"/>
      <c r="F139" s="381"/>
      <c r="G139" s="381"/>
      <c r="H139" s="380"/>
      <c r="I139" s="381"/>
      <c r="J139" s="380">
        <f>'Unos rashoda P4'!I42</f>
        <v>-232172</v>
      </c>
      <c r="K139" s="381"/>
      <c r="L139" s="381"/>
      <c r="M139" s="381"/>
      <c r="N139" s="380"/>
      <c r="O139" s="381"/>
      <c r="P139" s="381"/>
      <c r="Q139" s="381"/>
      <c r="R139" s="381"/>
      <c r="S139" s="381"/>
      <c r="T139" s="381"/>
      <c r="U139" s="381"/>
      <c r="V139" s="381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6"/>
      <c r="GL139" s="36"/>
      <c r="GM139" s="36"/>
      <c r="GN139" s="36"/>
      <c r="GO139" s="36"/>
      <c r="GP139" s="36"/>
      <c r="GQ139" s="36"/>
      <c r="GR139" s="36"/>
      <c r="GS139" s="36"/>
      <c r="GT139" s="36"/>
      <c r="GU139" s="36"/>
      <c r="GV139" s="36"/>
      <c r="GW139" s="36"/>
      <c r="GX139" s="36"/>
      <c r="GY139" s="36"/>
      <c r="GZ139" s="36"/>
      <c r="HA139" s="36"/>
      <c r="HB139" s="36"/>
      <c r="HC139" s="36"/>
      <c r="HD139" s="36"/>
      <c r="HE139" s="36"/>
      <c r="HF139" s="36"/>
      <c r="HG139" s="36"/>
      <c r="HH139" s="36"/>
      <c r="HI139" s="36"/>
      <c r="HJ139" s="36"/>
      <c r="HK139" s="36"/>
      <c r="HL139" s="36"/>
      <c r="HM139" s="36"/>
      <c r="HN139" s="36"/>
      <c r="HO139" s="36"/>
      <c r="HP139" s="36"/>
      <c r="HQ139" s="36"/>
      <c r="HR139" s="36"/>
      <c r="HS139" s="36"/>
      <c r="HT139" s="36"/>
      <c r="HU139" s="36"/>
      <c r="HV139" s="36"/>
      <c r="HW139" s="36"/>
      <c r="HX139" s="36"/>
      <c r="HY139" s="36"/>
      <c r="HZ139" s="36"/>
      <c r="IA139" s="36"/>
      <c r="IB139" s="36"/>
      <c r="IC139" s="36"/>
      <c r="ID139" s="36"/>
      <c r="IE139" s="36"/>
      <c r="IF139" s="36"/>
      <c r="IG139" s="36"/>
      <c r="IH139" s="36"/>
      <c r="II139" s="36"/>
      <c r="IJ139" s="36"/>
      <c r="IK139" s="36"/>
      <c r="IL139" s="36"/>
      <c r="IM139" s="36"/>
      <c r="IN139" s="36"/>
      <c r="IO139" s="36"/>
      <c r="IP139" s="36"/>
      <c r="IQ139" s="36"/>
      <c r="IR139" s="36"/>
      <c r="IS139" s="36"/>
      <c r="IT139" s="36"/>
      <c r="IU139" s="36"/>
      <c r="IV139" s="36"/>
      <c r="IW139" s="36"/>
      <c r="IX139" s="36"/>
      <c r="IY139" s="36"/>
      <c r="IZ139" s="36"/>
      <c r="JA139" s="36"/>
      <c r="JB139" s="36"/>
    </row>
    <row r="140" spans="1:262" s="13" customFormat="1" ht="12.6" customHeight="1">
      <c r="A140" s="328">
        <v>38</v>
      </c>
      <c r="B140" s="10" t="s">
        <v>202</v>
      </c>
      <c r="C140" s="60">
        <f t="shared" si="42"/>
        <v>-32814</v>
      </c>
      <c r="D140" s="380">
        <f>D141</f>
        <v>-18989</v>
      </c>
      <c r="E140" s="380">
        <f t="shared" ref="E140" si="152">E141</f>
        <v>0</v>
      </c>
      <c r="F140" s="380">
        <f t="shared" ref="F140" si="153">F141</f>
        <v>-6963</v>
      </c>
      <c r="G140" s="380">
        <f t="shared" ref="G140" si="154">G141</f>
        <v>0</v>
      </c>
      <c r="H140" s="380">
        <f t="shared" ref="H140" si="155">H141</f>
        <v>-6862</v>
      </c>
      <c r="I140" s="380">
        <f t="shared" ref="I140" si="156">I141</f>
        <v>0</v>
      </c>
      <c r="J140" s="380">
        <f t="shared" ref="J140" si="157">J141</f>
        <v>0</v>
      </c>
      <c r="K140" s="380">
        <f t="shared" ref="K140" si="158">K141</f>
        <v>0</v>
      </c>
      <c r="L140" s="380">
        <f t="shared" ref="L140" si="159">L141</f>
        <v>0</v>
      </c>
      <c r="M140" s="380">
        <f t="shared" ref="M140" si="160">M141</f>
        <v>0</v>
      </c>
      <c r="N140" s="380">
        <f t="shared" ref="N140" si="161">N141</f>
        <v>0</v>
      </c>
      <c r="O140" s="380">
        <f t="shared" ref="O140" si="162">O141</f>
        <v>0</v>
      </c>
      <c r="P140" s="380">
        <f t="shared" ref="P140" si="163">P141</f>
        <v>0</v>
      </c>
      <c r="Q140" s="380">
        <f t="shared" ref="Q140" si="164">Q141</f>
        <v>0</v>
      </c>
      <c r="R140" s="380">
        <f t="shared" ref="R140" si="165">R141</f>
        <v>0</v>
      </c>
      <c r="S140" s="380">
        <f t="shared" ref="S140" si="166">S141</f>
        <v>0</v>
      </c>
      <c r="T140" s="380">
        <f t="shared" ref="T140" si="167">T141</f>
        <v>0</v>
      </c>
      <c r="U140" s="380">
        <f t="shared" ref="U140" si="168">U141</f>
        <v>0</v>
      </c>
      <c r="V140" s="380">
        <f t="shared" ref="V140" si="169">V141</f>
        <v>0</v>
      </c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6"/>
      <c r="GL140" s="36"/>
      <c r="GM140" s="36"/>
      <c r="GN140" s="36"/>
      <c r="GO140" s="36"/>
      <c r="GP140" s="36"/>
      <c r="GQ140" s="36"/>
      <c r="GR140" s="36"/>
      <c r="GS140" s="36"/>
      <c r="GT140" s="36"/>
      <c r="GU140" s="36"/>
      <c r="GV140" s="36"/>
      <c r="GW140" s="36"/>
      <c r="GX140" s="36"/>
      <c r="GY140" s="36"/>
      <c r="GZ140" s="36"/>
      <c r="HA140" s="36"/>
      <c r="HB140" s="36"/>
      <c r="HC140" s="36"/>
      <c r="HD140" s="36"/>
      <c r="HE140" s="36"/>
      <c r="HF140" s="36"/>
      <c r="HG140" s="36"/>
      <c r="HH140" s="36"/>
      <c r="HI140" s="36"/>
      <c r="HJ140" s="36"/>
      <c r="HK140" s="36"/>
      <c r="HL140" s="36"/>
      <c r="HM140" s="36"/>
      <c r="HN140" s="36"/>
      <c r="HO140" s="36"/>
      <c r="HP140" s="36"/>
      <c r="HQ140" s="36"/>
      <c r="HR140" s="36"/>
      <c r="HS140" s="36"/>
      <c r="HT140" s="36"/>
      <c r="HU140" s="36"/>
      <c r="HV140" s="36"/>
      <c r="HW140" s="36"/>
      <c r="HX140" s="36"/>
      <c r="HY140" s="36"/>
      <c r="HZ140" s="36"/>
      <c r="IA140" s="36"/>
      <c r="IB140" s="36"/>
      <c r="IC140" s="36"/>
      <c r="ID140" s="36"/>
      <c r="IE140" s="36"/>
      <c r="IF140" s="36"/>
      <c r="IG140" s="36"/>
      <c r="IH140" s="36"/>
      <c r="II140" s="36"/>
      <c r="IJ140" s="36"/>
      <c r="IK140" s="36"/>
      <c r="IL140" s="36"/>
      <c r="IM140" s="36"/>
      <c r="IN140" s="36"/>
      <c r="IO140" s="36"/>
      <c r="IP140" s="36"/>
      <c r="IQ140" s="36"/>
      <c r="IR140" s="36"/>
      <c r="IS140" s="36"/>
      <c r="IT140" s="36"/>
      <c r="IU140" s="36"/>
      <c r="IV140" s="36"/>
      <c r="IW140" s="36"/>
      <c r="IX140" s="36"/>
      <c r="IY140" s="36"/>
      <c r="IZ140" s="36"/>
      <c r="JA140" s="36"/>
      <c r="JB140" s="36"/>
    </row>
    <row r="141" spans="1:262" s="13" customFormat="1" ht="12.6" customHeight="1">
      <c r="A141" s="328">
        <v>381</v>
      </c>
      <c r="B141" s="10" t="s">
        <v>5291</v>
      </c>
      <c r="C141" s="60">
        <f t="shared" si="42"/>
        <v>-32814</v>
      </c>
      <c r="D141" s="380">
        <f t="shared" ref="D141:G141" si="170">D142+D143</f>
        <v>-18989</v>
      </c>
      <c r="E141" s="380">
        <f t="shared" si="170"/>
        <v>0</v>
      </c>
      <c r="F141" s="380">
        <f t="shared" si="170"/>
        <v>-6963</v>
      </c>
      <c r="G141" s="380">
        <f t="shared" si="170"/>
        <v>0</v>
      </c>
      <c r="H141" s="380">
        <f>H142+H143</f>
        <v>-6862</v>
      </c>
      <c r="I141" s="380">
        <f t="shared" ref="I141" si="171">I142+I143</f>
        <v>0</v>
      </c>
      <c r="J141" s="380">
        <f t="shared" ref="J141" si="172">J142+J143</f>
        <v>0</v>
      </c>
      <c r="K141" s="380">
        <f t="shared" ref="K141" si="173">K142+K143</f>
        <v>0</v>
      </c>
      <c r="L141" s="380">
        <f t="shared" ref="L141:M141" si="174">L142+L143</f>
        <v>0</v>
      </c>
      <c r="M141" s="380">
        <f t="shared" si="174"/>
        <v>0</v>
      </c>
      <c r="N141" s="380">
        <f t="shared" ref="N141" si="175">N142+N143</f>
        <v>0</v>
      </c>
      <c r="O141" s="380">
        <f t="shared" ref="O141" si="176">O142+O143</f>
        <v>0</v>
      </c>
      <c r="P141" s="380">
        <f t="shared" ref="P141" si="177">P142+P143</f>
        <v>0</v>
      </c>
      <c r="Q141" s="380">
        <f t="shared" ref="Q141:R141" si="178">Q142+Q143</f>
        <v>0</v>
      </c>
      <c r="R141" s="380">
        <f t="shared" si="178"/>
        <v>0</v>
      </c>
      <c r="S141" s="380">
        <f t="shared" ref="S141" si="179">S142+S143</f>
        <v>0</v>
      </c>
      <c r="T141" s="380">
        <f t="shared" ref="T141" si="180">T142+T143</f>
        <v>0</v>
      </c>
      <c r="U141" s="380">
        <f t="shared" ref="U141" si="181">U142+U143</f>
        <v>0</v>
      </c>
      <c r="V141" s="380">
        <f t="shared" ref="V141" si="182">V142+V143</f>
        <v>0</v>
      </c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6"/>
      <c r="GL141" s="36"/>
      <c r="GM141" s="36"/>
      <c r="GN141" s="36"/>
      <c r="GO141" s="36"/>
      <c r="GP141" s="36"/>
      <c r="GQ141" s="36"/>
      <c r="GR141" s="36"/>
      <c r="GS141" s="36"/>
      <c r="GT141" s="36"/>
      <c r="GU141" s="36"/>
      <c r="GV141" s="36"/>
      <c r="GW141" s="36"/>
      <c r="GX141" s="36"/>
      <c r="GY141" s="36"/>
      <c r="GZ141" s="36"/>
      <c r="HA141" s="36"/>
      <c r="HB141" s="36"/>
      <c r="HC141" s="36"/>
      <c r="HD141" s="36"/>
      <c r="HE141" s="36"/>
      <c r="HF141" s="36"/>
      <c r="HG141" s="36"/>
      <c r="HH141" s="36"/>
      <c r="HI141" s="36"/>
      <c r="HJ141" s="36"/>
      <c r="HK141" s="36"/>
      <c r="HL141" s="36"/>
      <c r="HM141" s="36"/>
      <c r="HN141" s="36"/>
      <c r="HO141" s="36"/>
      <c r="HP141" s="36"/>
      <c r="HQ141" s="36"/>
      <c r="HR141" s="36"/>
      <c r="HS141" s="36"/>
      <c r="HT141" s="36"/>
      <c r="HU141" s="36"/>
      <c r="HV141" s="36"/>
      <c r="HW141" s="36"/>
      <c r="HX141" s="36"/>
      <c r="HY141" s="36"/>
      <c r="HZ141" s="36"/>
      <c r="IA141" s="36"/>
      <c r="IB141" s="36"/>
      <c r="IC141" s="36"/>
      <c r="ID141" s="36"/>
      <c r="IE141" s="36"/>
      <c r="IF141" s="36"/>
      <c r="IG141" s="36"/>
      <c r="IH141" s="36"/>
      <c r="II141" s="36"/>
      <c r="IJ141" s="36"/>
      <c r="IK141" s="36"/>
      <c r="IL141" s="36"/>
      <c r="IM141" s="36"/>
      <c r="IN141" s="36"/>
      <c r="IO141" s="36"/>
      <c r="IP141" s="36"/>
      <c r="IQ141" s="36"/>
      <c r="IR141" s="36"/>
      <c r="IS141" s="36"/>
      <c r="IT141" s="36"/>
      <c r="IU141" s="36"/>
      <c r="IV141" s="36"/>
      <c r="IW141" s="36"/>
      <c r="IX141" s="36"/>
      <c r="IY141" s="36"/>
      <c r="IZ141" s="36"/>
      <c r="JA141" s="36"/>
      <c r="JB141" s="36"/>
    </row>
    <row r="142" spans="1:262" s="13" customFormat="1" ht="12.6" customHeight="1">
      <c r="A142" s="328">
        <v>3811</v>
      </c>
      <c r="B142" s="10" t="s">
        <v>55</v>
      </c>
      <c r="C142" s="60">
        <f t="shared" si="42"/>
        <v>-28933</v>
      </c>
      <c r="D142" s="380">
        <f>'Unos rashoda i izdataka'!K10</f>
        <v>-18989</v>
      </c>
      <c r="E142" s="380"/>
      <c r="F142" s="380">
        <f>'Unos rashoda i izdataka'!K62</f>
        <v>-6963</v>
      </c>
      <c r="G142" s="380"/>
      <c r="H142" s="380">
        <f>'Unos rashoda i izdataka'!K93</f>
        <v>-2981</v>
      </c>
      <c r="I142" s="380"/>
      <c r="J142" s="380"/>
      <c r="K142" s="380"/>
      <c r="L142" s="380"/>
      <c r="M142" s="380"/>
      <c r="N142" s="380"/>
      <c r="O142" s="380"/>
      <c r="P142" s="380"/>
      <c r="Q142" s="380"/>
      <c r="R142" s="380"/>
      <c r="S142" s="380"/>
      <c r="T142" s="380"/>
      <c r="U142" s="380"/>
      <c r="V142" s="380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6"/>
      <c r="GL142" s="36"/>
      <c r="GM142" s="36"/>
      <c r="GN142" s="36"/>
      <c r="GO142" s="36"/>
      <c r="GP142" s="36"/>
      <c r="GQ142" s="36"/>
      <c r="GR142" s="36"/>
      <c r="GS142" s="36"/>
      <c r="GT142" s="36"/>
      <c r="GU142" s="36"/>
      <c r="GV142" s="36"/>
      <c r="GW142" s="36"/>
      <c r="GX142" s="36"/>
      <c r="GY142" s="36"/>
      <c r="GZ142" s="36"/>
      <c r="HA142" s="36"/>
      <c r="HB142" s="36"/>
      <c r="HC142" s="36"/>
      <c r="HD142" s="36"/>
      <c r="HE142" s="36"/>
      <c r="HF142" s="36"/>
      <c r="HG142" s="36"/>
      <c r="HH142" s="36"/>
      <c r="HI142" s="36"/>
      <c r="HJ142" s="36"/>
      <c r="HK142" s="36"/>
      <c r="HL142" s="36"/>
      <c r="HM142" s="36"/>
      <c r="HN142" s="36"/>
      <c r="HO142" s="36"/>
      <c r="HP142" s="36"/>
      <c r="HQ142" s="36"/>
      <c r="HR142" s="36"/>
      <c r="HS142" s="36"/>
      <c r="HT142" s="36"/>
      <c r="HU142" s="36"/>
      <c r="HV142" s="36"/>
      <c r="HW142" s="36"/>
      <c r="HX142" s="36"/>
      <c r="HY142" s="36"/>
      <c r="HZ142" s="36"/>
      <c r="IA142" s="36"/>
      <c r="IB142" s="36"/>
      <c r="IC142" s="36"/>
      <c r="ID142" s="36"/>
      <c r="IE142" s="36"/>
      <c r="IF142" s="36"/>
      <c r="IG142" s="36"/>
      <c r="IH142" s="36"/>
      <c r="II142" s="36"/>
      <c r="IJ142" s="36"/>
      <c r="IK142" s="36"/>
      <c r="IL142" s="36"/>
      <c r="IM142" s="36"/>
      <c r="IN142" s="36"/>
      <c r="IO142" s="36"/>
      <c r="IP142" s="36"/>
      <c r="IQ142" s="36"/>
      <c r="IR142" s="36"/>
      <c r="IS142" s="36"/>
      <c r="IT142" s="36"/>
      <c r="IU142" s="36"/>
      <c r="IV142" s="36"/>
      <c r="IW142" s="36"/>
      <c r="IX142" s="36"/>
      <c r="IY142" s="36"/>
      <c r="IZ142" s="36"/>
      <c r="JA142" s="36"/>
      <c r="JB142" s="36"/>
    </row>
    <row r="143" spans="1:262" s="13" customFormat="1" ht="12.6" customHeight="1">
      <c r="A143" s="328">
        <v>3812</v>
      </c>
      <c r="B143" s="10" t="s">
        <v>5292</v>
      </c>
      <c r="C143" s="60"/>
      <c r="D143" s="382"/>
      <c r="E143" s="382"/>
      <c r="F143" s="382"/>
      <c r="G143" s="382"/>
      <c r="H143" s="382">
        <f>'Unos rashoda i izdataka'!K94</f>
        <v>-3881</v>
      </c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2"/>
      <c r="T143" s="382"/>
      <c r="U143" s="382"/>
      <c r="V143" s="382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6"/>
      <c r="GL143" s="36"/>
      <c r="GM143" s="36"/>
      <c r="GN143" s="36"/>
      <c r="GO143" s="36"/>
      <c r="GP143" s="36"/>
      <c r="GQ143" s="36"/>
      <c r="GR143" s="36"/>
      <c r="GS143" s="36"/>
      <c r="GT143" s="36"/>
      <c r="GU143" s="36"/>
      <c r="GV143" s="36"/>
      <c r="GW143" s="36"/>
      <c r="GX143" s="36"/>
      <c r="GY143" s="36"/>
      <c r="GZ143" s="36"/>
      <c r="HA143" s="36"/>
      <c r="HB143" s="36"/>
      <c r="HC143" s="36"/>
      <c r="HD143" s="36"/>
      <c r="HE143" s="36"/>
      <c r="HF143" s="36"/>
      <c r="HG143" s="36"/>
      <c r="HH143" s="36"/>
      <c r="HI143" s="36"/>
      <c r="HJ143" s="36"/>
      <c r="HK143" s="36"/>
      <c r="HL143" s="36"/>
      <c r="HM143" s="36"/>
      <c r="HN143" s="36"/>
      <c r="HO143" s="36"/>
      <c r="HP143" s="36"/>
      <c r="HQ143" s="36"/>
      <c r="HR143" s="36"/>
      <c r="HS143" s="36"/>
      <c r="HT143" s="36"/>
      <c r="HU143" s="36"/>
      <c r="HV143" s="36"/>
      <c r="HW143" s="36"/>
      <c r="HX143" s="36"/>
      <c r="HY143" s="36"/>
      <c r="HZ143" s="36"/>
      <c r="IA143" s="36"/>
      <c r="IB143" s="36"/>
      <c r="IC143" s="36"/>
      <c r="ID143" s="36"/>
      <c r="IE143" s="36"/>
      <c r="IF143" s="36"/>
      <c r="IG143" s="36"/>
      <c r="IH143" s="36"/>
      <c r="II143" s="36"/>
      <c r="IJ143" s="36"/>
      <c r="IK143" s="36"/>
      <c r="IL143" s="36"/>
      <c r="IM143" s="36"/>
      <c r="IN143" s="36"/>
      <c r="IO143" s="36"/>
      <c r="IP143" s="36"/>
      <c r="IQ143" s="36"/>
      <c r="IR143" s="36"/>
      <c r="IS143" s="36"/>
      <c r="IT143" s="36"/>
      <c r="IU143" s="36"/>
      <c r="IV143" s="36"/>
      <c r="IW143" s="36"/>
      <c r="IX143" s="36"/>
      <c r="IY143" s="36"/>
      <c r="IZ143" s="36"/>
      <c r="JA143" s="36"/>
      <c r="JB143" s="36"/>
    </row>
    <row r="144" spans="1:262" s="14" customFormat="1" ht="12.6" customHeight="1">
      <c r="A144" s="329">
        <v>4</v>
      </c>
      <c r="B144" s="66" t="s">
        <v>203</v>
      </c>
      <c r="C144" s="60">
        <f t="shared" si="42"/>
        <v>-501018</v>
      </c>
      <c r="D144" s="68">
        <f>+D145+D146+D147+D148+D149</f>
        <v>-138837</v>
      </c>
      <c r="E144" s="68">
        <f t="shared" ref="E144" si="183">+E145+E146+E147+E148+E149</f>
        <v>-46930</v>
      </c>
      <c r="F144" s="68">
        <f t="shared" ref="F144" si="184">+F145+F146+F147+F148+F149</f>
        <v>0</v>
      </c>
      <c r="G144" s="68">
        <f t="shared" ref="G144" si="185">+G145+G146+G147+G148+G149</f>
        <v>0</v>
      </c>
      <c r="H144" s="68">
        <f t="shared" ref="H144" si="186">+H145+H146+H147+H148+H149</f>
        <v>27292</v>
      </c>
      <c r="I144" s="68">
        <f t="shared" ref="I144" si="187">+I145+I146+I147+I148+I149</f>
        <v>0</v>
      </c>
      <c r="J144" s="68">
        <f t="shared" ref="J144" si="188">+J145+J146+J147+J148+J149</f>
        <v>99000</v>
      </c>
      <c r="K144" s="68">
        <f t="shared" ref="K144" si="189">+K145+K146+K147+K148+K149</f>
        <v>0</v>
      </c>
      <c r="L144" s="68">
        <f t="shared" ref="L144" si="190">+L145+L146+L147+L148+L149</f>
        <v>0</v>
      </c>
      <c r="M144" s="68">
        <f t="shared" ref="M144" si="191">+M145+M146+M147+M148+M149</f>
        <v>0</v>
      </c>
      <c r="N144" s="68">
        <f t="shared" ref="N144" si="192">+N145+N146+N147+N148+N149</f>
        <v>-441543</v>
      </c>
      <c r="O144" s="68">
        <f t="shared" ref="O144" si="193">+O145+O146+O147+O148+O149</f>
        <v>0</v>
      </c>
      <c r="P144" s="68">
        <f t="shared" ref="P144" si="194">+P145+P146+P147+P148+P149</f>
        <v>0</v>
      </c>
      <c r="Q144" s="68">
        <f t="shared" ref="Q144" si="195">+Q145+Q146+Q147+Q148+Q149</f>
        <v>0</v>
      </c>
      <c r="R144" s="68">
        <f t="shared" ref="R144" si="196">+R145+R146+R147+R148+R149</f>
        <v>0</v>
      </c>
      <c r="S144" s="68">
        <f t="shared" ref="S144" si="197">+S145+S146+S147+S148+S149</f>
        <v>0</v>
      </c>
      <c r="T144" s="68">
        <f t="shared" ref="T144" si="198">+T145+T146+T147+T148+T149</f>
        <v>0</v>
      </c>
      <c r="U144" s="68">
        <f t="shared" ref="U144" si="199">+U145+U146+U147+U148+U149</f>
        <v>0</v>
      </c>
      <c r="V144" s="68">
        <f t="shared" ref="V144" si="200">+V145+V146+V147+V148+V149</f>
        <v>0</v>
      </c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9" customFormat="1" ht="12.6" customHeight="1">
      <c r="A145" s="327">
        <v>41</v>
      </c>
      <c r="B145" s="8" t="s">
        <v>254</v>
      </c>
      <c r="C145" s="60">
        <f t="shared" si="42"/>
        <v>-4979</v>
      </c>
      <c r="D145" s="380">
        <f>'Unos rashoda i izdataka'!K44</f>
        <v>-4979</v>
      </c>
      <c r="E145" s="380"/>
      <c r="F145" s="38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6"/>
      <c r="GL145" s="36"/>
      <c r="GM145" s="36"/>
      <c r="GN145" s="36"/>
      <c r="GO145" s="36"/>
      <c r="GP145" s="36"/>
      <c r="GQ145" s="36"/>
      <c r="GR145" s="36"/>
      <c r="GS145" s="36"/>
      <c r="GT145" s="36"/>
      <c r="GU145" s="36"/>
      <c r="GV145" s="36"/>
      <c r="GW145" s="36"/>
      <c r="GX145" s="36"/>
      <c r="GY145" s="36"/>
      <c r="GZ145" s="36"/>
      <c r="HA145" s="36"/>
      <c r="HB145" s="36"/>
      <c r="HC145" s="36"/>
      <c r="HD145" s="36"/>
      <c r="HE145" s="36"/>
      <c r="HF145" s="36"/>
      <c r="HG145" s="36"/>
      <c r="HH145" s="36"/>
      <c r="HI145" s="36"/>
      <c r="HJ145" s="36"/>
      <c r="HK145" s="36"/>
      <c r="HL145" s="36"/>
      <c r="HM145" s="36"/>
      <c r="HN145" s="36"/>
      <c r="HO145" s="36"/>
      <c r="HP145" s="36"/>
      <c r="HQ145" s="36"/>
      <c r="HR145" s="36"/>
      <c r="HS145" s="36"/>
      <c r="HT145" s="36"/>
      <c r="HU145" s="36"/>
      <c r="HV145" s="36"/>
      <c r="HW145" s="36"/>
      <c r="HX145" s="36"/>
      <c r="HY145" s="36"/>
      <c r="HZ145" s="36"/>
      <c r="IA145" s="36"/>
      <c r="IB145" s="36"/>
      <c r="IC145" s="36"/>
      <c r="ID145" s="36"/>
      <c r="IE145" s="36"/>
      <c r="IF145" s="36"/>
      <c r="IG145" s="36"/>
      <c r="IH145" s="36"/>
      <c r="II145" s="36"/>
      <c r="IJ145" s="36"/>
      <c r="IK145" s="36"/>
      <c r="IL145" s="36"/>
      <c r="IM145" s="36"/>
      <c r="IN145" s="36"/>
      <c r="IO145" s="36"/>
      <c r="IP145" s="36"/>
      <c r="IQ145" s="36"/>
      <c r="IR145" s="36"/>
      <c r="IS145" s="36"/>
      <c r="IT145" s="36"/>
      <c r="IU145" s="36"/>
      <c r="IV145" s="36"/>
      <c r="IW145" s="36"/>
      <c r="IX145" s="36"/>
      <c r="IY145" s="36"/>
      <c r="IZ145" s="36"/>
      <c r="JA145" s="36"/>
      <c r="JB145" s="36"/>
    </row>
    <row r="146" spans="1:262" s="13" customFormat="1" ht="12.6" customHeight="1">
      <c r="A146" s="328">
        <v>42</v>
      </c>
      <c r="B146" s="10" t="s">
        <v>231</v>
      </c>
      <c r="C146" s="60">
        <f t="shared" si="42"/>
        <v>-493650</v>
      </c>
      <c r="D146" s="380">
        <f>'Unos rashoda i izdataka'!K45+'Unos rashoda i izdataka'!K46+'Unos rashoda i izdataka'!K47+'Unos rashoda i izdataka'!K48+'Unos rashoda i izdataka'!K49+'Unos rashoda i izdataka'!K50+'Unos rashoda i izdataka'!K51+'Unos rashoda i izdataka'!K52+'Unos rashoda i izdataka'!K53+'Unos rashoda i izdataka'!K54</f>
        <v>-133369</v>
      </c>
      <c r="E146" s="380">
        <f>'Unos rashoda P4'!I3</f>
        <v>-46930</v>
      </c>
      <c r="F146" s="380">
        <f>'Unos rashoda i izdataka'!K63+'Unos rashoda i izdataka'!K64+'Unos rashoda i izdataka'!K65+'Unos rashoda i izdataka'!K66</f>
        <v>0</v>
      </c>
      <c r="G146" s="380"/>
      <c r="H146" s="380">
        <f>'Unos rashoda i izdataka'!K95+'Unos rashoda i izdataka'!K96+'Unos rashoda i izdataka'!K97+'Unos rashoda i izdataka'!K98+'Unos rashoda i izdataka'!K99+'Unos rashoda i izdataka'!K100+'Unos rashoda i izdataka'!K101+'Unos rashoda i izdataka'!K102+'Unos rashoda i izdataka'!K103</f>
        <v>29192</v>
      </c>
      <c r="I146" s="380"/>
      <c r="J146" s="380">
        <f>'Unos rashoda P4'!I44+'Unos rashoda P4'!I45+'Unos rashoda P4'!I46+'Unos rashoda P4'!I47</f>
        <v>99000</v>
      </c>
      <c r="K146" s="380"/>
      <c r="L146" s="380"/>
      <c r="M146" s="380"/>
      <c r="N146" s="380">
        <f>'Unos rashoda P4'!I4+'Unos rashoda P4'!I13</f>
        <v>-441543</v>
      </c>
      <c r="O146" s="380"/>
      <c r="P146" s="380"/>
      <c r="Q146" s="380"/>
      <c r="R146" s="380"/>
      <c r="S146" s="380"/>
      <c r="T146" s="380"/>
      <c r="U146" s="380"/>
      <c r="V146" s="380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6"/>
      <c r="GL146" s="36"/>
      <c r="GM146" s="36"/>
      <c r="GN146" s="36"/>
      <c r="GO146" s="36"/>
      <c r="GP146" s="36"/>
      <c r="GQ146" s="36"/>
      <c r="GR146" s="36"/>
      <c r="GS146" s="36"/>
      <c r="GT146" s="36"/>
      <c r="GU146" s="36"/>
      <c r="GV146" s="36"/>
      <c r="GW146" s="36"/>
      <c r="GX146" s="36"/>
      <c r="GY146" s="36"/>
      <c r="GZ146" s="36"/>
      <c r="HA146" s="36"/>
      <c r="HB146" s="36"/>
      <c r="HC146" s="36"/>
      <c r="HD146" s="36"/>
      <c r="HE146" s="36"/>
      <c r="HF146" s="36"/>
      <c r="HG146" s="36"/>
      <c r="HH146" s="36"/>
      <c r="HI146" s="36"/>
      <c r="HJ146" s="36"/>
      <c r="HK146" s="36"/>
      <c r="HL146" s="36"/>
      <c r="HM146" s="36"/>
      <c r="HN146" s="36"/>
      <c r="HO146" s="36"/>
      <c r="HP146" s="36"/>
      <c r="HQ146" s="36"/>
      <c r="HR146" s="36"/>
      <c r="HS146" s="36"/>
      <c r="HT146" s="36"/>
      <c r="HU146" s="36"/>
      <c r="HV146" s="36"/>
      <c r="HW146" s="36"/>
      <c r="HX146" s="36"/>
      <c r="HY146" s="36"/>
      <c r="HZ146" s="36"/>
      <c r="IA146" s="36"/>
      <c r="IB146" s="36"/>
      <c r="IC146" s="36"/>
      <c r="ID146" s="36"/>
      <c r="IE146" s="36"/>
      <c r="IF146" s="36"/>
      <c r="IG146" s="36"/>
      <c r="IH146" s="36"/>
      <c r="II146" s="36"/>
      <c r="IJ146" s="36"/>
      <c r="IK146" s="36"/>
      <c r="IL146" s="36"/>
      <c r="IM146" s="36"/>
      <c r="IN146" s="36"/>
      <c r="IO146" s="36"/>
      <c r="IP146" s="36"/>
      <c r="IQ146" s="36"/>
      <c r="IR146" s="36"/>
      <c r="IS146" s="36"/>
      <c r="IT146" s="36"/>
      <c r="IU146" s="36"/>
      <c r="IV146" s="36"/>
      <c r="IW146" s="36"/>
      <c r="IX146" s="36"/>
      <c r="IY146" s="36"/>
      <c r="IZ146" s="36"/>
      <c r="JA146" s="36"/>
      <c r="JB146" s="36"/>
    </row>
    <row r="147" spans="1:262" s="9" customFormat="1" ht="12.6" customHeight="1">
      <c r="A147" s="327">
        <v>43</v>
      </c>
      <c r="B147" s="8" t="s">
        <v>255</v>
      </c>
      <c r="C147" s="60">
        <f t="shared" si="42"/>
        <v>-10</v>
      </c>
      <c r="D147" s="380">
        <f>'Unos rashoda i izdataka'!K55</f>
        <v>-10</v>
      </c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380"/>
      <c r="S147" s="380"/>
      <c r="T147" s="380"/>
      <c r="U147" s="380"/>
      <c r="V147" s="380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4"/>
      <c r="GL147" s="34"/>
      <c r="GM147" s="34"/>
      <c r="GN147" s="34"/>
      <c r="GO147" s="34"/>
      <c r="GP147" s="34"/>
      <c r="GQ147" s="34"/>
      <c r="GR147" s="34"/>
      <c r="GS147" s="34"/>
      <c r="GT147" s="34"/>
      <c r="GU147" s="34"/>
      <c r="GV147" s="34"/>
      <c r="GW147" s="34"/>
      <c r="GX147" s="34"/>
      <c r="GY147" s="34"/>
      <c r="GZ147" s="34"/>
      <c r="HA147" s="34"/>
      <c r="HB147" s="34"/>
      <c r="HC147" s="34"/>
      <c r="HD147" s="34"/>
      <c r="HE147" s="34"/>
      <c r="HF147" s="34"/>
      <c r="HG147" s="34"/>
      <c r="HH147" s="34"/>
      <c r="HI147" s="34"/>
      <c r="HJ147" s="34"/>
      <c r="HK147" s="34"/>
      <c r="HL147" s="34"/>
      <c r="HM147" s="34"/>
      <c r="HN147" s="34"/>
      <c r="HO147" s="34"/>
      <c r="HP147" s="34"/>
      <c r="HQ147" s="34"/>
      <c r="HR147" s="34"/>
      <c r="HS147" s="34"/>
      <c r="HT147" s="34"/>
      <c r="HU147" s="34"/>
      <c r="HV147" s="34"/>
      <c r="HW147" s="34"/>
      <c r="HX147" s="34"/>
      <c r="HY147" s="34"/>
      <c r="HZ147" s="34"/>
      <c r="IA147" s="34"/>
      <c r="IB147" s="34"/>
      <c r="IC147" s="34"/>
      <c r="ID147" s="34"/>
      <c r="IE147" s="34"/>
      <c r="IF147" s="34"/>
      <c r="IG147" s="34"/>
      <c r="IH147" s="34"/>
      <c r="II147" s="34"/>
      <c r="IJ147" s="34"/>
      <c r="IK147" s="34"/>
      <c r="IL147" s="34"/>
      <c r="IM147" s="34"/>
      <c r="IN147" s="34"/>
      <c r="IO147" s="34"/>
      <c r="IP147" s="34"/>
      <c r="IQ147" s="34"/>
      <c r="IR147" s="34"/>
      <c r="IS147" s="34"/>
      <c r="IT147" s="34"/>
      <c r="IU147" s="34"/>
      <c r="IV147" s="34"/>
      <c r="IW147" s="34"/>
      <c r="IX147" s="34"/>
      <c r="IY147" s="34"/>
      <c r="IZ147" s="34"/>
      <c r="JA147" s="34"/>
      <c r="JB147" s="34"/>
    </row>
    <row r="148" spans="1:262" s="9" customFormat="1" ht="12.6" customHeight="1">
      <c r="A148" s="327">
        <v>44</v>
      </c>
      <c r="B148" s="8" t="s">
        <v>256</v>
      </c>
      <c r="C148" s="60">
        <f t="shared" si="42"/>
        <v>0</v>
      </c>
      <c r="D148" s="380">
        <v>0</v>
      </c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0"/>
      <c r="S148" s="380"/>
      <c r="T148" s="380"/>
      <c r="U148" s="380"/>
      <c r="V148" s="380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4"/>
      <c r="HN148" s="34"/>
      <c r="HO148" s="34"/>
      <c r="HP148" s="34"/>
      <c r="HQ148" s="34"/>
      <c r="HR148" s="34"/>
      <c r="HS148" s="34"/>
      <c r="HT148" s="34"/>
      <c r="HU148" s="34"/>
      <c r="HV148" s="34"/>
      <c r="HW148" s="34"/>
      <c r="HX148" s="34"/>
      <c r="HY148" s="34"/>
      <c r="HZ148" s="34"/>
      <c r="IA148" s="34"/>
      <c r="IB148" s="34"/>
      <c r="IC148" s="34"/>
      <c r="ID148" s="34"/>
      <c r="IE148" s="34"/>
      <c r="IF148" s="34"/>
      <c r="IG148" s="34"/>
      <c r="IH148" s="34"/>
      <c r="II148" s="34"/>
      <c r="IJ148" s="34"/>
      <c r="IK148" s="34"/>
      <c r="IL148" s="34"/>
      <c r="IM148" s="34"/>
      <c r="IN148" s="34"/>
      <c r="IO148" s="34"/>
      <c r="IP148" s="34"/>
      <c r="IQ148" s="34"/>
      <c r="IR148" s="34"/>
      <c r="IS148" s="34"/>
      <c r="IT148" s="34"/>
      <c r="IU148" s="34"/>
      <c r="IV148" s="34"/>
      <c r="IW148" s="34"/>
      <c r="IX148" s="34"/>
      <c r="IY148" s="34"/>
      <c r="IZ148" s="34"/>
      <c r="JA148" s="34"/>
      <c r="JB148" s="34"/>
    </row>
    <row r="149" spans="1:262" s="13" customFormat="1" ht="12.6" customHeight="1">
      <c r="A149" s="328">
        <v>45</v>
      </c>
      <c r="B149" s="10" t="s">
        <v>204</v>
      </c>
      <c r="C149" s="60">
        <f t="shared" si="42"/>
        <v>-2379</v>
      </c>
      <c r="D149" s="380">
        <f>'Unos rashoda i izdataka'!K56</f>
        <v>-479</v>
      </c>
      <c r="E149" s="380"/>
      <c r="F149" s="380"/>
      <c r="G149" s="380"/>
      <c r="H149" s="380">
        <f>'Unos rashoda i izdataka'!K104</f>
        <v>-1900</v>
      </c>
      <c r="I149" s="380"/>
      <c r="J149" s="380"/>
      <c r="K149" s="380"/>
      <c r="L149" s="380"/>
      <c r="M149" s="380"/>
      <c r="N149" s="380"/>
      <c r="O149" s="380"/>
      <c r="P149" s="380"/>
      <c r="Q149" s="380"/>
      <c r="R149" s="380"/>
      <c r="S149" s="380"/>
      <c r="T149" s="380"/>
      <c r="U149" s="380"/>
      <c r="V149" s="380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6"/>
      <c r="GL149" s="36"/>
      <c r="GM149" s="36"/>
      <c r="GN149" s="36"/>
      <c r="GO149" s="36"/>
      <c r="GP149" s="36"/>
      <c r="GQ149" s="36"/>
      <c r="GR149" s="36"/>
      <c r="GS149" s="36"/>
      <c r="GT149" s="36"/>
      <c r="GU149" s="36"/>
      <c r="GV149" s="36"/>
      <c r="GW149" s="36"/>
      <c r="GX149" s="36"/>
      <c r="GY149" s="36"/>
      <c r="GZ149" s="36"/>
      <c r="HA149" s="36"/>
      <c r="HB149" s="36"/>
      <c r="HC149" s="36"/>
      <c r="HD149" s="36"/>
      <c r="HE149" s="36"/>
      <c r="HF149" s="36"/>
      <c r="HG149" s="36"/>
      <c r="HH149" s="36"/>
      <c r="HI149" s="36"/>
      <c r="HJ149" s="36"/>
      <c r="HK149" s="36"/>
      <c r="HL149" s="36"/>
      <c r="HM149" s="36"/>
      <c r="HN149" s="36"/>
      <c r="HO149" s="36"/>
      <c r="HP149" s="36"/>
      <c r="HQ149" s="36"/>
      <c r="HR149" s="36"/>
      <c r="HS149" s="36"/>
      <c r="HT149" s="36"/>
      <c r="HU149" s="36"/>
      <c r="HV149" s="36"/>
      <c r="HW149" s="36"/>
      <c r="HX149" s="36"/>
      <c r="HY149" s="36"/>
      <c r="HZ149" s="36"/>
      <c r="IA149" s="36"/>
      <c r="IB149" s="36"/>
      <c r="IC149" s="36"/>
      <c r="ID149" s="36"/>
      <c r="IE149" s="36"/>
      <c r="IF149" s="36"/>
      <c r="IG149" s="36"/>
      <c r="IH149" s="36"/>
      <c r="II149" s="36"/>
      <c r="IJ149" s="36"/>
      <c r="IK149" s="36"/>
      <c r="IL149" s="36"/>
      <c r="IM149" s="36"/>
      <c r="IN149" s="36"/>
      <c r="IO149" s="36"/>
      <c r="IP149" s="36"/>
      <c r="IQ149" s="36"/>
      <c r="IR149" s="36"/>
      <c r="IS149" s="36"/>
      <c r="IT149" s="36"/>
      <c r="IU149" s="36"/>
      <c r="IV149" s="36"/>
      <c r="IW149" s="36"/>
      <c r="IX149" s="36"/>
      <c r="IY149" s="36"/>
      <c r="IZ149" s="36"/>
      <c r="JA149" s="36"/>
      <c r="JB149" s="36"/>
    </row>
    <row r="150" spans="1:262" s="28" customFormat="1">
      <c r="A150" s="330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30" customFormat="1" ht="71.45" customHeight="1">
      <c r="A151" s="179" t="s">
        <v>195</v>
      </c>
      <c r="B151" s="41" t="s">
        <v>196</v>
      </c>
      <c r="C151" s="2" t="s">
        <v>3019</v>
      </c>
      <c r="D151" s="2" t="s">
        <v>37</v>
      </c>
      <c r="E151" s="2" t="s">
        <v>251</v>
      </c>
      <c r="F151" s="41" t="s">
        <v>16</v>
      </c>
      <c r="G151" s="41" t="s">
        <v>5111</v>
      </c>
      <c r="H151" s="41" t="s">
        <v>17</v>
      </c>
      <c r="I151" s="41" t="s">
        <v>240</v>
      </c>
      <c r="J151" s="41" t="s">
        <v>241</v>
      </c>
      <c r="K151" s="41" t="s">
        <v>1230</v>
      </c>
      <c r="L151" s="41" t="s">
        <v>242</v>
      </c>
      <c r="M151" s="41" t="s">
        <v>243</v>
      </c>
      <c r="N151" s="41" t="s">
        <v>244</v>
      </c>
      <c r="O151" s="41" t="s">
        <v>1231</v>
      </c>
      <c r="P151" s="41" t="s">
        <v>5117</v>
      </c>
      <c r="Q151" s="41" t="s">
        <v>5118</v>
      </c>
      <c r="R151" s="41" t="s">
        <v>3016</v>
      </c>
      <c r="S151" s="41" t="s">
        <v>245</v>
      </c>
      <c r="T151" s="41" t="s">
        <v>246</v>
      </c>
      <c r="U151" s="41" t="s">
        <v>1206</v>
      </c>
      <c r="V151" s="41" t="s">
        <v>1205</v>
      </c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15" customFormat="1" ht="19.5" customHeight="1">
      <c r="A152" s="332">
        <v>2023</v>
      </c>
      <c r="B152" s="331" t="s">
        <v>5267</v>
      </c>
      <c r="C152" s="377">
        <f>SUM(D152:V152)</f>
        <v>6740021</v>
      </c>
      <c r="D152" s="379">
        <f t="shared" ref="D152:V152" si="201">D153+D218</f>
        <v>3277919</v>
      </c>
      <c r="E152" s="379">
        <f t="shared" si="201"/>
        <v>44643</v>
      </c>
      <c r="F152" s="379">
        <f t="shared" si="201"/>
        <v>77500</v>
      </c>
      <c r="G152" s="379">
        <f t="shared" si="201"/>
        <v>0</v>
      </c>
      <c r="H152" s="379">
        <f t="shared" si="201"/>
        <v>744510</v>
      </c>
      <c r="I152" s="379">
        <f t="shared" si="201"/>
        <v>0</v>
      </c>
      <c r="J152" s="379">
        <f t="shared" si="201"/>
        <v>1729218</v>
      </c>
      <c r="K152" s="379">
        <f t="shared" si="201"/>
        <v>0</v>
      </c>
      <c r="L152" s="379">
        <f t="shared" si="201"/>
        <v>0</v>
      </c>
      <c r="M152" s="379">
        <f t="shared" si="201"/>
        <v>0</v>
      </c>
      <c r="N152" s="379">
        <f t="shared" si="201"/>
        <v>866231</v>
      </c>
      <c r="O152" s="61">
        <f t="shared" si="201"/>
        <v>0</v>
      </c>
      <c r="P152" s="61">
        <f t="shared" si="201"/>
        <v>0</v>
      </c>
      <c r="Q152" s="61">
        <f t="shared" si="201"/>
        <v>0</v>
      </c>
      <c r="R152" s="61">
        <f t="shared" si="201"/>
        <v>0</v>
      </c>
      <c r="S152" s="61">
        <f t="shared" si="201"/>
        <v>0</v>
      </c>
      <c r="T152" s="61">
        <f t="shared" si="201"/>
        <v>0</v>
      </c>
      <c r="U152" s="61">
        <f t="shared" si="201"/>
        <v>0</v>
      </c>
      <c r="V152" s="61">
        <f t="shared" si="201"/>
        <v>0</v>
      </c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2"/>
      <c r="AN152" s="32"/>
      <c r="AO152" s="32"/>
      <c r="AP152" s="32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</row>
    <row r="153" spans="1:262" s="7" customFormat="1" ht="12.6" customHeight="1">
      <c r="A153" s="329">
        <v>3</v>
      </c>
      <c r="B153" s="63" t="s">
        <v>197</v>
      </c>
      <c r="C153" s="60">
        <f t="shared" ref="C153:C223" si="202">SUM(D153:V153)</f>
        <v>6271321</v>
      </c>
      <c r="D153" s="67">
        <f>D154+D163+D193+D199+D202+D209+D214</f>
        <v>3214419</v>
      </c>
      <c r="E153" s="67">
        <f t="shared" ref="E153:V153" si="203">E154+E163+E193+E199+E202+E209+E214</f>
        <v>5643</v>
      </c>
      <c r="F153" s="67">
        <f t="shared" si="203"/>
        <v>77500</v>
      </c>
      <c r="G153" s="67">
        <f t="shared" si="203"/>
        <v>0</v>
      </c>
      <c r="H153" s="67">
        <f t="shared" si="203"/>
        <v>693310</v>
      </c>
      <c r="I153" s="67">
        <f t="shared" si="203"/>
        <v>0</v>
      </c>
      <c r="J153" s="67">
        <f t="shared" si="203"/>
        <v>1630218</v>
      </c>
      <c r="K153" s="67">
        <f t="shared" si="203"/>
        <v>0</v>
      </c>
      <c r="L153" s="67">
        <f t="shared" si="203"/>
        <v>0</v>
      </c>
      <c r="M153" s="67">
        <f t="shared" si="203"/>
        <v>0</v>
      </c>
      <c r="N153" s="67">
        <f t="shared" si="203"/>
        <v>650231</v>
      </c>
      <c r="O153" s="67">
        <f t="shared" si="203"/>
        <v>0</v>
      </c>
      <c r="P153" s="67">
        <f t="shared" si="203"/>
        <v>0</v>
      </c>
      <c r="Q153" s="67">
        <f t="shared" si="203"/>
        <v>0</v>
      </c>
      <c r="R153" s="67">
        <f t="shared" si="203"/>
        <v>0</v>
      </c>
      <c r="S153" s="67">
        <f t="shared" si="203"/>
        <v>0</v>
      </c>
      <c r="T153" s="67">
        <f t="shared" si="203"/>
        <v>0</v>
      </c>
      <c r="U153" s="67">
        <f t="shared" si="203"/>
        <v>0</v>
      </c>
      <c r="V153" s="67">
        <f t="shared" si="203"/>
        <v>0</v>
      </c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9" customFormat="1" ht="12.6" customHeight="1">
      <c r="A154" s="327">
        <v>31</v>
      </c>
      <c r="B154" s="8" t="s">
        <v>198</v>
      </c>
      <c r="C154" s="60">
        <f t="shared" si="202"/>
        <v>2127279</v>
      </c>
      <c r="D154" s="380">
        <f>D155+D159+D161</f>
        <v>2010452</v>
      </c>
      <c r="E154" s="380">
        <f t="shared" ref="E154:V154" si="204">E155+E159+E161</f>
        <v>0</v>
      </c>
      <c r="F154" s="380">
        <f t="shared" si="204"/>
        <v>75500</v>
      </c>
      <c r="G154" s="380">
        <f t="shared" si="204"/>
        <v>0</v>
      </c>
      <c r="H154" s="380">
        <f t="shared" si="204"/>
        <v>200</v>
      </c>
      <c r="I154" s="380">
        <f t="shared" si="204"/>
        <v>0</v>
      </c>
      <c r="J154" s="380">
        <f t="shared" si="204"/>
        <v>28127</v>
      </c>
      <c r="K154" s="380">
        <f t="shared" si="204"/>
        <v>0</v>
      </c>
      <c r="L154" s="380">
        <f t="shared" si="204"/>
        <v>0</v>
      </c>
      <c r="M154" s="380">
        <f t="shared" si="204"/>
        <v>0</v>
      </c>
      <c r="N154" s="380">
        <f>N155+N159+N161</f>
        <v>13000</v>
      </c>
      <c r="O154" s="380">
        <f t="shared" si="204"/>
        <v>0</v>
      </c>
      <c r="P154" s="380">
        <f t="shared" si="204"/>
        <v>0</v>
      </c>
      <c r="Q154" s="380">
        <f t="shared" si="204"/>
        <v>0</v>
      </c>
      <c r="R154" s="380">
        <f t="shared" si="204"/>
        <v>0</v>
      </c>
      <c r="S154" s="380">
        <f t="shared" si="204"/>
        <v>0</v>
      </c>
      <c r="T154" s="380">
        <f t="shared" si="204"/>
        <v>0</v>
      </c>
      <c r="U154" s="380">
        <f t="shared" si="204"/>
        <v>0</v>
      </c>
      <c r="V154" s="380">
        <f t="shared" si="204"/>
        <v>0</v>
      </c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6"/>
      <c r="GL154" s="36"/>
      <c r="GM154" s="36"/>
      <c r="GN154" s="36"/>
      <c r="GO154" s="36"/>
      <c r="GP154" s="36"/>
      <c r="GQ154" s="36"/>
      <c r="GR154" s="36"/>
      <c r="GS154" s="36"/>
      <c r="GT154" s="36"/>
      <c r="GU154" s="36"/>
      <c r="GV154" s="36"/>
      <c r="GW154" s="36"/>
      <c r="GX154" s="36"/>
      <c r="GY154" s="36"/>
      <c r="GZ154" s="36"/>
      <c r="HA154" s="36"/>
      <c r="HB154" s="36"/>
      <c r="HC154" s="36"/>
      <c r="HD154" s="36"/>
      <c r="HE154" s="36"/>
      <c r="HF154" s="36"/>
      <c r="HG154" s="36"/>
      <c r="HH154" s="36"/>
      <c r="HI154" s="36"/>
      <c r="HJ154" s="36"/>
      <c r="HK154" s="36"/>
      <c r="HL154" s="36"/>
      <c r="HM154" s="36"/>
      <c r="HN154" s="36"/>
      <c r="HO154" s="36"/>
      <c r="HP154" s="36"/>
      <c r="HQ154" s="36"/>
      <c r="HR154" s="36"/>
      <c r="HS154" s="36"/>
      <c r="HT154" s="36"/>
      <c r="HU154" s="36"/>
      <c r="HV154" s="36"/>
      <c r="HW154" s="36"/>
      <c r="HX154" s="36"/>
      <c r="HY154" s="36"/>
      <c r="HZ154" s="36"/>
      <c r="IA154" s="36"/>
      <c r="IB154" s="36"/>
      <c r="IC154" s="36"/>
      <c r="ID154" s="36"/>
      <c r="IE154" s="36"/>
      <c r="IF154" s="36"/>
      <c r="IG154" s="36"/>
      <c r="IH154" s="36"/>
      <c r="II154" s="36"/>
      <c r="IJ154" s="36"/>
      <c r="IK154" s="36"/>
      <c r="IL154" s="36"/>
      <c r="IM154" s="36"/>
      <c r="IN154" s="36"/>
      <c r="IO154" s="36"/>
      <c r="IP154" s="36"/>
      <c r="IQ154" s="36"/>
      <c r="IR154" s="36"/>
      <c r="IS154" s="36"/>
      <c r="IT154" s="36"/>
      <c r="IU154" s="36"/>
      <c r="IV154" s="36"/>
      <c r="IW154" s="36"/>
      <c r="IX154" s="36"/>
      <c r="IY154" s="36"/>
      <c r="IZ154" s="36"/>
      <c r="JA154" s="36"/>
      <c r="JB154" s="36"/>
    </row>
    <row r="155" spans="1:262" s="9" customFormat="1" ht="12.6" customHeight="1">
      <c r="A155" s="327">
        <v>311</v>
      </c>
      <c r="B155" s="8" t="s">
        <v>5261</v>
      </c>
      <c r="C155" s="60">
        <f t="shared" si="202"/>
        <v>1624569</v>
      </c>
      <c r="D155" s="380">
        <f>D156+D157+D158</f>
        <v>1586001</v>
      </c>
      <c r="E155" s="380">
        <f t="shared" ref="E155:V155" si="205">E156+E157+E158</f>
        <v>0</v>
      </c>
      <c r="F155" s="380">
        <f t="shared" si="205"/>
        <v>5000</v>
      </c>
      <c r="G155" s="380">
        <f t="shared" si="205"/>
        <v>0</v>
      </c>
      <c r="H155" s="380">
        <f t="shared" si="205"/>
        <v>0</v>
      </c>
      <c r="I155" s="380">
        <f t="shared" si="205"/>
        <v>0</v>
      </c>
      <c r="J155" s="380">
        <f t="shared" si="205"/>
        <v>22568</v>
      </c>
      <c r="K155" s="380">
        <f t="shared" si="205"/>
        <v>0</v>
      </c>
      <c r="L155" s="380">
        <f t="shared" si="205"/>
        <v>0</v>
      </c>
      <c r="M155" s="380">
        <f t="shared" si="205"/>
        <v>0</v>
      </c>
      <c r="N155" s="380">
        <f t="shared" si="205"/>
        <v>11000</v>
      </c>
      <c r="O155" s="380">
        <f t="shared" si="205"/>
        <v>0</v>
      </c>
      <c r="P155" s="380">
        <f t="shared" si="205"/>
        <v>0</v>
      </c>
      <c r="Q155" s="380">
        <f t="shared" si="205"/>
        <v>0</v>
      </c>
      <c r="R155" s="380">
        <f t="shared" si="205"/>
        <v>0</v>
      </c>
      <c r="S155" s="380">
        <f t="shared" si="205"/>
        <v>0</v>
      </c>
      <c r="T155" s="380">
        <f t="shared" si="205"/>
        <v>0</v>
      </c>
      <c r="U155" s="380">
        <f t="shared" si="205"/>
        <v>0</v>
      </c>
      <c r="V155" s="380">
        <f t="shared" si="205"/>
        <v>0</v>
      </c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  <c r="IT155" s="36"/>
      <c r="IU155" s="36"/>
      <c r="IV155" s="36"/>
      <c r="IW155" s="36"/>
      <c r="IX155" s="36"/>
      <c r="IY155" s="36"/>
      <c r="IZ155" s="36"/>
      <c r="JA155" s="36"/>
      <c r="JB155" s="36"/>
    </row>
    <row r="156" spans="1:262" s="9" customFormat="1" ht="12.6" customHeight="1">
      <c r="A156" s="327">
        <v>3111</v>
      </c>
      <c r="B156" s="8" t="s">
        <v>47</v>
      </c>
      <c r="C156" s="60">
        <f t="shared" si="202"/>
        <v>1619569</v>
      </c>
      <c r="D156" s="380">
        <f>'Unos rashoda i izdataka'!L3+'Unos rashoda i izdataka'!L11+'Unos rashoda i izdataka'!L12</f>
        <v>1581001</v>
      </c>
      <c r="E156" s="380"/>
      <c r="F156" s="380">
        <f>'Unos rashoda i izdataka'!L57</f>
        <v>5000</v>
      </c>
      <c r="G156" s="380"/>
      <c r="H156" s="380"/>
      <c r="I156" s="380"/>
      <c r="J156" s="380">
        <f>'Unos rashoda i izdataka'!L105+'Unos rashoda P4'!J29</f>
        <v>22568</v>
      </c>
      <c r="K156" s="380"/>
      <c r="L156" s="380"/>
      <c r="M156" s="380"/>
      <c r="N156" s="380">
        <f>'Unos rashoda P4'!J27</f>
        <v>11000</v>
      </c>
      <c r="O156" s="380"/>
      <c r="P156" s="380"/>
      <c r="Q156" s="380"/>
      <c r="R156" s="380"/>
      <c r="S156" s="380"/>
      <c r="T156" s="380"/>
      <c r="U156" s="380"/>
      <c r="V156" s="380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6"/>
      <c r="GL156" s="36"/>
      <c r="GM156" s="36"/>
      <c r="GN156" s="36"/>
      <c r="GO156" s="36"/>
      <c r="GP156" s="36"/>
      <c r="GQ156" s="36"/>
      <c r="GR156" s="36"/>
      <c r="GS156" s="36"/>
      <c r="GT156" s="36"/>
      <c r="GU156" s="36"/>
      <c r="GV156" s="36"/>
      <c r="GW156" s="36"/>
      <c r="GX156" s="36"/>
      <c r="GY156" s="36"/>
      <c r="GZ156" s="36"/>
      <c r="HA156" s="36"/>
      <c r="HB156" s="36"/>
      <c r="HC156" s="36"/>
      <c r="HD156" s="36"/>
      <c r="HE156" s="36"/>
      <c r="HF156" s="36"/>
      <c r="HG156" s="36"/>
      <c r="HH156" s="36"/>
      <c r="HI156" s="36"/>
      <c r="HJ156" s="36"/>
      <c r="HK156" s="36"/>
      <c r="HL156" s="36"/>
      <c r="HM156" s="36"/>
      <c r="HN156" s="36"/>
      <c r="HO156" s="36"/>
      <c r="HP156" s="36"/>
      <c r="HQ156" s="36"/>
      <c r="HR156" s="36"/>
      <c r="HS156" s="36"/>
      <c r="HT156" s="36"/>
      <c r="HU156" s="36"/>
      <c r="HV156" s="36"/>
      <c r="HW156" s="36"/>
      <c r="HX156" s="36"/>
      <c r="HY156" s="36"/>
      <c r="HZ156" s="36"/>
      <c r="IA156" s="36"/>
      <c r="IB156" s="36"/>
      <c r="IC156" s="36"/>
      <c r="ID156" s="36"/>
      <c r="IE156" s="36"/>
      <c r="IF156" s="36"/>
      <c r="IG156" s="36"/>
      <c r="IH156" s="36"/>
      <c r="II156" s="36"/>
      <c r="IJ156" s="36"/>
      <c r="IK156" s="36"/>
      <c r="IL156" s="36"/>
      <c r="IM156" s="36"/>
      <c r="IN156" s="36"/>
      <c r="IO156" s="36"/>
      <c r="IP156" s="36"/>
      <c r="IQ156" s="36"/>
      <c r="IR156" s="36"/>
      <c r="IS156" s="36"/>
      <c r="IT156" s="36"/>
      <c r="IU156" s="36"/>
      <c r="IV156" s="36"/>
      <c r="IW156" s="36"/>
      <c r="IX156" s="36"/>
      <c r="IY156" s="36"/>
      <c r="IZ156" s="36"/>
      <c r="JA156" s="36"/>
      <c r="JB156" s="36"/>
    </row>
    <row r="157" spans="1:262" s="9" customFormat="1" ht="12.6" customHeight="1">
      <c r="A157" s="327">
        <v>3113</v>
      </c>
      <c r="B157" s="8"/>
      <c r="C157" s="60">
        <f t="shared" si="202"/>
        <v>5000</v>
      </c>
      <c r="D157" s="380">
        <f>'Unos rashoda i izdataka'!L13</f>
        <v>5000</v>
      </c>
      <c r="E157" s="380"/>
      <c r="F157" s="380"/>
      <c r="G157" s="380"/>
      <c r="H157" s="380"/>
      <c r="I157" s="380"/>
      <c r="J157" s="380"/>
      <c r="K157" s="380"/>
      <c r="L157" s="380"/>
      <c r="M157" s="380"/>
      <c r="N157" s="380"/>
      <c r="O157" s="380"/>
      <c r="P157" s="380"/>
      <c r="Q157" s="380"/>
      <c r="R157" s="380"/>
      <c r="S157" s="380"/>
      <c r="T157" s="380"/>
      <c r="U157" s="380"/>
      <c r="V157" s="380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6"/>
      <c r="GL157" s="36"/>
      <c r="GM157" s="36"/>
      <c r="GN157" s="36"/>
      <c r="GO157" s="36"/>
      <c r="GP157" s="36"/>
      <c r="GQ157" s="36"/>
      <c r="GR157" s="36"/>
      <c r="GS157" s="36"/>
      <c r="GT157" s="36"/>
      <c r="GU157" s="36"/>
      <c r="GV157" s="36"/>
      <c r="GW157" s="36"/>
      <c r="GX157" s="36"/>
      <c r="GY157" s="36"/>
      <c r="GZ157" s="36"/>
      <c r="HA157" s="36"/>
      <c r="HB157" s="36"/>
      <c r="HC157" s="36"/>
      <c r="HD157" s="36"/>
      <c r="HE157" s="36"/>
      <c r="HF157" s="36"/>
      <c r="HG157" s="36"/>
      <c r="HH157" s="36"/>
      <c r="HI157" s="36"/>
      <c r="HJ157" s="36"/>
      <c r="HK157" s="36"/>
      <c r="HL157" s="36"/>
      <c r="HM157" s="36"/>
      <c r="HN157" s="36"/>
      <c r="HO157" s="36"/>
      <c r="HP157" s="36"/>
      <c r="HQ157" s="36"/>
      <c r="HR157" s="36"/>
      <c r="HS157" s="36"/>
      <c r="HT157" s="36"/>
      <c r="HU157" s="36"/>
      <c r="HV157" s="36"/>
      <c r="HW157" s="36"/>
      <c r="HX157" s="36"/>
      <c r="HY157" s="36"/>
      <c r="HZ157" s="36"/>
      <c r="IA157" s="36"/>
      <c r="IB157" s="36"/>
      <c r="IC157" s="36"/>
      <c r="ID157" s="36"/>
      <c r="IE157" s="36"/>
      <c r="IF157" s="36"/>
      <c r="IG157" s="36"/>
      <c r="IH157" s="36"/>
      <c r="II157" s="36"/>
      <c r="IJ157" s="36"/>
      <c r="IK157" s="36"/>
      <c r="IL157" s="36"/>
      <c r="IM157" s="36"/>
      <c r="IN157" s="36"/>
      <c r="IO157" s="36"/>
      <c r="IP157" s="36"/>
      <c r="IQ157" s="36"/>
      <c r="IR157" s="36"/>
      <c r="IS157" s="36"/>
      <c r="IT157" s="36"/>
      <c r="IU157" s="36"/>
      <c r="IV157" s="36"/>
      <c r="IW157" s="36"/>
      <c r="IX157" s="36"/>
      <c r="IY157" s="36"/>
      <c r="IZ157" s="36"/>
      <c r="JA157" s="36"/>
      <c r="JB157" s="36"/>
    </row>
    <row r="158" spans="1:262" s="9" customFormat="1" ht="12.6" customHeight="1">
      <c r="A158" s="327">
        <v>3114</v>
      </c>
      <c r="B158" s="8" t="s">
        <v>147</v>
      </c>
      <c r="C158" s="60">
        <f t="shared" si="202"/>
        <v>0</v>
      </c>
      <c r="D158" s="380">
        <f>'Unos rashoda i izdataka'!L4</f>
        <v>0</v>
      </c>
      <c r="E158" s="380"/>
      <c r="F158" s="380"/>
      <c r="G158" s="380"/>
      <c r="H158" s="380"/>
      <c r="I158" s="380"/>
      <c r="J158" s="380"/>
      <c r="K158" s="380"/>
      <c r="L158" s="380"/>
      <c r="M158" s="380"/>
      <c r="N158" s="380"/>
      <c r="O158" s="380"/>
      <c r="P158" s="380"/>
      <c r="Q158" s="380"/>
      <c r="R158" s="380"/>
      <c r="S158" s="380"/>
      <c r="T158" s="380"/>
      <c r="U158" s="380"/>
      <c r="V158" s="380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6"/>
      <c r="GL158" s="36"/>
      <c r="GM158" s="36"/>
      <c r="GN158" s="36"/>
      <c r="GO158" s="36"/>
      <c r="GP158" s="36"/>
      <c r="GQ158" s="36"/>
      <c r="GR158" s="36"/>
      <c r="GS158" s="36"/>
      <c r="GT158" s="36"/>
      <c r="GU158" s="36"/>
      <c r="GV158" s="36"/>
      <c r="GW158" s="36"/>
      <c r="GX158" s="36"/>
      <c r="GY158" s="36"/>
      <c r="GZ158" s="36"/>
      <c r="HA158" s="36"/>
      <c r="HB158" s="36"/>
      <c r="HC158" s="36"/>
      <c r="HD158" s="36"/>
      <c r="HE158" s="36"/>
      <c r="HF158" s="36"/>
      <c r="HG158" s="36"/>
      <c r="HH158" s="36"/>
      <c r="HI158" s="36"/>
      <c r="HJ158" s="36"/>
      <c r="HK158" s="36"/>
      <c r="HL158" s="36"/>
      <c r="HM158" s="36"/>
      <c r="HN158" s="36"/>
      <c r="HO158" s="36"/>
      <c r="HP158" s="36"/>
      <c r="HQ158" s="36"/>
      <c r="HR158" s="36"/>
      <c r="HS158" s="36"/>
      <c r="HT158" s="36"/>
      <c r="HU158" s="36"/>
      <c r="HV158" s="36"/>
      <c r="HW158" s="36"/>
      <c r="HX158" s="36"/>
      <c r="HY158" s="36"/>
      <c r="HZ158" s="36"/>
      <c r="IA158" s="36"/>
      <c r="IB158" s="36"/>
      <c r="IC158" s="36"/>
      <c r="ID158" s="36"/>
      <c r="IE158" s="36"/>
      <c r="IF158" s="36"/>
      <c r="IG158" s="36"/>
      <c r="IH158" s="36"/>
      <c r="II158" s="36"/>
      <c r="IJ158" s="36"/>
      <c r="IK158" s="36"/>
      <c r="IL158" s="36"/>
      <c r="IM158" s="36"/>
      <c r="IN158" s="36"/>
      <c r="IO158" s="36"/>
      <c r="IP158" s="36"/>
      <c r="IQ158" s="36"/>
      <c r="IR158" s="36"/>
      <c r="IS158" s="36"/>
      <c r="IT158" s="36"/>
      <c r="IU158" s="36"/>
      <c r="IV158" s="36"/>
      <c r="IW158" s="36"/>
      <c r="IX158" s="36"/>
      <c r="IY158" s="36"/>
      <c r="IZ158" s="36"/>
      <c r="JA158" s="36"/>
      <c r="JB158" s="36"/>
    </row>
    <row r="159" spans="1:262" s="9" customFormat="1" ht="12.6" customHeight="1">
      <c r="A159" s="327">
        <v>312</v>
      </c>
      <c r="B159" s="8" t="s">
        <v>50</v>
      </c>
      <c r="C159" s="60">
        <f t="shared" si="202"/>
        <v>226200</v>
      </c>
      <c r="D159" s="380">
        <f>D160</f>
        <v>154900</v>
      </c>
      <c r="E159" s="380">
        <f t="shared" ref="E159:V159" si="206">E160</f>
        <v>0</v>
      </c>
      <c r="F159" s="380">
        <f t="shared" si="206"/>
        <v>70000</v>
      </c>
      <c r="G159" s="380">
        <f t="shared" si="206"/>
        <v>0</v>
      </c>
      <c r="H159" s="380">
        <f t="shared" si="206"/>
        <v>200</v>
      </c>
      <c r="I159" s="380">
        <f t="shared" si="206"/>
        <v>0</v>
      </c>
      <c r="J159" s="380">
        <f t="shared" si="206"/>
        <v>1100</v>
      </c>
      <c r="K159" s="380">
        <f t="shared" si="206"/>
        <v>0</v>
      </c>
      <c r="L159" s="380">
        <f t="shared" si="206"/>
        <v>0</v>
      </c>
      <c r="M159" s="380">
        <f t="shared" si="206"/>
        <v>0</v>
      </c>
      <c r="N159" s="380">
        <f t="shared" si="206"/>
        <v>0</v>
      </c>
      <c r="O159" s="380">
        <f t="shared" si="206"/>
        <v>0</v>
      </c>
      <c r="P159" s="380">
        <f t="shared" si="206"/>
        <v>0</v>
      </c>
      <c r="Q159" s="380">
        <f t="shared" si="206"/>
        <v>0</v>
      </c>
      <c r="R159" s="380">
        <f t="shared" si="206"/>
        <v>0</v>
      </c>
      <c r="S159" s="380">
        <f t="shared" si="206"/>
        <v>0</v>
      </c>
      <c r="T159" s="380">
        <f t="shared" si="206"/>
        <v>0</v>
      </c>
      <c r="U159" s="380">
        <f t="shared" si="206"/>
        <v>0</v>
      </c>
      <c r="V159" s="380">
        <f t="shared" si="206"/>
        <v>0</v>
      </c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6"/>
      <c r="GL159" s="36"/>
      <c r="GM159" s="36"/>
      <c r="GN159" s="36"/>
      <c r="GO159" s="36"/>
      <c r="GP159" s="36"/>
      <c r="GQ159" s="36"/>
      <c r="GR159" s="36"/>
      <c r="GS159" s="36"/>
      <c r="GT159" s="36"/>
      <c r="GU159" s="36"/>
      <c r="GV159" s="36"/>
      <c r="GW159" s="36"/>
      <c r="GX159" s="36"/>
      <c r="GY159" s="36"/>
      <c r="GZ159" s="36"/>
      <c r="HA159" s="36"/>
      <c r="HB159" s="36"/>
      <c r="HC159" s="36"/>
      <c r="HD159" s="36"/>
      <c r="HE159" s="36"/>
      <c r="HF159" s="36"/>
      <c r="HG159" s="36"/>
      <c r="HH159" s="36"/>
      <c r="HI159" s="36"/>
      <c r="HJ159" s="36"/>
      <c r="HK159" s="36"/>
      <c r="HL159" s="36"/>
      <c r="HM159" s="36"/>
      <c r="HN159" s="36"/>
      <c r="HO159" s="36"/>
      <c r="HP159" s="36"/>
      <c r="HQ159" s="36"/>
      <c r="HR159" s="36"/>
      <c r="HS159" s="36"/>
      <c r="HT159" s="36"/>
      <c r="HU159" s="36"/>
      <c r="HV159" s="36"/>
      <c r="HW159" s="36"/>
      <c r="HX159" s="36"/>
      <c r="HY159" s="36"/>
      <c r="HZ159" s="36"/>
      <c r="IA159" s="36"/>
      <c r="IB159" s="36"/>
      <c r="IC159" s="36"/>
      <c r="ID159" s="36"/>
      <c r="IE159" s="36"/>
      <c r="IF159" s="36"/>
      <c r="IG159" s="36"/>
      <c r="IH159" s="36"/>
      <c r="II159" s="36"/>
      <c r="IJ159" s="36"/>
      <c r="IK159" s="36"/>
      <c r="IL159" s="36"/>
      <c r="IM159" s="36"/>
      <c r="IN159" s="36"/>
      <c r="IO159" s="36"/>
      <c r="IP159" s="36"/>
      <c r="IQ159" s="36"/>
      <c r="IR159" s="36"/>
      <c r="IS159" s="36"/>
      <c r="IT159" s="36"/>
      <c r="IU159" s="36"/>
      <c r="IV159" s="36"/>
      <c r="IW159" s="36"/>
      <c r="IX159" s="36"/>
      <c r="IY159" s="36"/>
      <c r="IZ159" s="36"/>
      <c r="JA159" s="36"/>
      <c r="JB159" s="36"/>
    </row>
    <row r="160" spans="1:262" s="9" customFormat="1" ht="12.6" customHeight="1">
      <c r="A160" s="327">
        <v>3121</v>
      </c>
      <c r="B160" s="8" t="s">
        <v>50</v>
      </c>
      <c r="C160" s="60">
        <f t="shared" si="202"/>
        <v>226200</v>
      </c>
      <c r="D160" s="380">
        <f>'Unos rashoda i izdataka'!L5+'Unos rashoda i izdataka'!L14</f>
        <v>154900</v>
      </c>
      <c r="E160" s="380"/>
      <c r="F160" s="380">
        <f>'Unos rashoda i izdataka'!L58</f>
        <v>70000</v>
      </c>
      <c r="G160" s="380"/>
      <c r="H160" s="380">
        <f>'Unos rashoda i izdataka'!L67</f>
        <v>200</v>
      </c>
      <c r="I160" s="380"/>
      <c r="J160" s="380">
        <f>'Unos rashoda i izdataka'!L106+'Unos rashoda P4'!J30</f>
        <v>1100</v>
      </c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0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6"/>
      <c r="GL160" s="36"/>
      <c r="GM160" s="36"/>
      <c r="GN160" s="36"/>
      <c r="GO160" s="36"/>
      <c r="GP160" s="36"/>
      <c r="GQ160" s="36"/>
      <c r="GR160" s="36"/>
      <c r="GS160" s="36"/>
      <c r="GT160" s="36"/>
      <c r="GU160" s="36"/>
      <c r="GV160" s="36"/>
      <c r="GW160" s="36"/>
      <c r="GX160" s="36"/>
      <c r="GY160" s="36"/>
      <c r="GZ160" s="36"/>
      <c r="HA160" s="36"/>
      <c r="HB160" s="36"/>
      <c r="HC160" s="36"/>
      <c r="HD160" s="36"/>
      <c r="HE160" s="36"/>
      <c r="HF160" s="36"/>
      <c r="HG160" s="36"/>
      <c r="HH160" s="36"/>
      <c r="HI160" s="36"/>
      <c r="HJ160" s="36"/>
      <c r="HK160" s="36"/>
      <c r="HL160" s="36"/>
      <c r="HM160" s="36"/>
      <c r="HN160" s="36"/>
      <c r="HO160" s="36"/>
      <c r="HP160" s="36"/>
      <c r="HQ160" s="36"/>
      <c r="HR160" s="36"/>
      <c r="HS160" s="36"/>
      <c r="HT160" s="36"/>
      <c r="HU160" s="36"/>
      <c r="HV160" s="36"/>
      <c r="HW160" s="36"/>
      <c r="HX160" s="36"/>
      <c r="HY160" s="36"/>
      <c r="HZ160" s="36"/>
      <c r="IA160" s="36"/>
      <c r="IB160" s="36"/>
      <c r="IC160" s="36"/>
      <c r="ID160" s="36"/>
      <c r="IE160" s="36"/>
      <c r="IF160" s="36"/>
      <c r="IG160" s="36"/>
      <c r="IH160" s="36"/>
      <c r="II160" s="36"/>
      <c r="IJ160" s="36"/>
      <c r="IK160" s="36"/>
      <c r="IL160" s="36"/>
      <c r="IM160" s="36"/>
      <c r="IN160" s="36"/>
      <c r="IO160" s="36"/>
      <c r="IP160" s="36"/>
      <c r="IQ160" s="36"/>
      <c r="IR160" s="36"/>
      <c r="IS160" s="36"/>
      <c r="IT160" s="36"/>
      <c r="IU160" s="36"/>
      <c r="IV160" s="36"/>
      <c r="IW160" s="36"/>
      <c r="IX160" s="36"/>
      <c r="IY160" s="36"/>
      <c r="IZ160" s="36"/>
      <c r="JA160" s="36"/>
      <c r="JB160" s="36"/>
    </row>
    <row r="161" spans="1:262" s="9" customFormat="1" ht="12.6" customHeight="1">
      <c r="A161" s="327">
        <v>313</v>
      </c>
      <c r="B161" s="8" t="s">
        <v>5262</v>
      </c>
      <c r="C161" s="60">
        <f t="shared" si="202"/>
        <v>276510</v>
      </c>
      <c r="D161" s="380">
        <f>D162</f>
        <v>269551</v>
      </c>
      <c r="E161" s="380">
        <f t="shared" ref="E161:V161" si="207">E162</f>
        <v>0</v>
      </c>
      <c r="F161" s="380">
        <f t="shared" si="207"/>
        <v>500</v>
      </c>
      <c r="G161" s="380">
        <f t="shared" si="207"/>
        <v>0</v>
      </c>
      <c r="H161" s="380">
        <f t="shared" si="207"/>
        <v>0</v>
      </c>
      <c r="I161" s="380">
        <f t="shared" si="207"/>
        <v>0</v>
      </c>
      <c r="J161" s="380">
        <f t="shared" si="207"/>
        <v>4459</v>
      </c>
      <c r="K161" s="380">
        <f t="shared" si="207"/>
        <v>0</v>
      </c>
      <c r="L161" s="380">
        <f t="shared" si="207"/>
        <v>0</v>
      </c>
      <c r="M161" s="380">
        <f t="shared" si="207"/>
        <v>0</v>
      </c>
      <c r="N161" s="380">
        <f t="shared" si="207"/>
        <v>2000</v>
      </c>
      <c r="O161" s="380">
        <f t="shared" si="207"/>
        <v>0</v>
      </c>
      <c r="P161" s="380">
        <f t="shared" si="207"/>
        <v>0</v>
      </c>
      <c r="Q161" s="380">
        <f t="shared" si="207"/>
        <v>0</v>
      </c>
      <c r="R161" s="380">
        <f t="shared" si="207"/>
        <v>0</v>
      </c>
      <c r="S161" s="380">
        <f t="shared" si="207"/>
        <v>0</v>
      </c>
      <c r="T161" s="380">
        <f t="shared" si="207"/>
        <v>0</v>
      </c>
      <c r="U161" s="380">
        <f t="shared" si="207"/>
        <v>0</v>
      </c>
      <c r="V161" s="380">
        <f t="shared" si="207"/>
        <v>0</v>
      </c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36"/>
      <c r="GV161" s="36"/>
      <c r="GW161" s="36"/>
      <c r="GX161" s="36"/>
      <c r="GY161" s="36"/>
      <c r="GZ161" s="36"/>
      <c r="HA161" s="36"/>
      <c r="HB161" s="36"/>
      <c r="HC161" s="36"/>
      <c r="HD161" s="36"/>
      <c r="HE161" s="36"/>
      <c r="HF161" s="36"/>
      <c r="HG161" s="36"/>
      <c r="HH161" s="36"/>
      <c r="HI161" s="36"/>
      <c r="HJ161" s="36"/>
      <c r="HK161" s="36"/>
      <c r="HL161" s="36"/>
      <c r="HM161" s="36"/>
      <c r="HN161" s="36"/>
      <c r="HO161" s="36"/>
      <c r="HP161" s="36"/>
      <c r="HQ161" s="36"/>
      <c r="HR161" s="36"/>
      <c r="HS161" s="36"/>
      <c r="HT161" s="36"/>
      <c r="HU161" s="36"/>
      <c r="HV161" s="36"/>
      <c r="HW161" s="36"/>
      <c r="HX161" s="36"/>
      <c r="HY161" s="36"/>
      <c r="HZ161" s="36"/>
      <c r="IA161" s="36"/>
      <c r="IB161" s="36"/>
      <c r="IC161" s="36"/>
      <c r="ID161" s="36"/>
      <c r="IE161" s="36"/>
      <c r="IF161" s="36"/>
      <c r="IG161" s="36"/>
      <c r="IH161" s="36"/>
      <c r="II161" s="36"/>
      <c r="IJ161" s="36"/>
      <c r="IK161" s="36"/>
      <c r="IL161" s="36"/>
      <c r="IM161" s="36"/>
      <c r="IN161" s="36"/>
      <c r="IO161" s="36"/>
      <c r="IP161" s="36"/>
      <c r="IQ161" s="36"/>
      <c r="IR161" s="36"/>
      <c r="IS161" s="36"/>
      <c r="IT161" s="36"/>
      <c r="IU161" s="36"/>
      <c r="IV161" s="36"/>
      <c r="IW161" s="36"/>
      <c r="IX161" s="36"/>
      <c r="IY161" s="36"/>
      <c r="IZ161" s="36"/>
      <c r="JA161" s="36"/>
      <c r="JB161" s="36"/>
    </row>
    <row r="162" spans="1:262" s="9" customFormat="1" ht="12.6" customHeight="1">
      <c r="A162" s="327">
        <v>3132</v>
      </c>
      <c r="B162" s="8" t="s">
        <v>51</v>
      </c>
      <c r="C162" s="60">
        <f t="shared" si="202"/>
        <v>276510</v>
      </c>
      <c r="D162" s="380">
        <f>'Unos rashoda i izdataka'!L6+'Unos rashoda i izdataka'!L15</f>
        <v>269551</v>
      </c>
      <c r="E162" s="380"/>
      <c r="F162" s="380">
        <f>'Unos rashoda i izdataka'!L59</f>
        <v>500</v>
      </c>
      <c r="G162" s="380"/>
      <c r="H162" s="380"/>
      <c r="I162" s="380"/>
      <c r="J162" s="380">
        <f>'Unos rashoda i izdataka'!L107+'Unos rashoda P4'!J31</f>
        <v>4459</v>
      </c>
      <c r="K162" s="380"/>
      <c r="L162" s="380"/>
      <c r="M162" s="380"/>
      <c r="N162" s="380">
        <f>'Unos rashoda P4'!J28</f>
        <v>2000</v>
      </c>
      <c r="O162" s="380"/>
      <c r="P162" s="380"/>
      <c r="Q162" s="380"/>
      <c r="R162" s="380"/>
      <c r="S162" s="380"/>
      <c r="T162" s="380"/>
      <c r="U162" s="380"/>
      <c r="V162" s="380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6"/>
      <c r="GL162" s="36"/>
      <c r="GM162" s="36"/>
      <c r="GN162" s="36"/>
      <c r="GO162" s="36"/>
      <c r="GP162" s="36"/>
      <c r="GQ162" s="36"/>
      <c r="GR162" s="36"/>
      <c r="GS162" s="36"/>
      <c r="GT162" s="36"/>
      <c r="GU162" s="36"/>
      <c r="GV162" s="36"/>
      <c r="GW162" s="36"/>
      <c r="GX162" s="36"/>
      <c r="GY162" s="36"/>
      <c r="GZ162" s="36"/>
      <c r="HA162" s="36"/>
      <c r="HB162" s="36"/>
      <c r="HC162" s="36"/>
      <c r="HD162" s="36"/>
      <c r="HE162" s="36"/>
      <c r="HF162" s="36"/>
      <c r="HG162" s="36"/>
      <c r="HH162" s="36"/>
      <c r="HI162" s="36"/>
      <c r="HJ162" s="36"/>
      <c r="HK162" s="36"/>
      <c r="HL162" s="36"/>
      <c r="HM162" s="36"/>
      <c r="HN162" s="36"/>
      <c r="HO162" s="36"/>
      <c r="HP162" s="36"/>
      <c r="HQ162" s="36"/>
      <c r="HR162" s="36"/>
      <c r="HS162" s="36"/>
      <c r="HT162" s="36"/>
      <c r="HU162" s="36"/>
      <c r="HV162" s="36"/>
      <c r="HW162" s="36"/>
      <c r="HX162" s="36"/>
      <c r="HY162" s="36"/>
      <c r="HZ162" s="36"/>
      <c r="IA162" s="36"/>
      <c r="IB162" s="36"/>
      <c r="IC162" s="36"/>
      <c r="ID162" s="36"/>
      <c r="IE162" s="36"/>
      <c r="IF162" s="36"/>
      <c r="IG162" s="36"/>
      <c r="IH162" s="36"/>
      <c r="II162" s="36"/>
      <c r="IJ162" s="36"/>
      <c r="IK162" s="36"/>
      <c r="IL162" s="36"/>
      <c r="IM162" s="36"/>
      <c r="IN162" s="36"/>
      <c r="IO162" s="36"/>
      <c r="IP162" s="36"/>
      <c r="IQ162" s="36"/>
      <c r="IR162" s="36"/>
      <c r="IS162" s="36"/>
      <c r="IT162" s="36"/>
      <c r="IU162" s="36"/>
      <c r="IV162" s="36"/>
      <c r="IW162" s="36"/>
      <c r="IX162" s="36"/>
      <c r="IY162" s="36"/>
      <c r="IZ162" s="36"/>
      <c r="JA162" s="36"/>
      <c r="JB162" s="36"/>
    </row>
    <row r="163" spans="1:262" s="35" customFormat="1" ht="12.6" customHeight="1">
      <c r="A163" s="328">
        <v>32</v>
      </c>
      <c r="B163" s="10" t="s">
        <v>199</v>
      </c>
      <c r="C163" s="60">
        <f t="shared" si="202"/>
        <v>2173734</v>
      </c>
      <c r="D163" s="380">
        <f>D164+D168+D174+D191+D184</f>
        <v>981234</v>
      </c>
      <c r="E163" s="380">
        <f t="shared" ref="E163:V163" si="208">E164+E168+E174+E191+E184</f>
        <v>5643</v>
      </c>
      <c r="F163" s="380">
        <f t="shared" si="208"/>
        <v>1000</v>
      </c>
      <c r="G163" s="380">
        <f t="shared" si="208"/>
        <v>0</v>
      </c>
      <c r="H163" s="380">
        <f t="shared" si="208"/>
        <v>676150</v>
      </c>
      <c r="I163" s="380">
        <f t="shared" si="208"/>
        <v>0</v>
      </c>
      <c r="J163" s="380">
        <f t="shared" si="208"/>
        <v>319261</v>
      </c>
      <c r="K163" s="380">
        <f t="shared" si="208"/>
        <v>0</v>
      </c>
      <c r="L163" s="380">
        <f t="shared" si="208"/>
        <v>0</v>
      </c>
      <c r="M163" s="380">
        <f t="shared" si="208"/>
        <v>0</v>
      </c>
      <c r="N163" s="380">
        <f t="shared" si="208"/>
        <v>190446</v>
      </c>
      <c r="O163" s="380">
        <f t="shared" si="208"/>
        <v>0</v>
      </c>
      <c r="P163" s="380">
        <f t="shared" si="208"/>
        <v>0</v>
      </c>
      <c r="Q163" s="380">
        <f t="shared" si="208"/>
        <v>0</v>
      </c>
      <c r="R163" s="380">
        <f t="shared" si="208"/>
        <v>0</v>
      </c>
      <c r="S163" s="380">
        <f t="shared" si="208"/>
        <v>0</v>
      </c>
      <c r="T163" s="380">
        <f t="shared" si="208"/>
        <v>0</v>
      </c>
      <c r="U163" s="380">
        <f t="shared" si="208"/>
        <v>0</v>
      </c>
      <c r="V163" s="380">
        <f t="shared" si="208"/>
        <v>0</v>
      </c>
      <c r="GK163" s="36"/>
      <c r="GL163" s="36"/>
      <c r="GM163" s="36"/>
      <c r="GN163" s="36"/>
      <c r="GO163" s="36"/>
      <c r="GP163" s="36"/>
      <c r="GQ163" s="36"/>
      <c r="GR163" s="36"/>
      <c r="GS163" s="36"/>
      <c r="GT163" s="36"/>
      <c r="GU163" s="36"/>
      <c r="GV163" s="36"/>
      <c r="GW163" s="36"/>
      <c r="GX163" s="36"/>
      <c r="GY163" s="36"/>
      <c r="GZ163" s="36"/>
      <c r="HA163" s="36"/>
      <c r="HB163" s="36"/>
      <c r="HC163" s="36"/>
      <c r="HD163" s="36"/>
      <c r="HE163" s="36"/>
      <c r="HF163" s="36"/>
      <c r="HG163" s="36"/>
      <c r="HH163" s="36"/>
      <c r="HI163" s="36"/>
      <c r="HJ163" s="36"/>
      <c r="HK163" s="36"/>
      <c r="HL163" s="36"/>
      <c r="HM163" s="36"/>
      <c r="HN163" s="36"/>
      <c r="HO163" s="36"/>
      <c r="HP163" s="36"/>
      <c r="HQ163" s="36"/>
      <c r="HR163" s="36"/>
      <c r="HS163" s="36"/>
      <c r="HT163" s="36"/>
      <c r="HU163" s="36"/>
      <c r="HV163" s="36"/>
      <c r="HW163" s="36"/>
      <c r="HX163" s="36"/>
      <c r="HY163" s="36"/>
      <c r="HZ163" s="36"/>
      <c r="IA163" s="36"/>
      <c r="IB163" s="36"/>
      <c r="IC163" s="36"/>
      <c r="ID163" s="36"/>
      <c r="IE163" s="36"/>
      <c r="IF163" s="36"/>
      <c r="IG163" s="36"/>
      <c r="IH163" s="36"/>
      <c r="II163" s="36"/>
      <c r="IJ163" s="36"/>
      <c r="IK163" s="36"/>
      <c r="IL163" s="36"/>
      <c r="IM163" s="36"/>
      <c r="IN163" s="36"/>
      <c r="IO163" s="36"/>
      <c r="IP163" s="36"/>
      <c r="IQ163" s="36"/>
      <c r="IR163" s="36"/>
      <c r="IS163" s="36"/>
      <c r="IT163" s="36"/>
      <c r="IU163" s="36"/>
      <c r="IV163" s="36"/>
      <c r="IW163" s="36"/>
      <c r="IX163" s="36"/>
      <c r="IY163" s="36"/>
      <c r="IZ163" s="36"/>
      <c r="JA163" s="36"/>
      <c r="JB163" s="36"/>
    </row>
    <row r="164" spans="1:262" s="35" customFormat="1" ht="12.6" customHeight="1">
      <c r="A164" s="328">
        <v>321</v>
      </c>
      <c r="B164" s="10" t="s">
        <v>5263</v>
      </c>
      <c r="C164" s="60">
        <f t="shared" si="202"/>
        <v>214630</v>
      </c>
      <c r="D164" s="380">
        <f>D165+D166+D167</f>
        <v>102069</v>
      </c>
      <c r="E164" s="380">
        <f t="shared" ref="E164" si="209">E165+E166+E167</f>
        <v>0</v>
      </c>
      <c r="F164" s="380">
        <f t="shared" ref="F164" si="210">F165+F166+F167</f>
        <v>500</v>
      </c>
      <c r="G164" s="380">
        <f t="shared" ref="G164" si="211">G165+G166+G167</f>
        <v>0</v>
      </c>
      <c r="H164" s="380">
        <f t="shared" ref="H164" si="212">H165+H166+H167</f>
        <v>7100</v>
      </c>
      <c r="I164" s="380">
        <f t="shared" ref="I164" si="213">I165+I166+I167</f>
        <v>0</v>
      </c>
      <c r="J164" s="380">
        <f t="shared" ref="J164" si="214">J165+J166+J167</f>
        <v>99361</v>
      </c>
      <c r="K164" s="380">
        <f t="shared" ref="K164" si="215">K165+K166+K167</f>
        <v>0</v>
      </c>
      <c r="L164" s="380">
        <f t="shared" ref="L164" si="216">L165+L166+L167</f>
        <v>0</v>
      </c>
      <c r="M164" s="380">
        <f t="shared" ref="M164" si="217">M165+M166+M167</f>
        <v>0</v>
      </c>
      <c r="N164" s="380">
        <f t="shared" ref="N164" si="218">N165+N166+N167</f>
        <v>5600</v>
      </c>
      <c r="O164" s="380">
        <f t="shared" ref="O164" si="219">O165+O166+O167</f>
        <v>0</v>
      </c>
      <c r="P164" s="380">
        <f t="shared" ref="P164" si="220">P165+P166+P167</f>
        <v>0</v>
      </c>
      <c r="Q164" s="380">
        <f t="shared" ref="Q164" si="221">Q165+Q166+Q167</f>
        <v>0</v>
      </c>
      <c r="R164" s="380">
        <f t="shared" ref="R164" si="222">R165+R166+R167</f>
        <v>0</v>
      </c>
      <c r="S164" s="380">
        <f t="shared" ref="S164" si="223">S165+S166+S167</f>
        <v>0</v>
      </c>
      <c r="T164" s="380">
        <f t="shared" ref="T164" si="224">T165+T166+T167</f>
        <v>0</v>
      </c>
      <c r="U164" s="380">
        <f t="shared" ref="U164" si="225">U165+U166+U167</f>
        <v>0</v>
      </c>
      <c r="V164" s="380">
        <f t="shared" ref="V164" si="226">V165+V166+V167</f>
        <v>0</v>
      </c>
      <c r="GK164" s="36"/>
      <c r="GL164" s="36"/>
      <c r="GM164" s="36"/>
      <c r="GN164" s="36"/>
      <c r="GO164" s="36"/>
      <c r="GP164" s="36"/>
      <c r="GQ164" s="36"/>
      <c r="GR164" s="36"/>
      <c r="GS164" s="36"/>
      <c r="GT164" s="36"/>
      <c r="GU164" s="36"/>
      <c r="GV164" s="36"/>
      <c r="GW164" s="36"/>
      <c r="GX164" s="36"/>
      <c r="GY164" s="36"/>
      <c r="GZ164" s="36"/>
      <c r="HA164" s="36"/>
      <c r="HB164" s="36"/>
      <c r="HC164" s="36"/>
      <c r="HD164" s="36"/>
      <c r="HE164" s="36"/>
      <c r="HF164" s="36"/>
      <c r="HG164" s="36"/>
      <c r="HH164" s="36"/>
      <c r="HI164" s="36"/>
      <c r="HJ164" s="36"/>
      <c r="HK164" s="36"/>
      <c r="HL164" s="36"/>
      <c r="HM164" s="36"/>
      <c r="HN164" s="36"/>
      <c r="HO164" s="36"/>
      <c r="HP164" s="36"/>
      <c r="HQ164" s="36"/>
      <c r="HR164" s="36"/>
      <c r="HS164" s="36"/>
      <c r="HT164" s="36"/>
      <c r="HU164" s="36"/>
      <c r="HV164" s="36"/>
      <c r="HW164" s="36"/>
      <c r="HX164" s="36"/>
      <c r="HY164" s="36"/>
      <c r="HZ164" s="36"/>
      <c r="IA164" s="36"/>
      <c r="IB164" s="36"/>
      <c r="IC164" s="36"/>
      <c r="ID164" s="36"/>
      <c r="IE164" s="36"/>
      <c r="IF164" s="36"/>
      <c r="IG164" s="36"/>
      <c r="IH164" s="36"/>
      <c r="II164" s="36"/>
      <c r="IJ164" s="36"/>
      <c r="IK164" s="36"/>
      <c r="IL164" s="36"/>
      <c r="IM164" s="36"/>
      <c r="IN164" s="36"/>
      <c r="IO164" s="36"/>
      <c r="IP164" s="36"/>
      <c r="IQ164" s="36"/>
      <c r="IR164" s="36"/>
      <c r="IS164" s="36"/>
      <c r="IT164" s="36"/>
      <c r="IU164" s="36"/>
      <c r="IV164" s="36"/>
      <c r="IW164" s="36"/>
      <c r="IX164" s="36"/>
      <c r="IY164" s="36"/>
      <c r="IZ164" s="36"/>
      <c r="JA164" s="36"/>
      <c r="JB164" s="36"/>
    </row>
    <row r="165" spans="1:262" s="35" customFormat="1" ht="12.6" customHeight="1">
      <c r="A165" s="328">
        <v>3211</v>
      </c>
      <c r="B165" s="10" t="s">
        <v>78</v>
      </c>
      <c r="C165" s="60">
        <f t="shared" si="202"/>
        <v>156939</v>
      </c>
      <c r="D165" s="380">
        <f>'Unos rashoda i izdataka'!L16+'Unos rashoda i izdataka'!L122</f>
        <v>47078</v>
      </c>
      <c r="E165" s="380"/>
      <c r="F165" s="380">
        <f>'Unos rashoda i izdataka'!L60</f>
        <v>500</v>
      </c>
      <c r="G165" s="380"/>
      <c r="H165" s="380">
        <f>'Unos rashoda i izdataka'!L68</f>
        <v>7000</v>
      </c>
      <c r="I165" s="380"/>
      <c r="J165" s="380">
        <f>'Unos rashoda i izdataka'!L108+'Unos rashoda P4'!J32</f>
        <v>98361</v>
      </c>
      <c r="K165" s="380"/>
      <c r="L165" s="380"/>
      <c r="M165" s="380"/>
      <c r="N165" s="380">
        <f>'Unos rashoda P4'!J24</f>
        <v>4000</v>
      </c>
      <c r="O165" s="380"/>
      <c r="P165" s="380"/>
      <c r="Q165" s="380"/>
      <c r="R165" s="380"/>
      <c r="S165" s="380"/>
      <c r="T165" s="380"/>
      <c r="U165" s="380"/>
      <c r="V165" s="380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36"/>
      <c r="GV165" s="36"/>
      <c r="GW165" s="36"/>
      <c r="GX165" s="36"/>
      <c r="GY165" s="36"/>
      <c r="GZ165" s="36"/>
      <c r="HA165" s="36"/>
      <c r="HB165" s="36"/>
      <c r="HC165" s="36"/>
      <c r="HD165" s="36"/>
      <c r="HE165" s="36"/>
      <c r="HF165" s="36"/>
      <c r="HG165" s="36"/>
      <c r="HH165" s="36"/>
      <c r="HI165" s="36"/>
      <c r="HJ165" s="36"/>
      <c r="HK165" s="36"/>
      <c r="HL165" s="36"/>
      <c r="HM165" s="36"/>
      <c r="HN165" s="36"/>
      <c r="HO165" s="36"/>
      <c r="HP165" s="36"/>
      <c r="HQ165" s="36"/>
      <c r="HR165" s="36"/>
      <c r="HS165" s="36"/>
      <c r="HT165" s="36"/>
      <c r="HU165" s="36"/>
      <c r="HV165" s="36"/>
      <c r="HW165" s="36"/>
      <c r="HX165" s="36"/>
      <c r="HY165" s="36"/>
      <c r="HZ165" s="36"/>
      <c r="IA165" s="36"/>
      <c r="IB165" s="36"/>
      <c r="IC165" s="36"/>
      <c r="ID165" s="36"/>
      <c r="IE165" s="36"/>
      <c r="IF165" s="36"/>
      <c r="IG165" s="36"/>
      <c r="IH165" s="36"/>
      <c r="II165" s="36"/>
      <c r="IJ165" s="36"/>
      <c r="IK165" s="36"/>
      <c r="IL165" s="36"/>
      <c r="IM165" s="36"/>
      <c r="IN165" s="36"/>
      <c r="IO165" s="36"/>
      <c r="IP165" s="36"/>
      <c r="IQ165" s="36"/>
      <c r="IR165" s="36"/>
      <c r="IS165" s="36"/>
      <c r="IT165" s="36"/>
      <c r="IU165" s="36"/>
      <c r="IV165" s="36"/>
      <c r="IW165" s="36"/>
      <c r="IX165" s="36"/>
      <c r="IY165" s="36"/>
      <c r="IZ165" s="36"/>
      <c r="JA165" s="36"/>
      <c r="JB165" s="36"/>
    </row>
    <row r="166" spans="1:262" s="35" customFormat="1" ht="12.6" customHeight="1">
      <c r="A166" s="328">
        <v>3212</v>
      </c>
      <c r="B166" s="10" t="s">
        <v>5284</v>
      </c>
      <c r="C166" s="60">
        <f t="shared" si="202"/>
        <v>53069</v>
      </c>
      <c r="D166" s="380">
        <f>'Unos rashoda i izdataka'!L7</f>
        <v>52069</v>
      </c>
      <c r="E166" s="380"/>
      <c r="F166" s="380"/>
      <c r="G166" s="380"/>
      <c r="H166" s="380"/>
      <c r="I166" s="380"/>
      <c r="J166" s="380">
        <f>'Unos rashoda i izdataka'!L109+'Unos rashoda P4'!J33</f>
        <v>1000</v>
      </c>
      <c r="K166" s="380"/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80"/>
      <c r="GK166" s="36"/>
      <c r="GL166" s="36"/>
      <c r="GM166" s="36"/>
      <c r="GN166" s="36"/>
      <c r="GO166" s="36"/>
      <c r="GP166" s="36"/>
      <c r="GQ166" s="36"/>
      <c r="GR166" s="36"/>
      <c r="GS166" s="36"/>
      <c r="GT166" s="36"/>
      <c r="GU166" s="36"/>
      <c r="GV166" s="36"/>
      <c r="GW166" s="36"/>
      <c r="GX166" s="36"/>
      <c r="GY166" s="36"/>
      <c r="GZ166" s="36"/>
      <c r="HA166" s="36"/>
      <c r="HB166" s="36"/>
      <c r="HC166" s="36"/>
      <c r="HD166" s="36"/>
      <c r="HE166" s="36"/>
      <c r="HF166" s="36"/>
      <c r="HG166" s="36"/>
      <c r="HH166" s="36"/>
      <c r="HI166" s="36"/>
      <c r="HJ166" s="36"/>
      <c r="HK166" s="36"/>
      <c r="HL166" s="36"/>
      <c r="HM166" s="36"/>
      <c r="HN166" s="36"/>
      <c r="HO166" s="36"/>
      <c r="HP166" s="36"/>
      <c r="HQ166" s="36"/>
      <c r="HR166" s="36"/>
      <c r="HS166" s="36"/>
      <c r="HT166" s="36"/>
      <c r="HU166" s="36"/>
      <c r="HV166" s="36"/>
      <c r="HW166" s="36"/>
      <c r="HX166" s="36"/>
      <c r="HY166" s="36"/>
      <c r="HZ166" s="36"/>
      <c r="IA166" s="36"/>
      <c r="IB166" s="36"/>
      <c r="IC166" s="36"/>
      <c r="ID166" s="36"/>
      <c r="IE166" s="36"/>
      <c r="IF166" s="36"/>
      <c r="IG166" s="36"/>
      <c r="IH166" s="36"/>
      <c r="II166" s="36"/>
      <c r="IJ166" s="36"/>
      <c r="IK166" s="36"/>
      <c r="IL166" s="36"/>
      <c r="IM166" s="36"/>
      <c r="IN166" s="36"/>
      <c r="IO166" s="36"/>
      <c r="IP166" s="36"/>
      <c r="IQ166" s="36"/>
      <c r="IR166" s="36"/>
      <c r="IS166" s="36"/>
      <c r="IT166" s="36"/>
      <c r="IU166" s="36"/>
      <c r="IV166" s="36"/>
      <c r="IW166" s="36"/>
      <c r="IX166" s="36"/>
      <c r="IY166" s="36"/>
      <c r="IZ166" s="36"/>
      <c r="JA166" s="36"/>
      <c r="JB166" s="36"/>
    </row>
    <row r="167" spans="1:262" s="35" customFormat="1" ht="12.6" customHeight="1">
      <c r="A167" s="328">
        <v>3213</v>
      </c>
      <c r="B167" s="10" t="s">
        <v>97</v>
      </c>
      <c r="C167" s="60">
        <f t="shared" si="202"/>
        <v>4622</v>
      </c>
      <c r="D167" s="380">
        <f>'Unos rashoda i izdataka'!L17</f>
        <v>2922</v>
      </c>
      <c r="E167" s="380"/>
      <c r="F167" s="380"/>
      <c r="G167" s="380"/>
      <c r="H167" s="380">
        <f>'Unos rashoda i izdataka'!L69</f>
        <v>100</v>
      </c>
      <c r="I167" s="380"/>
      <c r="J167" s="380"/>
      <c r="K167" s="380"/>
      <c r="L167" s="380"/>
      <c r="M167" s="380"/>
      <c r="N167" s="380">
        <f>'Unos rashoda P4'!J25</f>
        <v>1600</v>
      </c>
      <c r="O167" s="380"/>
      <c r="P167" s="380"/>
      <c r="Q167" s="380"/>
      <c r="R167" s="380"/>
      <c r="S167" s="380"/>
      <c r="T167" s="380"/>
      <c r="U167" s="380"/>
      <c r="V167" s="380"/>
      <c r="GK167" s="36"/>
      <c r="GL167" s="36"/>
      <c r="GM167" s="36"/>
      <c r="GN167" s="36"/>
      <c r="GO167" s="36"/>
      <c r="GP167" s="36"/>
      <c r="GQ167" s="36"/>
      <c r="GR167" s="36"/>
      <c r="GS167" s="36"/>
      <c r="GT167" s="36"/>
      <c r="GU167" s="36"/>
      <c r="GV167" s="36"/>
      <c r="GW167" s="36"/>
      <c r="GX167" s="36"/>
      <c r="GY167" s="36"/>
      <c r="GZ167" s="36"/>
      <c r="HA167" s="36"/>
      <c r="HB167" s="36"/>
      <c r="HC167" s="36"/>
      <c r="HD167" s="36"/>
      <c r="HE167" s="36"/>
      <c r="HF167" s="36"/>
      <c r="HG167" s="36"/>
      <c r="HH167" s="36"/>
      <c r="HI167" s="36"/>
      <c r="HJ167" s="36"/>
      <c r="HK167" s="36"/>
      <c r="HL167" s="36"/>
      <c r="HM167" s="36"/>
      <c r="HN167" s="36"/>
      <c r="HO167" s="36"/>
      <c r="HP167" s="36"/>
      <c r="HQ167" s="36"/>
      <c r="HR167" s="36"/>
      <c r="HS167" s="36"/>
      <c r="HT167" s="36"/>
      <c r="HU167" s="36"/>
      <c r="HV167" s="36"/>
      <c r="HW167" s="36"/>
      <c r="HX167" s="36"/>
      <c r="HY167" s="36"/>
      <c r="HZ167" s="36"/>
      <c r="IA167" s="36"/>
      <c r="IB167" s="36"/>
      <c r="IC167" s="36"/>
      <c r="ID167" s="36"/>
      <c r="IE167" s="36"/>
      <c r="IF167" s="36"/>
      <c r="IG167" s="36"/>
      <c r="IH167" s="36"/>
      <c r="II167" s="36"/>
      <c r="IJ167" s="36"/>
      <c r="IK167" s="36"/>
      <c r="IL167" s="36"/>
      <c r="IM167" s="36"/>
      <c r="IN167" s="36"/>
      <c r="IO167" s="36"/>
      <c r="IP167" s="36"/>
      <c r="IQ167" s="36"/>
      <c r="IR167" s="36"/>
      <c r="IS167" s="36"/>
      <c r="IT167" s="36"/>
      <c r="IU167" s="36"/>
      <c r="IV167" s="36"/>
      <c r="IW167" s="36"/>
      <c r="IX167" s="36"/>
      <c r="IY167" s="36"/>
      <c r="IZ167" s="36"/>
      <c r="JA167" s="36"/>
      <c r="JB167" s="36"/>
    </row>
    <row r="168" spans="1:262" s="35" customFormat="1" ht="12.6" customHeight="1">
      <c r="A168" s="328">
        <v>322</v>
      </c>
      <c r="B168" s="10" t="s">
        <v>5285</v>
      </c>
      <c r="C168" s="60">
        <f t="shared" si="202"/>
        <v>167086</v>
      </c>
      <c r="D168" s="380">
        <f>D169+D170+D171+D172+D173</f>
        <v>127536</v>
      </c>
      <c r="E168" s="380">
        <f t="shared" ref="E168" si="227">E169+E170+E171+E172+E173</f>
        <v>0</v>
      </c>
      <c r="F168" s="380">
        <f t="shared" ref="F168" si="228">F169+F170+F171+F172+F173</f>
        <v>0</v>
      </c>
      <c r="G168" s="380">
        <f t="shared" ref="G168" si="229">G169+G170+G171+G172+G173</f>
        <v>0</v>
      </c>
      <c r="H168" s="380">
        <f t="shared" ref="H168" si="230">H169+H170+H171+H172+H173</f>
        <v>18050</v>
      </c>
      <c r="I168" s="380">
        <f t="shared" ref="I168" si="231">I169+I170+I171+I172+I173</f>
        <v>0</v>
      </c>
      <c r="J168" s="380">
        <f t="shared" ref="J168" si="232">J169+J170+J171+J172+J173</f>
        <v>10000</v>
      </c>
      <c r="K168" s="380">
        <f t="shared" ref="K168" si="233">K169+K170+K171+K172+K173</f>
        <v>0</v>
      </c>
      <c r="L168" s="380">
        <f t="shared" ref="L168" si="234">L169+L170+L171+L172+L173</f>
        <v>0</v>
      </c>
      <c r="M168" s="380">
        <f t="shared" ref="M168" si="235">M169+M170+M171+M172+M173</f>
        <v>0</v>
      </c>
      <c r="N168" s="380">
        <f t="shared" ref="N168" si="236">N169+N170+N171+N172+N173</f>
        <v>11500</v>
      </c>
      <c r="O168" s="380">
        <f t="shared" ref="O168" si="237">O169+O170+O171+O172+O173</f>
        <v>0</v>
      </c>
      <c r="P168" s="380">
        <f t="shared" ref="P168" si="238">P169+P170+P171+P172+P173</f>
        <v>0</v>
      </c>
      <c r="Q168" s="380">
        <f t="shared" ref="Q168" si="239">Q169+Q170+Q171+Q172+Q173</f>
        <v>0</v>
      </c>
      <c r="R168" s="380">
        <f t="shared" ref="R168" si="240">R169+R170+R171+R172+R173</f>
        <v>0</v>
      </c>
      <c r="S168" s="380">
        <f t="shared" ref="S168" si="241">S169+S170+S171+S172+S173</f>
        <v>0</v>
      </c>
      <c r="T168" s="380">
        <f t="shared" ref="T168" si="242">T169+T170+T171+T172+T173</f>
        <v>0</v>
      </c>
      <c r="U168" s="380">
        <f t="shared" ref="U168" si="243">U169+U170+U171+U172+U173</f>
        <v>0</v>
      </c>
      <c r="V168" s="380">
        <f t="shared" ref="V168" si="244">V169+V170+V171+V172+V173</f>
        <v>0</v>
      </c>
      <c r="GK168" s="36"/>
      <c r="GL168" s="36"/>
      <c r="GM168" s="36"/>
      <c r="GN168" s="36"/>
      <c r="GO168" s="36"/>
      <c r="GP168" s="36"/>
      <c r="GQ168" s="36"/>
      <c r="GR168" s="36"/>
      <c r="GS168" s="36"/>
      <c r="GT168" s="36"/>
      <c r="GU168" s="36"/>
      <c r="GV168" s="36"/>
      <c r="GW168" s="36"/>
      <c r="GX168" s="36"/>
      <c r="GY168" s="36"/>
      <c r="GZ168" s="36"/>
      <c r="HA168" s="36"/>
      <c r="HB168" s="36"/>
      <c r="HC168" s="36"/>
      <c r="HD168" s="36"/>
      <c r="HE168" s="36"/>
      <c r="HF168" s="36"/>
      <c r="HG168" s="36"/>
      <c r="HH168" s="36"/>
      <c r="HI168" s="36"/>
      <c r="HJ168" s="36"/>
      <c r="HK168" s="36"/>
      <c r="HL168" s="36"/>
      <c r="HM168" s="36"/>
      <c r="HN168" s="36"/>
      <c r="HO168" s="36"/>
      <c r="HP168" s="36"/>
      <c r="HQ168" s="36"/>
      <c r="HR168" s="36"/>
      <c r="HS168" s="36"/>
      <c r="HT168" s="36"/>
      <c r="HU168" s="36"/>
      <c r="HV168" s="36"/>
      <c r="HW168" s="36"/>
      <c r="HX168" s="36"/>
      <c r="HY168" s="36"/>
      <c r="HZ168" s="36"/>
      <c r="IA168" s="36"/>
      <c r="IB168" s="36"/>
      <c r="IC168" s="36"/>
      <c r="ID168" s="36"/>
      <c r="IE168" s="36"/>
      <c r="IF168" s="36"/>
      <c r="IG168" s="36"/>
      <c r="IH168" s="36"/>
      <c r="II168" s="36"/>
      <c r="IJ168" s="36"/>
      <c r="IK168" s="36"/>
      <c r="IL168" s="36"/>
      <c r="IM168" s="36"/>
      <c r="IN168" s="36"/>
      <c r="IO168" s="36"/>
      <c r="IP168" s="36"/>
      <c r="IQ168" s="36"/>
      <c r="IR168" s="36"/>
      <c r="IS168" s="36"/>
      <c r="IT168" s="36"/>
      <c r="IU168" s="36"/>
      <c r="IV168" s="36"/>
      <c r="IW168" s="36"/>
      <c r="IX168" s="36"/>
      <c r="IY168" s="36"/>
      <c r="IZ168" s="36"/>
      <c r="JA168" s="36"/>
      <c r="JB168" s="36"/>
    </row>
    <row r="169" spans="1:262" s="35" customFormat="1" ht="12.6" customHeight="1">
      <c r="A169" s="328">
        <v>3221</v>
      </c>
      <c r="B169" s="10" t="s">
        <v>79</v>
      </c>
      <c r="C169" s="60">
        <f t="shared" si="202"/>
        <v>67416</v>
      </c>
      <c r="D169" s="380">
        <f>'Unos rashoda i izdataka'!L18</f>
        <v>32036</v>
      </c>
      <c r="E169" s="380"/>
      <c r="F169" s="380"/>
      <c r="G169" s="380"/>
      <c r="H169" s="380">
        <f>'Unos rashoda i izdataka'!L70</f>
        <v>14000</v>
      </c>
      <c r="I169" s="380"/>
      <c r="J169" s="380">
        <f>'Unos rashoda i izdataka'!L110+'Unos rashoda P4'!J34</f>
        <v>9880</v>
      </c>
      <c r="K169" s="380"/>
      <c r="L169" s="380"/>
      <c r="M169" s="380"/>
      <c r="N169" s="380">
        <f>'Unos rashoda P4'!J14</f>
        <v>11500</v>
      </c>
      <c r="O169" s="380"/>
      <c r="P169" s="380"/>
      <c r="Q169" s="380"/>
      <c r="R169" s="380"/>
      <c r="S169" s="380"/>
      <c r="T169" s="380"/>
      <c r="U169" s="380"/>
      <c r="V169" s="380"/>
      <c r="GK169" s="36"/>
      <c r="GL169" s="36"/>
      <c r="GM169" s="36"/>
      <c r="GN169" s="36"/>
      <c r="GO169" s="36"/>
      <c r="GP169" s="36"/>
      <c r="GQ169" s="36"/>
      <c r="GR169" s="36"/>
      <c r="GS169" s="36"/>
      <c r="GT169" s="36"/>
      <c r="GU169" s="36"/>
      <c r="GV169" s="36"/>
      <c r="GW169" s="36"/>
      <c r="GX169" s="36"/>
      <c r="GY169" s="36"/>
      <c r="GZ169" s="36"/>
      <c r="HA169" s="36"/>
      <c r="HB169" s="36"/>
      <c r="HC169" s="36"/>
      <c r="HD169" s="36"/>
      <c r="HE169" s="36"/>
      <c r="HF169" s="36"/>
      <c r="HG169" s="36"/>
      <c r="HH169" s="36"/>
      <c r="HI169" s="36"/>
      <c r="HJ169" s="36"/>
      <c r="HK169" s="36"/>
      <c r="HL169" s="36"/>
      <c r="HM169" s="36"/>
      <c r="HN169" s="36"/>
      <c r="HO169" s="36"/>
      <c r="HP169" s="36"/>
      <c r="HQ169" s="36"/>
      <c r="HR169" s="36"/>
      <c r="HS169" s="36"/>
      <c r="HT169" s="36"/>
      <c r="HU169" s="36"/>
      <c r="HV169" s="36"/>
      <c r="HW169" s="36"/>
      <c r="HX169" s="36"/>
      <c r="HY169" s="36"/>
      <c r="HZ169" s="36"/>
      <c r="IA169" s="36"/>
      <c r="IB169" s="36"/>
      <c r="IC169" s="36"/>
      <c r="ID169" s="36"/>
      <c r="IE169" s="36"/>
      <c r="IF169" s="36"/>
      <c r="IG169" s="36"/>
      <c r="IH169" s="36"/>
      <c r="II169" s="36"/>
      <c r="IJ169" s="36"/>
      <c r="IK169" s="36"/>
      <c r="IL169" s="36"/>
      <c r="IM169" s="36"/>
      <c r="IN169" s="36"/>
      <c r="IO169" s="36"/>
      <c r="IP169" s="36"/>
      <c r="IQ169" s="36"/>
      <c r="IR169" s="36"/>
      <c r="IS169" s="36"/>
      <c r="IT169" s="36"/>
      <c r="IU169" s="36"/>
      <c r="IV169" s="36"/>
      <c r="IW169" s="36"/>
      <c r="IX169" s="36"/>
      <c r="IY169" s="36"/>
      <c r="IZ169" s="36"/>
      <c r="JA169" s="36"/>
      <c r="JB169" s="36"/>
    </row>
    <row r="170" spans="1:262" s="35" customFormat="1" ht="12.6" customHeight="1">
      <c r="A170" s="328">
        <v>3223</v>
      </c>
      <c r="B170" s="10" t="s">
        <v>88</v>
      </c>
      <c r="C170" s="60">
        <f t="shared" si="202"/>
        <v>90000</v>
      </c>
      <c r="D170" s="380">
        <f>'Unos rashoda i izdataka'!L19</f>
        <v>90000</v>
      </c>
      <c r="E170" s="380"/>
      <c r="F170" s="380"/>
      <c r="G170" s="380"/>
      <c r="H170" s="380">
        <f>'Unos rashoda i izdataka'!L71</f>
        <v>0</v>
      </c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GK170" s="36"/>
      <c r="GL170" s="36"/>
      <c r="GM170" s="36"/>
      <c r="GN170" s="36"/>
      <c r="GO170" s="36"/>
      <c r="GP170" s="36"/>
      <c r="GQ170" s="36"/>
      <c r="GR170" s="36"/>
      <c r="GS170" s="36"/>
      <c r="GT170" s="36"/>
      <c r="GU170" s="36"/>
      <c r="GV170" s="36"/>
      <c r="GW170" s="36"/>
      <c r="GX170" s="36"/>
      <c r="GY170" s="36"/>
      <c r="GZ170" s="36"/>
      <c r="HA170" s="36"/>
      <c r="HB170" s="36"/>
      <c r="HC170" s="36"/>
      <c r="HD170" s="36"/>
      <c r="HE170" s="36"/>
      <c r="HF170" s="36"/>
      <c r="HG170" s="36"/>
      <c r="HH170" s="36"/>
      <c r="HI170" s="36"/>
      <c r="HJ170" s="36"/>
      <c r="HK170" s="36"/>
      <c r="HL170" s="36"/>
      <c r="HM170" s="36"/>
      <c r="HN170" s="36"/>
      <c r="HO170" s="36"/>
      <c r="HP170" s="36"/>
      <c r="HQ170" s="36"/>
      <c r="HR170" s="36"/>
      <c r="HS170" s="36"/>
      <c r="HT170" s="36"/>
      <c r="HU170" s="36"/>
      <c r="HV170" s="36"/>
      <c r="HW170" s="36"/>
      <c r="HX170" s="36"/>
      <c r="HY170" s="36"/>
      <c r="HZ170" s="36"/>
      <c r="IA170" s="36"/>
      <c r="IB170" s="36"/>
      <c r="IC170" s="36"/>
      <c r="ID170" s="36"/>
      <c r="IE170" s="36"/>
      <c r="IF170" s="36"/>
      <c r="IG170" s="36"/>
      <c r="IH170" s="36"/>
      <c r="II170" s="36"/>
      <c r="IJ170" s="36"/>
      <c r="IK170" s="36"/>
      <c r="IL170" s="36"/>
      <c r="IM170" s="36"/>
      <c r="IN170" s="36"/>
      <c r="IO170" s="36"/>
      <c r="IP170" s="36"/>
      <c r="IQ170" s="36"/>
      <c r="IR170" s="36"/>
      <c r="IS170" s="36"/>
      <c r="IT170" s="36"/>
      <c r="IU170" s="36"/>
      <c r="IV170" s="36"/>
      <c r="IW170" s="36"/>
      <c r="IX170" s="36"/>
      <c r="IY170" s="36"/>
      <c r="IZ170" s="36"/>
      <c r="JA170" s="36"/>
      <c r="JB170" s="36"/>
    </row>
    <row r="171" spans="1:262" s="35" customFormat="1" ht="12.6" customHeight="1">
      <c r="A171" s="328">
        <v>3224</v>
      </c>
      <c r="B171" s="10" t="s">
        <v>93</v>
      </c>
      <c r="C171" s="60">
        <f t="shared" si="202"/>
        <v>1000</v>
      </c>
      <c r="D171" s="380">
        <f>'Unos rashoda i izdataka'!L20</f>
        <v>1000</v>
      </c>
      <c r="E171" s="380"/>
      <c r="F171" s="380"/>
      <c r="G171" s="380"/>
      <c r="H171" s="380">
        <f>'Unos rashoda i izdataka'!L72</f>
        <v>0</v>
      </c>
      <c r="I171" s="380"/>
      <c r="J171" s="380"/>
      <c r="K171" s="380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GK171" s="36"/>
      <c r="GL171" s="36"/>
      <c r="GM171" s="36"/>
      <c r="GN171" s="36"/>
      <c r="GO171" s="36"/>
      <c r="GP171" s="36"/>
      <c r="GQ171" s="36"/>
      <c r="GR171" s="36"/>
      <c r="GS171" s="36"/>
      <c r="GT171" s="36"/>
      <c r="GU171" s="36"/>
      <c r="GV171" s="36"/>
      <c r="GW171" s="36"/>
      <c r="GX171" s="36"/>
      <c r="GY171" s="36"/>
      <c r="GZ171" s="36"/>
      <c r="HA171" s="36"/>
      <c r="HB171" s="36"/>
      <c r="HC171" s="36"/>
      <c r="HD171" s="36"/>
      <c r="HE171" s="36"/>
      <c r="HF171" s="36"/>
      <c r="HG171" s="36"/>
      <c r="HH171" s="36"/>
      <c r="HI171" s="36"/>
      <c r="HJ171" s="36"/>
      <c r="HK171" s="36"/>
      <c r="HL171" s="36"/>
      <c r="HM171" s="36"/>
      <c r="HN171" s="36"/>
      <c r="HO171" s="36"/>
      <c r="HP171" s="36"/>
      <c r="HQ171" s="36"/>
      <c r="HR171" s="36"/>
      <c r="HS171" s="36"/>
      <c r="HT171" s="36"/>
      <c r="HU171" s="36"/>
      <c r="HV171" s="36"/>
      <c r="HW171" s="36"/>
      <c r="HX171" s="36"/>
      <c r="HY171" s="36"/>
      <c r="HZ171" s="36"/>
      <c r="IA171" s="36"/>
      <c r="IB171" s="36"/>
      <c r="IC171" s="36"/>
      <c r="ID171" s="36"/>
      <c r="IE171" s="36"/>
      <c r="IF171" s="36"/>
      <c r="IG171" s="36"/>
      <c r="IH171" s="36"/>
      <c r="II171" s="36"/>
      <c r="IJ171" s="36"/>
      <c r="IK171" s="36"/>
      <c r="IL171" s="36"/>
      <c r="IM171" s="36"/>
      <c r="IN171" s="36"/>
      <c r="IO171" s="36"/>
      <c r="IP171" s="36"/>
      <c r="IQ171" s="36"/>
      <c r="IR171" s="36"/>
      <c r="IS171" s="36"/>
      <c r="IT171" s="36"/>
      <c r="IU171" s="36"/>
      <c r="IV171" s="36"/>
      <c r="IW171" s="36"/>
      <c r="IX171" s="36"/>
      <c r="IY171" s="36"/>
      <c r="IZ171" s="36"/>
      <c r="JA171" s="36"/>
      <c r="JB171" s="36"/>
    </row>
    <row r="172" spans="1:262" s="35" customFormat="1" ht="12.6" customHeight="1">
      <c r="A172" s="328">
        <v>3225</v>
      </c>
      <c r="B172" s="10" t="s">
        <v>101</v>
      </c>
      <c r="C172" s="60">
        <f t="shared" si="202"/>
        <v>7120</v>
      </c>
      <c r="D172" s="380">
        <f>'Unos rashoda i izdataka'!L21</f>
        <v>3000</v>
      </c>
      <c r="E172" s="380"/>
      <c r="F172" s="380"/>
      <c r="G172" s="380"/>
      <c r="H172" s="380">
        <f>'Unos rashoda i izdataka'!L73</f>
        <v>4000</v>
      </c>
      <c r="I172" s="380"/>
      <c r="J172" s="380">
        <f>'Unos rashoda P4'!J35</f>
        <v>120</v>
      </c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GK172" s="36"/>
      <c r="GL172" s="36"/>
      <c r="GM172" s="36"/>
      <c r="GN172" s="36"/>
      <c r="GO172" s="36"/>
      <c r="GP172" s="36"/>
      <c r="GQ172" s="36"/>
      <c r="GR172" s="36"/>
      <c r="GS172" s="36"/>
      <c r="GT172" s="36"/>
      <c r="GU172" s="36"/>
      <c r="GV172" s="36"/>
      <c r="GW172" s="36"/>
      <c r="GX172" s="36"/>
      <c r="GY172" s="36"/>
      <c r="GZ172" s="36"/>
      <c r="HA172" s="36"/>
      <c r="HB172" s="36"/>
      <c r="HC172" s="36"/>
      <c r="HD172" s="36"/>
      <c r="HE172" s="36"/>
      <c r="HF172" s="36"/>
      <c r="HG172" s="36"/>
      <c r="HH172" s="36"/>
      <c r="HI172" s="36"/>
      <c r="HJ172" s="36"/>
      <c r="HK172" s="36"/>
      <c r="HL172" s="36"/>
      <c r="HM172" s="36"/>
      <c r="HN172" s="36"/>
      <c r="HO172" s="36"/>
      <c r="HP172" s="36"/>
      <c r="HQ172" s="36"/>
      <c r="HR172" s="36"/>
      <c r="HS172" s="36"/>
      <c r="HT172" s="36"/>
      <c r="HU172" s="36"/>
      <c r="HV172" s="36"/>
      <c r="HW172" s="36"/>
      <c r="HX172" s="36"/>
      <c r="HY172" s="36"/>
      <c r="HZ172" s="36"/>
      <c r="IA172" s="36"/>
      <c r="IB172" s="36"/>
      <c r="IC172" s="36"/>
      <c r="ID172" s="36"/>
      <c r="IE172" s="36"/>
      <c r="IF172" s="36"/>
      <c r="IG172" s="36"/>
      <c r="IH172" s="36"/>
      <c r="II172" s="36"/>
      <c r="IJ172" s="36"/>
      <c r="IK172" s="36"/>
      <c r="IL172" s="36"/>
      <c r="IM172" s="36"/>
      <c r="IN172" s="36"/>
      <c r="IO172" s="36"/>
      <c r="IP172" s="36"/>
      <c r="IQ172" s="36"/>
      <c r="IR172" s="36"/>
      <c r="IS172" s="36"/>
      <c r="IT172" s="36"/>
      <c r="IU172" s="36"/>
      <c r="IV172" s="36"/>
      <c r="IW172" s="36"/>
      <c r="IX172" s="36"/>
      <c r="IY172" s="36"/>
      <c r="IZ172" s="36"/>
      <c r="JA172" s="36"/>
      <c r="JB172" s="36"/>
    </row>
    <row r="173" spans="1:262" s="35" customFormat="1" ht="12.6" customHeight="1">
      <c r="A173" s="328">
        <v>3227</v>
      </c>
      <c r="B173" s="10" t="s">
        <v>118</v>
      </c>
      <c r="C173" s="60">
        <f t="shared" si="202"/>
        <v>1550</v>
      </c>
      <c r="D173" s="380">
        <f>'Unos rashoda i izdataka'!L22</f>
        <v>1500</v>
      </c>
      <c r="E173" s="380"/>
      <c r="F173" s="380"/>
      <c r="G173" s="380"/>
      <c r="H173" s="380">
        <f>'Unos rashoda i izdataka'!L74</f>
        <v>50</v>
      </c>
      <c r="I173" s="380"/>
      <c r="J173" s="380"/>
      <c r="K173" s="380"/>
      <c r="L173" s="380"/>
      <c r="M173" s="380"/>
      <c r="N173" s="380"/>
      <c r="O173" s="380"/>
      <c r="P173" s="380"/>
      <c r="Q173" s="380"/>
      <c r="R173" s="380"/>
      <c r="S173" s="380"/>
      <c r="T173" s="380"/>
      <c r="U173" s="380"/>
      <c r="V173" s="380"/>
      <c r="GK173" s="36"/>
      <c r="GL173" s="36"/>
      <c r="GM173" s="36"/>
      <c r="GN173" s="36"/>
      <c r="GO173" s="36"/>
      <c r="GP173" s="36"/>
      <c r="GQ173" s="36"/>
      <c r="GR173" s="36"/>
      <c r="GS173" s="36"/>
      <c r="GT173" s="36"/>
      <c r="GU173" s="36"/>
      <c r="GV173" s="36"/>
      <c r="GW173" s="36"/>
      <c r="GX173" s="36"/>
      <c r="GY173" s="36"/>
      <c r="GZ173" s="36"/>
      <c r="HA173" s="36"/>
      <c r="HB173" s="36"/>
      <c r="HC173" s="36"/>
      <c r="HD173" s="36"/>
      <c r="HE173" s="36"/>
      <c r="HF173" s="36"/>
      <c r="HG173" s="36"/>
      <c r="HH173" s="36"/>
      <c r="HI173" s="36"/>
      <c r="HJ173" s="36"/>
      <c r="HK173" s="36"/>
      <c r="HL173" s="36"/>
      <c r="HM173" s="36"/>
      <c r="HN173" s="36"/>
      <c r="HO173" s="36"/>
      <c r="HP173" s="36"/>
      <c r="HQ173" s="36"/>
      <c r="HR173" s="36"/>
      <c r="HS173" s="36"/>
      <c r="HT173" s="36"/>
      <c r="HU173" s="36"/>
      <c r="HV173" s="36"/>
      <c r="HW173" s="36"/>
      <c r="HX173" s="36"/>
      <c r="HY173" s="36"/>
      <c r="HZ173" s="36"/>
      <c r="IA173" s="36"/>
      <c r="IB173" s="36"/>
      <c r="IC173" s="36"/>
      <c r="ID173" s="36"/>
      <c r="IE173" s="36"/>
      <c r="IF173" s="36"/>
      <c r="IG173" s="36"/>
      <c r="IH173" s="36"/>
      <c r="II173" s="36"/>
      <c r="IJ173" s="36"/>
      <c r="IK173" s="36"/>
      <c r="IL173" s="36"/>
      <c r="IM173" s="36"/>
      <c r="IN173" s="36"/>
      <c r="IO173" s="36"/>
      <c r="IP173" s="36"/>
      <c r="IQ173" s="36"/>
      <c r="IR173" s="36"/>
      <c r="IS173" s="36"/>
      <c r="IT173" s="36"/>
      <c r="IU173" s="36"/>
      <c r="IV173" s="36"/>
      <c r="IW173" s="36"/>
      <c r="IX173" s="36"/>
      <c r="IY173" s="36"/>
      <c r="IZ173" s="36"/>
      <c r="JA173" s="36"/>
      <c r="JB173" s="36"/>
    </row>
    <row r="174" spans="1:262" s="35" customFormat="1" ht="12.6" customHeight="1">
      <c r="A174" s="328">
        <v>323</v>
      </c>
      <c r="B174" s="10" t="s">
        <v>5286</v>
      </c>
      <c r="C174" s="60">
        <f t="shared" si="202"/>
        <v>990885</v>
      </c>
      <c r="D174" s="380">
        <f>D175+D176+D177+D178+D179+D180+D181+D182++D183</f>
        <v>570750</v>
      </c>
      <c r="E174" s="380">
        <f t="shared" ref="E174" si="245">E175+E176+E177+E178+E179+E180+E181+E182++E183</f>
        <v>3265</v>
      </c>
      <c r="F174" s="380">
        <f t="shared" ref="F174" si="246">F175+F176+F177+F178+F179+F180+F181+F182++F183</f>
        <v>0</v>
      </c>
      <c r="G174" s="380">
        <f t="shared" ref="G174" si="247">G175+G176+G177+G178+G179+G180+G181+G182++G183</f>
        <v>0</v>
      </c>
      <c r="H174" s="380">
        <f t="shared" ref="H174" si="248">H175+H176+H177+H178+H179+H180+H181+H182++H183</f>
        <v>170000</v>
      </c>
      <c r="I174" s="380">
        <f t="shared" ref="I174" si="249">I175+I176+I177+I178+I179+I180+I181+I182++I183</f>
        <v>0</v>
      </c>
      <c r="J174" s="380">
        <f t="shared" ref="J174" si="250">J175+J176+J177+J178+J179+J180+J181+J182++J183</f>
        <v>87000</v>
      </c>
      <c r="K174" s="380">
        <f t="shared" ref="K174" si="251">K175+K176+K177+K178+K179+K180+K181+K182++K183</f>
        <v>0</v>
      </c>
      <c r="L174" s="380">
        <f t="shared" ref="L174" si="252">L175+L176+L177+L178+L179+L180+L181+L182++L183</f>
        <v>0</v>
      </c>
      <c r="M174" s="380">
        <f t="shared" ref="M174" si="253">M175+M176+M177+M178+M179+M180+M181+M182++M183</f>
        <v>0</v>
      </c>
      <c r="N174" s="380">
        <f t="shared" ref="N174" si="254">N175+N176+N177+N178+N179+N180+N181+N182++N183</f>
        <v>159870</v>
      </c>
      <c r="O174" s="380">
        <f t="shared" ref="O174" si="255">O175+O176+O177+O178+O179+O180+O181+O182++O183</f>
        <v>0</v>
      </c>
      <c r="P174" s="380">
        <f t="shared" ref="P174" si="256">P175+P176+P177+P178+P179+P180+P181+P182++P183</f>
        <v>0</v>
      </c>
      <c r="Q174" s="380">
        <f t="shared" ref="Q174" si="257">Q175+Q176+Q177+Q178+Q179+Q180+Q181+Q182++Q183</f>
        <v>0</v>
      </c>
      <c r="R174" s="380">
        <f t="shared" ref="R174" si="258">R175+R176+R177+R178+R179+R180+R181+R182++R183</f>
        <v>0</v>
      </c>
      <c r="S174" s="380">
        <f t="shared" ref="S174" si="259">S175+S176+S177+S178+S179+S180+S181+S182++S183</f>
        <v>0</v>
      </c>
      <c r="T174" s="380">
        <f t="shared" ref="T174" si="260">T175+T176+T177+T178+T179+T180+T181+T182++T183</f>
        <v>0</v>
      </c>
      <c r="U174" s="380">
        <f t="shared" ref="U174" si="261">U175+U176+U177+U178+U179+U180+U181+U182++U183</f>
        <v>0</v>
      </c>
      <c r="V174" s="380">
        <f t="shared" ref="V174" si="262">V175+V176+V177+V178+V179+V180+V181+V182++V183</f>
        <v>0</v>
      </c>
      <c r="GK174" s="36"/>
      <c r="GL174" s="36"/>
      <c r="GM174" s="36"/>
      <c r="GN174" s="36"/>
      <c r="GO174" s="36"/>
      <c r="GP174" s="36"/>
      <c r="GQ174" s="36"/>
      <c r="GR174" s="36"/>
      <c r="GS174" s="36"/>
      <c r="GT174" s="36"/>
      <c r="GU174" s="36"/>
      <c r="GV174" s="36"/>
      <c r="GW174" s="36"/>
      <c r="GX174" s="36"/>
      <c r="GY174" s="36"/>
      <c r="GZ174" s="36"/>
      <c r="HA174" s="36"/>
      <c r="HB174" s="36"/>
      <c r="HC174" s="36"/>
      <c r="HD174" s="36"/>
      <c r="HE174" s="36"/>
      <c r="HF174" s="36"/>
      <c r="HG174" s="36"/>
      <c r="HH174" s="36"/>
      <c r="HI174" s="36"/>
      <c r="HJ174" s="36"/>
      <c r="HK174" s="36"/>
      <c r="HL174" s="36"/>
      <c r="HM174" s="36"/>
      <c r="HN174" s="36"/>
      <c r="HO174" s="36"/>
      <c r="HP174" s="36"/>
      <c r="HQ174" s="36"/>
      <c r="HR174" s="36"/>
      <c r="HS174" s="36"/>
      <c r="HT174" s="36"/>
      <c r="HU174" s="36"/>
      <c r="HV174" s="36"/>
      <c r="HW174" s="36"/>
      <c r="HX174" s="36"/>
      <c r="HY174" s="36"/>
      <c r="HZ174" s="36"/>
      <c r="IA174" s="36"/>
      <c r="IB174" s="36"/>
      <c r="IC174" s="36"/>
      <c r="ID174" s="36"/>
      <c r="IE174" s="36"/>
      <c r="IF174" s="36"/>
      <c r="IG174" s="36"/>
      <c r="IH174" s="36"/>
      <c r="II174" s="36"/>
      <c r="IJ174" s="36"/>
      <c r="IK174" s="36"/>
      <c r="IL174" s="36"/>
      <c r="IM174" s="36"/>
      <c r="IN174" s="36"/>
      <c r="IO174" s="36"/>
      <c r="IP174" s="36"/>
      <c r="IQ174" s="36"/>
      <c r="IR174" s="36"/>
      <c r="IS174" s="36"/>
      <c r="IT174" s="36"/>
      <c r="IU174" s="36"/>
      <c r="IV174" s="36"/>
      <c r="IW174" s="36"/>
      <c r="IX174" s="36"/>
      <c r="IY174" s="36"/>
      <c r="IZ174" s="36"/>
      <c r="JA174" s="36"/>
      <c r="JB174" s="36"/>
    </row>
    <row r="175" spans="1:262" s="35" customFormat="1" ht="12.6" customHeight="1">
      <c r="A175" s="328">
        <v>3231</v>
      </c>
      <c r="B175" s="10" t="s">
        <v>102</v>
      </c>
      <c r="C175" s="60">
        <f t="shared" si="202"/>
        <v>37000</v>
      </c>
      <c r="D175" s="380">
        <f>'Unos rashoda i izdataka'!L23+'Unos rashoda i izdataka'!L123</f>
        <v>25000</v>
      </c>
      <c r="E175" s="380"/>
      <c r="F175" s="380"/>
      <c r="G175" s="380"/>
      <c r="H175" s="380">
        <f>'Unos rashoda i izdataka'!L75</f>
        <v>12000</v>
      </c>
      <c r="I175" s="380"/>
      <c r="J175" s="380"/>
      <c r="K175" s="380"/>
      <c r="L175" s="380"/>
      <c r="M175" s="380"/>
      <c r="N175" s="380"/>
      <c r="O175" s="380"/>
      <c r="P175" s="380"/>
      <c r="Q175" s="380"/>
      <c r="R175" s="380"/>
      <c r="S175" s="380"/>
      <c r="T175" s="380"/>
      <c r="U175" s="380"/>
      <c r="V175" s="380"/>
      <c r="GK175" s="36"/>
      <c r="GL175" s="36"/>
      <c r="GM175" s="36"/>
      <c r="GN175" s="36"/>
      <c r="GO175" s="36"/>
      <c r="GP175" s="36"/>
      <c r="GQ175" s="36"/>
      <c r="GR175" s="36"/>
      <c r="GS175" s="36"/>
      <c r="GT175" s="36"/>
      <c r="GU175" s="36"/>
      <c r="GV175" s="36"/>
      <c r="GW175" s="36"/>
      <c r="GX175" s="36"/>
      <c r="GY175" s="36"/>
      <c r="GZ175" s="36"/>
      <c r="HA175" s="36"/>
      <c r="HB175" s="36"/>
      <c r="HC175" s="36"/>
      <c r="HD175" s="36"/>
      <c r="HE175" s="36"/>
      <c r="HF175" s="36"/>
      <c r="HG175" s="36"/>
      <c r="HH175" s="36"/>
      <c r="HI175" s="36"/>
      <c r="HJ175" s="36"/>
      <c r="HK175" s="36"/>
      <c r="HL175" s="36"/>
      <c r="HM175" s="36"/>
      <c r="HN175" s="36"/>
      <c r="HO175" s="36"/>
      <c r="HP175" s="36"/>
      <c r="HQ175" s="36"/>
      <c r="HR175" s="36"/>
      <c r="HS175" s="36"/>
      <c r="HT175" s="36"/>
      <c r="HU175" s="36"/>
      <c r="HV175" s="36"/>
      <c r="HW175" s="36"/>
      <c r="HX175" s="36"/>
      <c r="HY175" s="36"/>
      <c r="HZ175" s="36"/>
      <c r="IA175" s="36"/>
      <c r="IB175" s="36"/>
      <c r="IC175" s="36"/>
      <c r="ID175" s="36"/>
      <c r="IE175" s="36"/>
      <c r="IF175" s="36"/>
      <c r="IG175" s="36"/>
      <c r="IH175" s="36"/>
      <c r="II175" s="36"/>
      <c r="IJ175" s="36"/>
      <c r="IK175" s="36"/>
      <c r="IL175" s="36"/>
      <c r="IM175" s="36"/>
      <c r="IN175" s="36"/>
      <c r="IO175" s="36"/>
      <c r="IP175" s="36"/>
      <c r="IQ175" s="36"/>
      <c r="IR175" s="36"/>
      <c r="IS175" s="36"/>
      <c r="IT175" s="36"/>
      <c r="IU175" s="36"/>
      <c r="IV175" s="36"/>
      <c r="IW175" s="36"/>
      <c r="IX175" s="36"/>
      <c r="IY175" s="36"/>
      <c r="IZ175" s="36"/>
      <c r="JA175" s="36"/>
      <c r="JB175" s="36"/>
    </row>
    <row r="176" spans="1:262" s="35" customFormat="1" ht="12.6" customHeight="1">
      <c r="A176" s="328">
        <v>3232</v>
      </c>
      <c r="B176" s="10" t="s">
        <v>89</v>
      </c>
      <c r="C176" s="60">
        <f t="shared" si="202"/>
        <v>90178</v>
      </c>
      <c r="D176" s="380">
        <f>'Unos rashoda i izdataka'!L24</f>
        <v>52078</v>
      </c>
      <c r="E176" s="380"/>
      <c r="F176" s="380"/>
      <c r="G176" s="380"/>
      <c r="H176" s="380">
        <f>'Unos rashoda i izdataka'!L76</f>
        <v>1100</v>
      </c>
      <c r="I176" s="380"/>
      <c r="J176" s="380"/>
      <c r="K176" s="380"/>
      <c r="L176" s="380"/>
      <c r="M176" s="380"/>
      <c r="N176" s="380">
        <f>'Unos rashoda P4'!J15</f>
        <v>37000</v>
      </c>
      <c r="O176" s="380"/>
      <c r="P176" s="380"/>
      <c r="Q176" s="380"/>
      <c r="R176" s="380"/>
      <c r="S176" s="380"/>
      <c r="T176" s="380"/>
      <c r="U176" s="380"/>
      <c r="V176" s="380"/>
      <c r="GK176" s="36"/>
      <c r="GL176" s="36"/>
      <c r="GM176" s="36"/>
      <c r="GN176" s="36"/>
      <c r="GO176" s="36"/>
      <c r="GP176" s="36"/>
      <c r="GQ176" s="36"/>
      <c r="GR176" s="36"/>
      <c r="GS176" s="36"/>
      <c r="GT176" s="36"/>
      <c r="GU176" s="36"/>
      <c r="GV176" s="36"/>
      <c r="GW176" s="36"/>
      <c r="GX176" s="36"/>
      <c r="GY176" s="36"/>
      <c r="GZ176" s="36"/>
      <c r="HA176" s="36"/>
      <c r="HB176" s="36"/>
      <c r="HC176" s="36"/>
      <c r="HD176" s="36"/>
      <c r="HE176" s="36"/>
      <c r="HF176" s="36"/>
      <c r="HG176" s="36"/>
      <c r="HH176" s="36"/>
      <c r="HI176" s="36"/>
      <c r="HJ176" s="36"/>
      <c r="HK176" s="36"/>
      <c r="HL176" s="36"/>
      <c r="HM176" s="36"/>
      <c r="HN176" s="36"/>
      <c r="HO176" s="36"/>
      <c r="HP176" s="36"/>
      <c r="HQ176" s="36"/>
      <c r="HR176" s="36"/>
      <c r="HS176" s="36"/>
      <c r="HT176" s="36"/>
      <c r="HU176" s="36"/>
      <c r="HV176" s="36"/>
      <c r="HW176" s="36"/>
      <c r="HX176" s="36"/>
      <c r="HY176" s="36"/>
      <c r="HZ176" s="36"/>
      <c r="IA176" s="36"/>
      <c r="IB176" s="36"/>
      <c r="IC176" s="36"/>
      <c r="ID176" s="36"/>
      <c r="IE176" s="36"/>
      <c r="IF176" s="36"/>
      <c r="IG176" s="36"/>
      <c r="IH176" s="36"/>
      <c r="II176" s="36"/>
      <c r="IJ176" s="36"/>
      <c r="IK176" s="36"/>
      <c r="IL176" s="36"/>
      <c r="IM176" s="36"/>
      <c r="IN176" s="36"/>
      <c r="IO176" s="36"/>
      <c r="IP176" s="36"/>
      <c r="IQ176" s="36"/>
      <c r="IR176" s="36"/>
      <c r="IS176" s="36"/>
      <c r="IT176" s="36"/>
      <c r="IU176" s="36"/>
      <c r="IV176" s="36"/>
      <c r="IW176" s="36"/>
      <c r="IX176" s="36"/>
      <c r="IY176" s="36"/>
      <c r="IZ176" s="36"/>
      <c r="JA176" s="36"/>
      <c r="JB176" s="36"/>
    </row>
    <row r="177" spans="1:262" s="35" customFormat="1" ht="12.6" customHeight="1">
      <c r="A177" s="328">
        <v>3233</v>
      </c>
      <c r="B177" s="10" t="s">
        <v>77</v>
      </c>
      <c r="C177" s="60">
        <f t="shared" si="202"/>
        <v>60500</v>
      </c>
      <c r="D177" s="380">
        <f>'Unos rashoda i izdataka'!L25+'Unos rashoda i izdataka'!L124</f>
        <v>21000</v>
      </c>
      <c r="E177" s="380"/>
      <c r="F177" s="380"/>
      <c r="G177" s="380"/>
      <c r="H177" s="380">
        <f>'Unos rashoda i izdataka'!L77</f>
        <v>4000</v>
      </c>
      <c r="I177" s="380"/>
      <c r="J177" s="380">
        <f>'Unos rashoda P4'!J36</f>
        <v>8000</v>
      </c>
      <c r="K177" s="380"/>
      <c r="L177" s="380"/>
      <c r="M177" s="380"/>
      <c r="N177" s="380">
        <f>'Unos rashoda P4'!J16+'Unos rashoda P4'!J26</f>
        <v>27500</v>
      </c>
      <c r="O177" s="380"/>
      <c r="P177" s="380"/>
      <c r="Q177" s="380"/>
      <c r="R177" s="380"/>
      <c r="S177" s="380"/>
      <c r="T177" s="380"/>
      <c r="U177" s="380"/>
      <c r="V177" s="380"/>
      <c r="GK177" s="36"/>
      <c r="GL177" s="36"/>
      <c r="GM177" s="36"/>
      <c r="GN177" s="36"/>
      <c r="GO177" s="36"/>
      <c r="GP177" s="36"/>
      <c r="GQ177" s="36"/>
      <c r="GR177" s="36"/>
      <c r="GS177" s="36"/>
      <c r="GT177" s="36"/>
      <c r="GU177" s="36"/>
      <c r="GV177" s="36"/>
      <c r="GW177" s="36"/>
      <c r="GX177" s="36"/>
      <c r="GY177" s="36"/>
      <c r="GZ177" s="36"/>
      <c r="HA177" s="36"/>
      <c r="HB177" s="36"/>
      <c r="HC177" s="36"/>
      <c r="HD177" s="36"/>
      <c r="HE177" s="36"/>
      <c r="HF177" s="36"/>
      <c r="HG177" s="36"/>
      <c r="HH177" s="36"/>
      <c r="HI177" s="36"/>
      <c r="HJ177" s="36"/>
      <c r="HK177" s="36"/>
      <c r="HL177" s="36"/>
      <c r="HM177" s="36"/>
      <c r="HN177" s="36"/>
      <c r="HO177" s="36"/>
      <c r="HP177" s="36"/>
      <c r="HQ177" s="36"/>
      <c r="HR177" s="36"/>
      <c r="HS177" s="36"/>
      <c r="HT177" s="36"/>
      <c r="HU177" s="36"/>
      <c r="HV177" s="36"/>
      <c r="HW177" s="36"/>
      <c r="HX177" s="36"/>
      <c r="HY177" s="36"/>
      <c r="HZ177" s="36"/>
      <c r="IA177" s="36"/>
      <c r="IB177" s="36"/>
      <c r="IC177" s="36"/>
      <c r="ID177" s="36"/>
      <c r="IE177" s="36"/>
      <c r="IF177" s="36"/>
      <c r="IG177" s="36"/>
      <c r="IH177" s="36"/>
      <c r="II177" s="36"/>
      <c r="IJ177" s="36"/>
      <c r="IK177" s="36"/>
      <c r="IL177" s="36"/>
      <c r="IM177" s="36"/>
      <c r="IN177" s="36"/>
      <c r="IO177" s="36"/>
      <c r="IP177" s="36"/>
      <c r="IQ177" s="36"/>
      <c r="IR177" s="36"/>
      <c r="IS177" s="36"/>
      <c r="IT177" s="36"/>
      <c r="IU177" s="36"/>
      <c r="IV177" s="36"/>
      <c r="IW177" s="36"/>
      <c r="IX177" s="36"/>
      <c r="IY177" s="36"/>
      <c r="IZ177" s="36"/>
      <c r="JA177" s="36"/>
      <c r="JB177" s="36"/>
    </row>
    <row r="178" spans="1:262" s="35" customFormat="1" ht="12.6" customHeight="1">
      <c r="A178" s="328">
        <v>3234</v>
      </c>
      <c r="B178" s="10" t="s">
        <v>90</v>
      </c>
      <c r="C178" s="60">
        <f t="shared" si="202"/>
        <v>9000</v>
      </c>
      <c r="D178" s="380">
        <f>'Unos rashoda i izdataka'!L26</f>
        <v>9000</v>
      </c>
      <c r="E178" s="380"/>
      <c r="F178" s="380"/>
      <c r="G178" s="380"/>
      <c r="H178" s="380">
        <f>'Unos rashoda i izdataka'!L78</f>
        <v>0</v>
      </c>
      <c r="I178" s="380"/>
      <c r="J178" s="380"/>
      <c r="K178" s="380"/>
      <c r="L178" s="380"/>
      <c r="M178" s="380"/>
      <c r="N178" s="380"/>
      <c r="O178" s="380"/>
      <c r="P178" s="380"/>
      <c r="Q178" s="380"/>
      <c r="R178" s="380"/>
      <c r="S178" s="380"/>
      <c r="T178" s="380"/>
      <c r="U178" s="380"/>
      <c r="V178" s="380"/>
      <c r="GK178" s="36"/>
      <c r="GL178" s="36"/>
      <c r="GM178" s="36"/>
      <c r="GN178" s="36"/>
      <c r="GO178" s="36"/>
      <c r="GP178" s="36"/>
      <c r="GQ178" s="36"/>
      <c r="GR178" s="36"/>
      <c r="GS178" s="36"/>
      <c r="GT178" s="36"/>
      <c r="GU178" s="36"/>
      <c r="GV178" s="36"/>
      <c r="GW178" s="36"/>
      <c r="GX178" s="36"/>
      <c r="GY178" s="36"/>
      <c r="GZ178" s="36"/>
      <c r="HA178" s="36"/>
      <c r="HB178" s="36"/>
      <c r="HC178" s="36"/>
      <c r="HD178" s="36"/>
      <c r="HE178" s="36"/>
      <c r="HF178" s="36"/>
      <c r="HG178" s="36"/>
      <c r="HH178" s="36"/>
      <c r="HI178" s="36"/>
      <c r="HJ178" s="36"/>
      <c r="HK178" s="36"/>
      <c r="HL178" s="36"/>
      <c r="HM178" s="36"/>
      <c r="HN178" s="36"/>
      <c r="HO178" s="36"/>
      <c r="HP178" s="36"/>
      <c r="HQ178" s="36"/>
      <c r="HR178" s="36"/>
      <c r="HS178" s="36"/>
      <c r="HT178" s="36"/>
      <c r="HU178" s="36"/>
      <c r="HV178" s="36"/>
      <c r="HW178" s="36"/>
      <c r="HX178" s="36"/>
      <c r="HY178" s="36"/>
      <c r="HZ178" s="36"/>
      <c r="IA178" s="36"/>
      <c r="IB178" s="36"/>
      <c r="IC178" s="36"/>
      <c r="ID178" s="36"/>
      <c r="IE178" s="36"/>
      <c r="IF178" s="36"/>
      <c r="IG178" s="36"/>
      <c r="IH178" s="36"/>
      <c r="II178" s="36"/>
      <c r="IJ178" s="36"/>
      <c r="IK178" s="36"/>
      <c r="IL178" s="36"/>
      <c r="IM178" s="36"/>
      <c r="IN178" s="36"/>
      <c r="IO178" s="36"/>
      <c r="IP178" s="36"/>
      <c r="IQ178" s="36"/>
      <c r="IR178" s="36"/>
      <c r="IS178" s="36"/>
      <c r="IT178" s="36"/>
      <c r="IU178" s="36"/>
      <c r="IV178" s="36"/>
      <c r="IW178" s="36"/>
      <c r="IX178" s="36"/>
      <c r="IY178" s="36"/>
      <c r="IZ178" s="36"/>
      <c r="JA178" s="36"/>
      <c r="JB178" s="36"/>
    </row>
    <row r="179" spans="1:262" s="35" customFormat="1" ht="12.6" customHeight="1">
      <c r="A179" s="328">
        <v>3235</v>
      </c>
      <c r="B179" s="10" t="s">
        <v>110</v>
      </c>
      <c r="C179" s="60">
        <f t="shared" si="202"/>
        <v>49400</v>
      </c>
      <c r="D179" s="380">
        <f>'Unos rashoda i izdataka'!L27</f>
        <v>47000</v>
      </c>
      <c r="E179" s="380"/>
      <c r="F179" s="380"/>
      <c r="G179" s="380"/>
      <c r="H179" s="380">
        <f>'Unos rashoda i izdataka'!L79</f>
        <v>2400</v>
      </c>
      <c r="I179" s="380"/>
      <c r="J179" s="380"/>
      <c r="K179" s="380"/>
      <c r="L179" s="380"/>
      <c r="M179" s="380"/>
      <c r="N179" s="380"/>
      <c r="O179" s="380"/>
      <c r="P179" s="380"/>
      <c r="Q179" s="380"/>
      <c r="R179" s="380"/>
      <c r="S179" s="380"/>
      <c r="T179" s="380"/>
      <c r="U179" s="380"/>
      <c r="V179" s="380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36"/>
      <c r="HJ179" s="36"/>
      <c r="HK179" s="36"/>
      <c r="HL179" s="36"/>
      <c r="HM179" s="36"/>
      <c r="HN179" s="36"/>
      <c r="HO179" s="36"/>
      <c r="HP179" s="36"/>
      <c r="HQ179" s="36"/>
      <c r="HR179" s="36"/>
      <c r="HS179" s="36"/>
      <c r="HT179" s="36"/>
      <c r="HU179" s="36"/>
      <c r="HV179" s="36"/>
      <c r="HW179" s="36"/>
      <c r="HX179" s="36"/>
      <c r="HY179" s="36"/>
      <c r="HZ179" s="36"/>
      <c r="IA179" s="36"/>
      <c r="IB179" s="36"/>
      <c r="IC179" s="36"/>
      <c r="ID179" s="36"/>
      <c r="IE179" s="36"/>
      <c r="IF179" s="36"/>
      <c r="IG179" s="36"/>
      <c r="IH179" s="36"/>
      <c r="II179" s="36"/>
      <c r="IJ179" s="36"/>
      <c r="IK179" s="36"/>
      <c r="IL179" s="36"/>
      <c r="IM179" s="36"/>
      <c r="IN179" s="36"/>
      <c r="IO179" s="36"/>
      <c r="IP179" s="36"/>
      <c r="IQ179" s="36"/>
      <c r="IR179" s="36"/>
      <c r="IS179" s="36"/>
      <c r="IT179" s="36"/>
      <c r="IU179" s="36"/>
      <c r="IV179" s="36"/>
      <c r="IW179" s="36"/>
      <c r="IX179" s="36"/>
      <c r="IY179" s="36"/>
      <c r="IZ179" s="36"/>
      <c r="JA179" s="36"/>
      <c r="JB179" s="36"/>
    </row>
    <row r="180" spans="1:262" s="35" customFormat="1" ht="12.6" customHeight="1">
      <c r="A180" s="328">
        <v>3236</v>
      </c>
      <c r="B180" s="10" t="s">
        <v>53</v>
      </c>
      <c r="C180" s="60">
        <f t="shared" si="202"/>
        <v>10500</v>
      </c>
      <c r="D180" s="380">
        <f>'Unos rashoda i izdataka'!L8+'Unos rashoda i izdataka'!L28</f>
        <v>10500</v>
      </c>
      <c r="E180" s="380"/>
      <c r="F180" s="380"/>
      <c r="G180" s="380"/>
      <c r="H180" s="380">
        <f>'Unos rashoda i izdataka'!L80</f>
        <v>0</v>
      </c>
      <c r="I180" s="380"/>
      <c r="J180" s="380"/>
      <c r="K180" s="380"/>
      <c r="L180" s="380"/>
      <c r="M180" s="380"/>
      <c r="N180" s="380"/>
      <c r="O180" s="380"/>
      <c r="P180" s="380"/>
      <c r="Q180" s="380"/>
      <c r="R180" s="380"/>
      <c r="S180" s="380"/>
      <c r="T180" s="380"/>
      <c r="U180" s="380"/>
      <c r="V180" s="380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36"/>
      <c r="HJ180" s="36"/>
      <c r="HK180" s="36"/>
      <c r="HL180" s="36"/>
      <c r="HM180" s="36"/>
      <c r="HN180" s="36"/>
      <c r="HO180" s="36"/>
      <c r="HP180" s="36"/>
      <c r="HQ180" s="36"/>
      <c r="HR180" s="36"/>
      <c r="HS180" s="36"/>
      <c r="HT180" s="36"/>
      <c r="HU180" s="36"/>
      <c r="HV180" s="36"/>
      <c r="HW180" s="36"/>
      <c r="HX180" s="36"/>
      <c r="HY180" s="36"/>
      <c r="HZ180" s="36"/>
      <c r="IA180" s="36"/>
      <c r="IB180" s="36"/>
      <c r="IC180" s="36"/>
      <c r="ID180" s="36"/>
      <c r="IE180" s="36"/>
      <c r="IF180" s="36"/>
      <c r="IG180" s="36"/>
      <c r="IH180" s="36"/>
      <c r="II180" s="36"/>
      <c r="IJ180" s="36"/>
      <c r="IK180" s="36"/>
      <c r="IL180" s="36"/>
      <c r="IM180" s="36"/>
      <c r="IN180" s="36"/>
      <c r="IO180" s="36"/>
      <c r="IP180" s="36"/>
      <c r="IQ180" s="36"/>
      <c r="IR180" s="36"/>
      <c r="IS180" s="36"/>
      <c r="IT180" s="36"/>
      <c r="IU180" s="36"/>
      <c r="IV180" s="36"/>
      <c r="IW180" s="36"/>
      <c r="IX180" s="36"/>
      <c r="IY180" s="36"/>
      <c r="IZ180" s="36"/>
      <c r="JA180" s="36"/>
      <c r="JB180" s="36"/>
    </row>
    <row r="181" spans="1:262" s="35" customFormat="1" ht="12.6" customHeight="1">
      <c r="A181" s="328">
        <v>3237</v>
      </c>
      <c r="B181" s="10" t="s">
        <v>66</v>
      </c>
      <c r="C181" s="60">
        <f t="shared" si="202"/>
        <v>532385</v>
      </c>
      <c r="D181" s="380">
        <f>'Unos rashoda i izdataka'!L29+'Unos rashoda i izdataka'!L121+'Unos rashoda i izdataka'!L127</f>
        <v>260750</v>
      </c>
      <c r="E181" s="380">
        <f>'Unos rashoda P4'!J6</f>
        <v>3265</v>
      </c>
      <c r="F181" s="380"/>
      <c r="G181" s="380"/>
      <c r="H181" s="380">
        <f>'Unos rashoda i izdataka'!L81</f>
        <v>146000</v>
      </c>
      <c r="I181" s="380"/>
      <c r="J181" s="380">
        <f>'Unos rashoda i izdataka'!L111+'Unos rashoda P4'!J37</f>
        <v>78000</v>
      </c>
      <c r="K181" s="380"/>
      <c r="L181" s="380"/>
      <c r="M181" s="380"/>
      <c r="N181" s="380">
        <f>'Unos rashoda P4'!J5+'Unos rashoda P4'!J22</f>
        <v>44370</v>
      </c>
      <c r="O181" s="380"/>
      <c r="P181" s="380"/>
      <c r="Q181" s="380"/>
      <c r="R181" s="380"/>
      <c r="S181" s="380"/>
      <c r="T181" s="380"/>
      <c r="U181" s="380"/>
      <c r="V181" s="380"/>
      <c r="GK181" s="36"/>
      <c r="GL181" s="36"/>
      <c r="GM181" s="36"/>
      <c r="GN181" s="36"/>
      <c r="GO181" s="36"/>
      <c r="GP181" s="36"/>
      <c r="GQ181" s="36"/>
      <c r="GR181" s="36"/>
      <c r="GS181" s="36"/>
      <c r="GT181" s="36"/>
      <c r="GU181" s="36"/>
      <c r="GV181" s="36"/>
      <c r="GW181" s="36"/>
      <c r="GX181" s="36"/>
      <c r="GY181" s="36"/>
      <c r="GZ181" s="36"/>
      <c r="HA181" s="36"/>
      <c r="HB181" s="36"/>
      <c r="HC181" s="36"/>
      <c r="HD181" s="36"/>
      <c r="HE181" s="36"/>
      <c r="HF181" s="36"/>
      <c r="HG181" s="36"/>
      <c r="HH181" s="36"/>
      <c r="HI181" s="36"/>
      <c r="HJ181" s="36"/>
      <c r="HK181" s="36"/>
      <c r="HL181" s="36"/>
      <c r="HM181" s="36"/>
      <c r="HN181" s="36"/>
      <c r="HO181" s="36"/>
      <c r="HP181" s="36"/>
      <c r="HQ181" s="36"/>
      <c r="HR181" s="36"/>
      <c r="HS181" s="36"/>
      <c r="HT181" s="36"/>
      <c r="HU181" s="36"/>
      <c r="HV181" s="36"/>
      <c r="HW181" s="36"/>
      <c r="HX181" s="36"/>
      <c r="HY181" s="36"/>
      <c r="HZ181" s="36"/>
      <c r="IA181" s="36"/>
      <c r="IB181" s="36"/>
      <c r="IC181" s="36"/>
      <c r="ID181" s="36"/>
      <c r="IE181" s="36"/>
      <c r="IF181" s="36"/>
      <c r="IG181" s="36"/>
      <c r="IH181" s="36"/>
      <c r="II181" s="36"/>
      <c r="IJ181" s="36"/>
      <c r="IK181" s="36"/>
      <c r="IL181" s="36"/>
      <c r="IM181" s="36"/>
      <c r="IN181" s="36"/>
      <c r="IO181" s="36"/>
      <c r="IP181" s="36"/>
      <c r="IQ181" s="36"/>
      <c r="IR181" s="36"/>
      <c r="IS181" s="36"/>
      <c r="IT181" s="36"/>
      <c r="IU181" s="36"/>
      <c r="IV181" s="36"/>
      <c r="IW181" s="36"/>
      <c r="IX181" s="36"/>
      <c r="IY181" s="36"/>
      <c r="IZ181" s="36"/>
      <c r="JA181" s="36"/>
      <c r="JB181" s="36"/>
    </row>
    <row r="182" spans="1:262" s="35" customFormat="1" ht="12.6" customHeight="1">
      <c r="A182" s="328">
        <v>3238</v>
      </c>
      <c r="B182" s="10" t="s">
        <v>103</v>
      </c>
      <c r="C182" s="60">
        <f t="shared" si="202"/>
        <v>8600</v>
      </c>
      <c r="D182" s="380">
        <f>'Unos rashoda i izdataka'!L30</f>
        <v>7500</v>
      </c>
      <c r="E182" s="380"/>
      <c r="F182" s="380"/>
      <c r="G182" s="380"/>
      <c r="H182" s="380">
        <f>'Unos rashoda i izdataka'!L82</f>
        <v>100</v>
      </c>
      <c r="I182" s="380"/>
      <c r="J182" s="380"/>
      <c r="K182" s="380"/>
      <c r="L182" s="380"/>
      <c r="M182" s="380"/>
      <c r="N182" s="380">
        <f>'Unos rashoda P4'!J17</f>
        <v>1000</v>
      </c>
      <c r="O182" s="380"/>
      <c r="P182" s="380"/>
      <c r="Q182" s="380"/>
      <c r="R182" s="380"/>
      <c r="S182" s="380"/>
      <c r="T182" s="380"/>
      <c r="U182" s="380"/>
      <c r="V182" s="380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  <c r="GZ182" s="36"/>
      <c r="HA182" s="36"/>
      <c r="HB182" s="36"/>
      <c r="HC182" s="36"/>
      <c r="HD182" s="36"/>
      <c r="HE182" s="36"/>
      <c r="HF182" s="36"/>
      <c r="HG182" s="36"/>
      <c r="HH182" s="36"/>
      <c r="HI182" s="36"/>
      <c r="HJ182" s="36"/>
      <c r="HK182" s="36"/>
      <c r="HL182" s="36"/>
      <c r="HM182" s="36"/>
      <c r="HN182" s="36"/>
      <c r="HO182" s="36"/>
      <c r="HP182" s="36"/>
      <c r="HQ182" s="36"/>
      <c r="HR182" s="36"/>
      <c r="HS182" s="36"/>
      <c r="HT182" s="36"/>
      <c r="HU182" s="36"/>
      <c r="HV182" s="36"/>
      <c r="HW182" s="36"/>
      <c r="HX182" s="36"/>
      <c r="HY182" s="36"/>
      <c r="HZ182" s="36"/>
      <c r="IA182" s="36"/>
      <c r="IB182" s="36"/>
      <c r="IC182" s="36"/>
      <c r="ID182" s="36"/>
      <c r="IE182" s="36"/>
      <c r="IF182" s="36"/>
      <c r="IG182" s="36"/>
      <c r="IH182" s="36"/>
      <c r="II182" s="36"/>
      <c r="IJ182" s="36"/>
      <c r="IK182" s="36"/>
      <c r="IL182" s="36"/>
      <c r="IM182" s="36"/>
      <c r="IN182" s="36"/>
      <c r="IO182" s="36"/>
      <c r="IP182" s="36"/>
      <c r="IQ182" s="36"/>
      <c r="IR182" s="36"/>
      <c r="IS182" s="36"/>
      <c r="IT182" s="36"/>
      <c r="IU182" s="36"/>
      <c r="IV182" s="36"/>
      <c r="IW182" s="36"/>
      <c r="IX182" s="36"/>
      <c r="IY182" s="36"/>
      <c r="IZ182" s="36"/>
      <c r="JA182" s="36"/>
      <c r="JB182" s="36"/>
    </row>
    <row r="183" spans="1:262" s="35" customFormat="1" ht="12.6" customHeight="1">
      <c r="A183" s="328">
        <v>3239</v>
      </c>
      <c r="B183" s="10" t="s">
        <v>83</v>
      </c>
      <c r="C183" s="60">
        <f t="shared" si="202"/>
        <v>193322</v>
      </c>
      <c r="D183" s="380">
        <f>'Unos rashoda i izdataka'!L31</f>
        <v>137922</v>
      </c>
      <c r="E183" s="380"/>
      <c r="F183" s="380"/>
      <c r="G183" s="380"/>
      <c r="H183" s="380">
        <f>'Unos rashoda i izdataka'!L83</f>
        <v>4400</v>
      </c>
      <c r="I183" s="380"/>
      <c r="J183" s="380">
        <f>'Unos rashoda i izdataka'!L112+'Unos rashoda P4'!J38</f>
        <v>1000</v>
      </c>
      <c r="K183" s="380"/>
      <c r="L183" s="380"/>
      <c r="M183" s="380"/>
      <c r="N183" s="380">
        <f>'Unos rashoda P4'!J18</f>
        <v>50000</v>
      </c>
      <c r="O183" s="380"/>
      <c r="P183" s="380"/>
      <c r="Q183" s="380"/>
      <c r="R183" s="380"/>
      <c r="S183" s="380"/>
      <c r="T183" s="380"/>
      <c r="U183" s="380"/>
      <c r="V183" s="380"/>
      <c r="GK183" s="36"/>
      <c r="GL183" s="36"/>
      <c r="GM183" s="36"/>
      <c r="GN183" s="36"/>
      <c r="GO183" s="36"/>
      <c r="GP183" s="36"/>
      <c r="GQ183" s="36"/>
      <c r="GR183" s="36"/>
      <c r="GS183" s="36"/>
      <c r="GT183" s="36"/>
      <c r="GU183" s="36"/>
      <c r="GV183" s="36"/>
      <c r="GW183" s="36"/>
      <c r="GX183" s="36"/>
      <c r="GY183" s="36"/>
      <c r="GZ183" s="36"/>
      <c r="HA183" s="36"/>
      <c r="HB183" s="36"/>
      <c r="HC183" s="36"/>
      <c r="HD183" s="36"/>
      <c r="HE183" s="36"/>
      <c r="HF183" s="36"/>
      <c r="HG183" s="36"/>
      <c r="HH183" s="36"/>
      <c r="HI183" s="36"/>
      <c r="HJ183" s="36"/>
      <c r="HK183" s="36"/>
      <c r="HL183" s="36"/>
      <c r="HM183" s="36"/>
      <c r="HN183" s="36"/>
      <c r="HO183" s="36"/>
      <c r="HP183" s="36"/>
      <c r="HQ183" s="36"/>
      <c r="HR183" s="36"/>
      <c r="HS183" s="36"/>
      <c r="HT183" s="36"/>
      <c r="HU183" s="36"/>
      <c r="HV183" s="36"/>
      <c r="HW183" s="36"/>
      <c r="HX183" s="36"/>
      <c r="HY183" s="36"/>
      <c r="HZ183" s="36"/>
      <c r="IA183" s="36"/>
      <c r="IB183" s="36"/>
      <c r="IC183" s="36"/>
      <c r="ID183" s="36"/>
      <c r="IE183" s="36"/>
      <c r="IF183" s="36"/>
      <c r="IG183" s="36"/>
      <c r="IH183" s="36"/>
      <c r="II183" s="36"/>
      <c r="IJ183" s="36"/>
      <c r="IK183" s="36"/>
      <c r="IL183" s="36"/>
      <c r="IM183" s="36"/>
      <c r="IN183" s="36"/>
      <c r="IO183" s="36"/>
      <c r="IP183" s="36"/>
      <c r="IQ183" s="36"/>
      <c r="IR183" s="36"/>
      <c r="IS183" s="36"/>
      <c r="IT183" s="36"/>
      <c r="IU183" s="36"/>
      <c r="IV183" s="36"/>
      <c r="IW183" s="36"/>
      <c r="IX183" s="36"/>
      <c r="IY183" s="36"/>
      <c r="IZ183" s="36"/>
      <c r="JA183" s="36"/>
      <c r="JB183" s="36"/>
    </row>
    <row r="184" spans="1:262" s="35" customFormat="1" ht="12.6" customHeight="1">
      <c r="A184" s="328">
        <v>329</v>
      </c>
      <c r="B184" s="10" t="s">
        <v>57</v>
      </c>
      <c r="C184" s="60">
        <f t="shared" si="202"/>
        <v>733233</v>
      </c>
      <c r="D184" s="380">
        <f>D185+D186+D187+D188+D189+D190</f>
        <v>174979</v>
      </c>
      <c r="E184" s="380">
        <f t="shared" ref="E184" si="263">E185+E186+E187+E188+E189+E190</f>
        <v>2378</v>
      </c>
      <c r="F184" s="380">
        <f t="shared" ref="F184" si="264">F185+F186+F187+F188+F189+F190</f>
        <v>500</v>
      </c>
      <c r="G184" s="380">
        <f t="shared" ref="G184" si="265">G185+G186+G187+G188+G189+G190</f>
        <v>0</v>
      </c>
      <c r="H184" s="380">
        <f t="shared" ref="H184" si="266">H185+H186+H187+H188+H189+H190</f>
        <v>424000</v>
      </c>
      <c r="I184" s="380">
        <f t="shared" ref="I184" si="267">I185+I186+I187+I188+I189+I190</f>
        <v>0</v>
      </c>
      <c r="J184" s="380">
        <f t="shared" ref="J184" si="268">J185+J186+J187+J188+J189+J190</f>
        <v>117900</v>
      </c>
      <c r="K184" s="380">
        <f t="shared" ref="K184" si="269">K185+K186+K187+K188+K189+K190</f>
        <v>0</v>
      </c>
      <c r="L184" s="380">
        <f t="shared" ref="L184" si="270">L185+L186+L187+L188+L189+L190</f>
        <v>0</v>
      </c>
      <c r="M184" s="380">
        <f t="shared" ref="M184" si="271">M185+M186+M187+M188+M189+M190</f>
        <v>0</v>
      </c>
      <c r="N184" s="380">
        <f t="shared" ref="N184" si="272">N185+N186+N187+N188+N189+N190</f>
        <v>13476</v>
      </c>
      <c r="O184" s="380">
        <f t="shared" ref="O184" si="273">O185+O186+O187+O188+O189+O190</f>
        <v>0</v>
      </c>
      <c r="P184" s="380">
        <f t="shared" ref="P184" si="274">P185+P186+P187+P188+P189+P190</f>
        <v>0</v>
      </c>
      <c r="Q184" s="380">
        <f t="shared" ref="Q184" si="275">Q185+Q186+Q187+Q188+Q189+Q190</f>
        <v>0</v>
      </c>
      <c r="R184" s="380">
        <f t="shared" ref="R184" si="276">R185+R186+R187+R188+R189+R190</f>
        <v>0</v>
      </c>
      <c r="S184" s="380">
        <f t="shared" ref="S184" si="277">S185+S186+S187+S188+S189+S190</f>
        <v>0</v>
      </c>
      <c r="T184" s="380">
        <f t="shared" ref="T184" si="278">T185+T186+T187+T188+T189+T190</f>
        <v>0</v>
      </c>
      <c r="U184" s="380">
        <f t="shared" ref="U184" si="279">U185+U186+U187+U188+U189+U190</f>
        <v>0</v>
      </c>
      <c r="V184" s="380">
        <f t="shared" ref="V184" si="280">V185+V186+V187+V188+V189+V190</f>
        <v>0</v>
      </c>
      <c r="GK184" s="36"/>
      <c r="GL184" s="36"/>
      <c r="GM184" s="36"/>
      <c r="GN184" s="36"/>
      <c r="GO184" s="36"/>
      <c r="GP184" s="36"/>
      <c r="GQ184" s="36"/>
      <c r="GR184" s="36"/>
      <c r="GS184" s="36"/>
      <c r="GT184" s="36"/>
      <c r="GU184" s="36"/>
      <c r="GV184" s="36"/>
      <c r="GW184" s="36"/>
      <c r="GX184" s="36"/>
      <c r="GY184" s="36"/>
      <c r="GZ184" s="36"/>
      <c r="HA184" s="36"/>
      <c r="HB184" s="36"/>
      <c r="HC184" s="36"/>
      <c r="HD184" s="36"/>
      <c r="HE184" s="36"/>
      <c r="HF184" s="36"/>
      <c r="HG184" s="36"/>
      <c r="HH184" s="36"/>
      <c r="HI184" s="36"/>
      <c r="HJ184" s="36"/>
      <c r="HK184" s="36"/>
      <c r="HL184" s="36"/>
      <c r="HM184" s="36"/>
      <c r="HN184" s="36"/>
      <c r="HO184" s="36"/>
      <c r="HP184" s="36"/>
      <c r="HQ184" s="36"/>
      <c r="HR184" s="36"/>
      <c r="HS184" s="36"/>
      <c r="HT184" s="36"/>
      <c r="HU184" s="36"/>
      <c r="HV184" s="36"/>
      <c r="HW184" s="36"/>
      <c r="HX184" s="36"/>
      <c r="HY184" s="36"/>
      <c r="HZ184" s="36"/>
      <c r="IA184" s="36"/>
      <c r="IB184" s="36"/>
      <c r="IC184" s="36"/>
      <c r="ID184" s="36"/>
      <c r="IE184" s="36"/>
      <c r="IF184" s="36"/>
      <c r="IG184" s="36"/>
      <c r="IH184" s="36"/>
      <c r="II184" s="36"/>
      <c r="IJ184" s="36"/>
      <c r="IK184" s="36"/>
      <c r="IL184" s="36"/>
      <c r="IM184" s="36"/>
      <c r="IN184" s="36"/>
      <c r="IO184" s="36"/>
      <c r="IP184" s="36"/>
      <c r="IQ184" s="36"/>
      <c r="IR184" s="36"/>
      <c r="IS184" s="36"/>
      <c r="IT184" s="36"/>
      <c r="IU184" s="36"/>
      <c r="IV184" s="36"/>
      <c r="IW184" s="36"/>
      <c r="IX184" s="36"/>
      <c r="IY184" s="36"/>
      <c r="IZ184" s="36"/>
      <c r="JA184" s="36"/>
      <c r="JB184" s="36"/>
    </row>
    <row r="185" spans="1:262" s="35" customFormat="1" ht="12.6" customHeight="1">
      <c r="A185" s="328">
        <v>3292</v>
      </c>
      <c r="B185" s="10" t="s">
        <v>74</v>
      </c>
      <c r="C185" s="60">
        <f t="shared" si="202"/>
        <v>5000</v>
      </c>
      <c r="D185" s="380">
        <f>'Unos rashoda i izdataka'!L33</f>
        <v>5000</v>
      </c>
      <c r="E185" s="380"/>
      <c r="F185" s="380"/>
      <c r="G185" s="380"/>
      <c r="H185" s="380">
        <f>'Unos rashoda i izdataka'!L85</f>
        <v>0</v>
      </c>
      <c r="I185" s="380"/>
      <c r="J185" s="380"/>
      <c r="K185" s="380"/>
      <c r="L185" s="380"/>
      <c r="M185" s="380"/>
      <c r="N185" s="380"/>
      <c r="O185" s="380"/>
      <c r="P185" s="380"/>
      <c r="Q185" s="380"/>
      <c r="R185" s="380"/>
      <c r="S185" s="380"/>
      <c r="T185" s="380"/>
      <c r="U185" s="380"/>
      <c r="V185" s="380"/>
      <c r="GK185" s="36"/>
      <c r="GL185" s="36"/>
      <c r="GM185" s="36"/>
      <c r="GN185" s="36"/>
      <c r="GO185" s="36"/>
      <c r="GP185" s="36"/>
      <c r="GQ185" s="36"/>
      <c r="GR185" s="36"/>
      <c r="GS185" s="36"/>
      <c r="GT185" s="36"/>
      <c r="GU185" s="36"/>
      <c r="GV185" s="36"/>
      <c r="GW185" s="36"/>
      <c r="GX185" s="36"/>
      <c r="GY185" s="36"/>
      <c r="GZ185" s="36"/>
      <c r="HA185" s="36"/>
      <c r="HB185" s="36"/>
      <c r="HC185" s="36"/>
      <c r="HD185" s="36"/>
      <c r="HE185" s="36"/>
      <c r="HF185" s="36"/>
      <c r="HG185" s="36"/>
      <c r="HH185" s="36"/>
      <c r="HI185" s="36"/>
      <c r="HJ185" s="36"/>
      <c r="HK185" s="36"/>
      <c r="HL185" s="36"/>
      <c r="HM185" s="36"/>
      <c r="HN185" s="36"/>
      <c r="HO185" s="36"/>
      <c r="HP185" s="36"/>
      <c r="HQ185" s="36"/>
      <c r="HR185" s="36"/>
      <c r="HS185" s="36"/>
      <c r="HT185" s="36"/>
      <c r="HU185" s="36"/>
      <c r="HV185" s="36"/>
      <c r="HW185" s="36"/>
      <c r="HX185" s="36"/>
      <c r="HY185" s="36"/>
      <c r="HZ185" s="36"/>
      <c r="IA185" s="36"/>
      <c r="IB185" s="36"/>
      <c r="IC185" s="36"/>
      <c r="ID185" s="36"/>
      <c r="IE185" s="36"/>
      <c r="IF185" s="36"/>
      <c r="IG185" s="36"/>
      <c r="IH185" s="36"/>
      <c r="II185" s="36"/>
      <c r="IJ185" s="36"/>
      <c r="IK185" s="36"/>
      <c r="IL185" s="36"/>
      <c r="IM185" s="36"/>
      <c r="IN185" s="36"/>
      <c r="IO185" s="36"/>
      <c r="IP185" s="36"/>
      <c r="IQ185" s="36"/>
      <c r="IR185" s="36"/>
      <c r="IS185" s="36"/>
      <c r="IT185" s="36"/>
      <c r="IU185" s="36"/>
      <c r="IV185" s="36"/>
      <c r="IW185" s="36"/>
      <c r="IX185" s="36"/>
      <c r="IY185" s="36"/>
      <c r="IZ185" s="36"/>
      <c r="JA185" s="36"/>
      <c r="JB185" s="36"/>
    </row>
    <row r="186" spans="1:262" s="35" customFormat="1" ht="12.6" customHeight="1">
      <c r="A186" s="328">
        <v>3293</v>
      </c>
      <c r="B186" s="10" t="s">
        <v>84</v>
      </c>
      <c r="C186" s="60">
        <f t="shared" si="202"/>
        <v>90726</v>
      </c>
      <c r="D186" s="380">
        <f>'Unos rashoda i izdataka'!L34+'Unos rashoda i izdataka'!L126</f>
        <v>78326</v>
      </c>
      <c r="E186" s="380"/>
      <c r="F186" s="380">
        <f>'Unos rashoda i izdataka'!L61</f>
        <v>500</v>
      </c>
      <c r="G186" s="380"/>
      <c r="H186" s="380">
        <f>'Unos rashoda i izdataka'!L86</f>
        <v>4000</v>
      </c>
      <c r="I186" s="380"/>
      <c r="J186" s="380">
        <f>'Unos rashoda P4'!J40</f>
        <v>7900</v>
      </c>
      <c r="K186" s="380"/>
      <c r="L186" s="380"/>
      <c r="M186" s="380"/>
      <c r="N186" s="380"/>
      <c r="O186" s="380"/>
      <c r="P186" s="380"/>
      <c r="Q186" s="380"/>
      <c r="R186" s="380"/>
      <c r="S186" s="380"/>
      <c r="T186" s="380"/>
      <c r="U186" s="380"/>
      <c r="V186" s="380"/>
      <c r="GK186" s="36"/>
      <c r="GL186" s="36"/>
      <c r="GM186" s="36"/>
      <c r="GN186" s="36"/>
      <c r="GO186" s="36"/>
      <c r="GP186" s="36"/>
      <c r="GQ186" s="36"/>
      <c r="GR186" s="36"/>
      <c r="GS186" s="36"/>
      <c r="GT186" s="36"/>
      <c r="GU186" s="36"/>
      <c r="GV186" s="36"/>
      <c r="GW186" s="36"/>
      <c r="GX186" s="36"/>
      <c r="GY186" s="36"/>
      <c r="GZ186" s="36"/>
      <c r="HA186" s="36"/>
      <c r="HB186" s="36"/>
      <c r="HC186" s="36"/>
      <c r="HD186" s="36"/>
      <c r="HE186" s="36"/>
      <c r="HF186" s="36"/>
      <c r="HG186" s="36"/>
      <c r="HH186" s="36"/>
      <c r="HI186" s="36"/>
      <c r="HJ186" s="36"/>
      <c r="HK186" s="36"/>
      <c r="HL186" s="36"/>
      <c r="HM186" s="36"/>
      <c r="HN186" s="36"/>
      <c r="HO186" s="36"/>
      <c r="HP186" s="36"/>
      <c r="HQ186" s="36"/>
      <c r="HR186" s="36"/>
      <c r="HS186" s="36"/>
      <c r="HT186" s="36"/>
      <c r="HU186" s="36"/>
      <c r="HV186" s="36"/>
      <c r="HW186" s="36"/>
      <c r="HX186" s="36"/>
      <c r="HY186" s="36"/>
      <c r="HZ186" s="36"/>
      <c r="IA186" s="36"/>
      <c r="IB186" s="36"/>
      <c r="IC186" s="36"/>
      <c r="ID186" s="36"/>
      <c r="IE186" s="36"/>
      <c r="IF186" s="36"/>
      <c r="IG186" s="36"/>
      <c r="IH186" s="36"/>
      <c r="II186" s="36"/>
      <c r="IJ186" s="36"/>
      <c r="IK186" s="36"/>
      <c r="IL186" s="36"/>
      <c r="IM186" s="36"/>
      <c r="IN186" s="36"/>
      <c r="IO186" s="36"/>
      <c r="IP186" s="36"/>
      <c r="IQ186" s="36"/>
      <c r="IR186" s="36"/>
      <c r="IS186" s="36"/>
      <c r="IT186" s="36"/>
      <c r="IU186" s="36"/>
      <c r="IV186" s="36"/>
      <c r="IW186" s="36"/>
      <c r="IX186" s="36"/>
      <c r="IY186" s="36"/>
      <c r="IZ186" s="36"/>
      <c r="JA186" s="36"/>
      <c r="JB186" s="36"/>
    </row>
    <row r="187" spans="1:262" s="35" customFormat="1" ht="12.6" customHeight="1">
      <c r="A187" s="328">
        <v>3294</v>
      </c>
      <c r="B187" s="10" t="s">
        <v>85</v>
      </c>
      <c r="C187" s="60">
        <f t="shared" si="202"/>
        <v>8053</v>
      </c>
      <c r="D187" s="380">
        <f>'Unos rashoda i izdataka'!L35</f>
        <v>8053</v>
      </c>
      <c r="E187" s="380"/>
      <c r="F187" s="380"/>
      <c r="G187" s="380"/>
      <c r="H187" s="380">
        <f>'Unos rashoda i izdataka'!L87</f>
        <v>0</v>
      </c>
      <c r="I187" s="380"/>
      <c r="J187" s="380"/>
      <c r="K187" s="380"/>
      <c r="L187" s="380"/>
      <c r="M187" s="380"/>
      <c r="N187" s="380"/>
      <c r="O187" s="380"/>
      <c r="P187" s="380"/>
      <c r="Q187" s="380"/>
      <c r="R187" s="380"/>
      <c r="S187" s="380"/>
      <c r="T187" s="380"/>
      <c r="U187" s="380"/>
      <c r="V187" s="380"/>
      <c r="GK187" s="36"/>
      <c r="GL187" s="36"/>
      <c r="GM187" s="36"/>
      <c r="GN187" s="36"/>
      <c r="GO187" s="36"/>
      <c r="GP187" s="36"/>
      <c r="GQ187" s="36"/>
      <c r="GR187" s="36"/>
      <c r="GS187" s="36"/>
      <c r="GT187" s="36"/>
      <c r="GU187" s="36"/>
      <c r="GV187" s="36"/>
      <c r="GW187" s="36"/>
      <c r="GX187" s="36"/>
      <c r="GY187" s="36"/>
      <c r="GZ187" s="36"/>
      <c r="HA187" s="36"/>
      <c r="HB187" s="36"/>
      <c r="HC187" s="36"/>
      <c r="HD187" s="36"/>
      <c r="HE187" s="36"/>
      <c r="HF187" s="36"/>
      <c r="HG187" s="36"/>
      <c r="HH187" s="36"/>
      <c r="HI187" s="36"/>
      <c r="HJ187" s="36"/>
      <c r="HK187" s="36"/>
      <c r="HL187" s="36"/>
      <c r="HM187" s="36"/>
      <c r="HN187" s="36"/>
      <c r="HO187" s="36"/>
      <c r="HP187" s="36"/>
      <c r="HQ187" s="36"/>
      <c r="HR187" s="36"/>
      <c r="HS187" s="36"/>
      <c r="HT187" s="36"/>
      <c r="HU187" s="36"/>
      <c r="HV187" s="36"/>
      <c r="HW187" s="36"/>
      <c r="HX187" s="36"/>
      <c r="HY187" s="36"/>
      <c r="HZ187" s="36"/>
      <c r="IA187" s="36"/>
      <c r="IB187" s="36"/>
      <c r="IC187" s="36"/>
      <c r="ID187" s="36"/>
      <c r="IE187" s="36"/>
      <c r="IF187" s="36"/>
      <c r="IG187" s="36"/>
      <c r="IH187" s="36"/>
      <c r="II187" s="36"/>
      <c r="IJ187" s="36"/>
      <c r="IK187" s="36"/>
      <c r="IL187" s="36"/>
      <c r="IM187" s="36"/>
      <c r="IN187" s="36"/>
      <c r="IO187" s="36"/>
      <c r="IP187" s="36"/>
      <c r="IQ187" s="36"/>
      <c r="IR187" s="36"/>
      <c r="IS187" s="36"/>
      <c r="IT187" s="36"/>
      <c r="IU187" s="36"/>
      <c r="IV187" s="36"/>
      <c r="IW187" s="36"/>
      <c r="IX187" s="36"/>
      <c r="IY187" s="36"/>
      <c r="IZ187" s="36"/>
      <c r="JA187" s="36"/>
      <c r="JB187" s="36"/>
    </row>
    <row r="188" spans="1:262" s="35" customFormat="1" ht="12.6" customHeight="1">
      <c r="A188" s="328">
        <v>3295</v>
      </c>
      <c r="B188" s="10" t="s">
        <v>5287</v>
      </c>
      <c r="C188" s="60">
        <f t="shared" si="202"/>
        <v>28454</v>
      </c>
      <c r="D188" s="380">
        <f>'Unos rashoda i izdataka'!L9+'Unos rashoda i izdataka'!L36</f>
        <v>12600</v>
      </c>
      <c r="E188" s="380">
        <f>'Unos rashoda P4'!J7</f>
        <v>2378</v>
      </c>
      <c r="F188" s="380"/>
      <c r="G188" s="380"/>
      <c r="H188" s="380">
        <f>'Unos rashoda i izdataka'!L88</f>
        <v>0</v>
      </c>
      <c r="I188" s="380"/>
      <c r="J188" s="380"/>
      <c r="K188" s="380"/>
      <c r="L188" s="380"/>
      <c r="M188" s="380"/>
      <c r="N188" s="380">
        <f>'Unos rashoda P4'!J8</f>
        <v>13476</v>
      </c>
      <c r="O188" s="380"/>
      <c r="P188" s="380"/>
      <c r="Q188" s="380"/>
      <c r="R188" s="380"/>
      <c r="S188" s="380"/>
      <c r="T188" s="380"/>
      <c r="U188" s="380"/>
      <c r="V188" s="380"/>
      <c r="GK188" s="36"/>
      <c r="GL188" s="36"/>
      <c r="GM188" s="36"/>
      <c r="GN188" s="36"/>
      <c r="GO188" s="36"/>
      <c r="GP188" s="36"/>
      <c r="GQ188" s="36"/>
      <c r="GR188" s="36"/>
      <c r="GS188" s="36"/>
      <c r="GT188" s="36"/>
      <c r="GU188" s="36"/>
      <c r="GV188" s="36"/>
      <c r="GW188" s="36"/>
      <c r="GX188" s="36"/>
      <c r="GY188" s="36"/>
      <c r="GZ188" s="36"/>
      <c r="HA188" s="36"/>
      <c r="HB188" s="36"/>
      <c r="HC188" s="36"/>
      <c r="HD188" s="36"/>
      <c r="HE188" s="36"/>
      <c r="HF188" s="36"/>
      <c r="HG188" s="36"/>
      <c r="HH188" s="36"/>
      <c r="HI188" s="36"/>
      <c r="HJ188" s="36"/>
      <c r="HK188" s="36"/>
      <c r="HL188" s="36"/>
      <c r="HM188" s="36"/>
      <c r="HN188" s="36"/>
      <c r="HO188" s="36"/>
      <c r="HP188" s="36"/>
      <c r="HQ188" s="36"/>
      <c r="HR188" s="36"/>
      <c r="HS188" s="36"/>
      <c r="HT188" s="36"/>
      <c r="HU188" s="36"/>
      <c r="HV188" s="36"/>
      <c r="HW188" s="36"/>
      <c r="HX188" s="36"/>
      <c r="HY188" s="36"/>
      <c r="HZ188" s="36"/>
      <c r="IA188" s="36"/>
      <c r="IB188" s="36"/>
      <c r="IC188" s="36"/>
      <c r="ID188" s="36"/>
      <c r="IE188" s="36"/>
      <c r="IF188" s="36"/>
      <c r="IG188" s="36"/>
      <c r="IH188" s="36"/>
      <c r="II188" s="36"/>
      <c r="IJ188" s="36"/>
      <c r="IK188" s="36"/>
      <c r="IL188" s="36"/>
      <c r="IM188" s="36"/>
      <c r="IN188" s="36"/>
      <c r="IO188" s="36"/>
      <c r="IP188" s="36"/>
      <c r="IQ188" s="36"/>
      <c r="IR188" s="36"/>
      <c r="IS188" s="36"/>
      <c r="IT188" s="36"/>
      <c r="IU188" s="36"/>
      <c r="IV188" s="36"/>
      <c r="IW188" s="36"/>
      <c r="IX188" s="36"/>
      <c r="IY188" s="36"/>
      <c r="IZ188" s="36"/>
      <c r="JA188" s="36"/>
      <c r="JB188" s="36"/>
    </row>
    <row r="189" spans="1:262" s="35" customFormat="1" ht="12.6" customHeight="1">
      <c r="A189" s="328">
        <v>3296</v>
      </c>
      <c r="B189" s="10" t="s">
        <v>148</v>
      </c>
      <c r="C189" s="60">
        <f t="shared" si="202"/>
        <v>16000</v>
      </c>
      <c r="D189" s="380">
        <f>'Unos rashoda i izdataka'!L37</f>
        <v>16000</v>
      </c>
      <c r="E189" s="380"/>
      <c r="F189" s="380"/>
      <c r="G189" s="380"/>
      <c r="H189" s="380"/>
      <c r="I189" s="380"/>
      <c r="J189" s="380"/>
      <c r="K189" s="380"/>
      <c r="L189" s="380"/>
      <c r="M189" s="380"/>
      <c r="N189" s="380"/>
      <c r="O189" s="380"/>
      <c r="P189" s="380"/>
      <c r="Q189" s="380"/>
      <c r="R189" s="380"/>
      <c r="S189" s="380"/>
      <c r="T189" s="380"/>
      <c r="U189" s="380"/>
      <c r="V189" s="380"/>
      <c r="GK189" s="36"/>
      <c r="GL189" s="36"/>
      <c r="GM189" s="36"/>
      <c r="GN189" s="36"/>
      <c r="GO189" s="36"/>
      <c r="GP189" s="36"/>
      <c r="GQ189" s="36"/>
      <c r="GR189" s="36"/>
      <c r="GS189" s="36"/>
      <c r="GT189" s="36"/>
      <c r="GU189" s="36"/>
      <c r="GV189" s="36"/>
      <c r="GW189" s="36"/>
      <c r="GX189" s="36"/>
      <c r="GY189" s="36"/>
      <c r="GZ189" s="36"/>
      <c r="HA189" s="36"/>
      <c r="HB189" s="36"/>
      <c r="HC189" s="36"/>
      <c r="HD189" s="36"/>
      <c r="HE189" s="36"/>
      <c r="HF189" s="36"/>
      <c r="HG189" s="36"/>
      <c r="HH189" s="36"/>
      <c r="HI189" s="36"/>
      <c r="HJ189" s="36"/>
      <c r="HK189" s="36"/>
      <c r="HL189" s="36"/>
      <c r="HM189" s="36"/>
      <c r="HN189" s="36"/>
      <c r="HO189" s="36"/>
      <c r="HP189" s="36"/>
      <c r="HQ189" s="36"/>
      <c r="HR189" s="36"/>
      <c r="HS189" s="36"/>
      <c r="HT189" s="36"/>
      <c r="HU189" s="36"/>
      <c r="HV189" s="36"/>
      <c r="HW189" s="36"/>
      <c r="HX189" s="36"/>
      <c r="HY189" s="36"/>
      <c r="HZ189" s="36"/>
      <c r="IA189" s="36"/>
      <c r="IB189" s="36"/>
      <c r="IC189" s="36"/>
      <c r="ID189" s="36"/>
      <c r="IE189" s="36"/>
      <c r="IF189" s="36"/>
      <c r="IG189" s="36"/>
      <c r="IH189" s="36"/>
      <c r="II189" s="36"/>
      <c r="IJ189" s="36"/>
      <c r="IK189" s="36"/>
      <c r="IL189" s="36"/>
      <c r="IM189" s="36"/>
      <c r="IN189" s="36"/>
      <c r="IO189" s="36"/>
      <c r="IP189" s="36"/>
      <c r="IQ189" s="36"/>
      <c r="IR189" s="36"/>
      <c r="IS189" s="36"/>
      <c r="IT189" s="36"/>
      <c r="IU189" s="36"/>
      <c r="IV189" s="36"/>
      <c r="IW189" s="36"/>
      <c r="IX189" s="36"/>
      <c r="IY189" s="36"/>
      <c r="IZ189" s="36"/>
      <c r="JA189" s="36"/>
      <c r="JB189" s="36"/>
    </row>
    <row r="190" spans="1:262" s="35" customFormat="1" ht="12.6" customHeight="1">
      <c r="A190" s="328">
        <v>3299</v>
      </c>
      <c r="B190" s="10" t="s">
        <v>57</v>
      </c>
      <c r="C190" s="60">
        <f t="shared" si="202"/>
        <v>585000</v>
      </c>
      <c r="D190" s="380">
        <f>'Unos rashoda i izdataka'!L38</f>
        <v>55000</v>
      </c>
      <c r="E190" s="380"/>
      <c r="F190" s="380"/>
      <c r="G190" s="380"/>
      <c r="H190" s="380">
        <f>'Unos rashoda i izdataka'!L89</f>
        <v>420000</v>
      </c>
      <c r="I190" s="380"/>
      <c r="J190" s="380">
        <f>'Unos rashoda P4'!J41</f>
        <v>110000</v>
      </c>
      <c r="K190" s="380"/>
      <c r="L190" s="380"/>
      <c r="M190" s="380"/>
      <c r="N190" s="380"/>
      <c r="O190" s="380"/>
      <c r="P190" s="380"/>
      <c r="Q190" s="380"/>
      <c r="R190" s="380"/>
      <c r="S190" s="380"/>
      <c r="T190" s="380"/>
      <c r="U190" s="380"/>
      <c r="V190" s="380"/>
      <c r="GK190" s="36"/>
      <c r="GL190" s="36"/>
      <c r="GM190" s="36"/>
      <c r="GN190" s="36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6"/>
      <c r="GZ190" s="36"/>
      <c r="HA190" s="36"/>
      <c r="HB190" s="36"/>
      <c r="HC190" s="36"/>
      <c r="HD190" s="36"/>
      <c r="HE190" s="36"/>
      <c r="HF190" s="36"/>
      <c r="HG190" s="36"/>
      <c r="HH190" s="36"/>
      <c r="HI190" s="36"/>
      <c r="HJ190" s="36"/>
      <c r="HK190" s="36"/>
      <c r="HL190" s="36"/>
      <c r="HM190" s="36"/>
      <c r="HN190" s="36"/>
      <c r="HO190" s="36"/>
      <c r="HP190" s="36"/>
      <c r="HQ190" s="36"/>
      <c r="HR190" s="36"/>
      <c r="HS190" s="36"/>
      <c r="HT190" s="36"/>
      <c r="HU190" s="36"/>
      <c r="HV190" s="36"/>
      <c r="HW190" s="36"/>
      <c r="HX190" s="36"/>
      <c r="HY190" s="36"/>
      <c r="HZ190" s="36"/>
      <c r="IA190" s="36"/>
      <c r="IB190" s="36"/>
      <c r="IC190" s="36"/>
      <c r="ID190" s="36"/>
      <c r="IE190" s="36"/>
      <c r="IF190" s="36"/>
      <c r="IG190" s="36"/>
      <c r="IH190" s="36"/>
      <c r="II190" s="36"/>
      <c r="IJ190" s="36"/>
      <c r="IK190" s="36"/>
      <c r="IL190" s="36"/>
      <c r="IM190" s="36"/>
      <c r="IN190" s="36"/>
      <c r="IO190" s="36"/>
      <c r="IP190" s="36"/>
      <c r="IQ190" s="36"/>
      <c r="IR190" s="36"/>
      <c r="IS190" s="36"/>
      <c r="IT190" s="36"/>
      <c r="IU190" s="36"/>
      <c r="IV190" s="36"/>
      <c r="IW190" s="36"/>
      <c r="IX190" s="36"/>
      <c r="IY190" s="36"/>
      <c r="IZ190" s="36"/>
      <c r="JA190" s="36"/>
      <c r="JB190" s="36"/>
    </row>
    <row r="191" spans="1:262" s="35" customFormat="1" ht="12.6" customHeight="1">
      <c r="A191" s="328">
        <v>324</v>
      </c>
      <c r="B191" s="10" t="s">
        <v>80</v>
      </c>
      <c r="C191" s="60">
        <f t="shared" si="202"/>
        <v>67900</v>
      </c>
      <c r="D191" s="380">
        <f>D192</f>
        <v>5900</v>
      </c>
      <c r="E191" s="380">
        <f t="shared" ref="E191:V191" si="281">E192</f>
        <v>0</v>
      </c>
      <c r="F191" s="380">
        <f t="shared" si="281"/>
        <v>0</v>
      </c>
      <c r="G191" s="380">
        <f t="shared" si="281"/>
        <v>0</v>
      </c>
      <c r="H191" s="380">
        <f t="shared" si="281"/>
        <v>57000</v>
      </c>
      <c r="I191" s="380">
        <f t="shared" si="281"/>
        <v>0</v>
      </c>
      <c r="J191" s="380">
        <f t="shared" si="281"/>
        <v>5000</v>
      </c>
      <c r="K191" s="380">
        <f t="shared" si="281"/>
        <v>0</v>
      </c>
      <c r="L191" s="380">
        <f t="shared" si="281"/>
        <v>0</v>
      </c>
      <c r="M191" s="380">
        <f t="shared" si="281"/>
        <v>0</v>
      </c>
      <c r="N191" s="380">
        <f t="shared" si="281"/>
        <v>0</v>
      </c>
      <c r="O191" s="380">
        <f t="shared" si="281"/>
        <v>0</v>
      </c>
      <c r="P191" s="380">
        <f t="shared" si="281"/>
        <v>0</v>
      </c>
      <c r="Q191" s="380">
        <f t="shared" si="281"/>
        <v>0</v>
      </c>
      <c r="R191" s="380">
        <f t="shared" si="281"/>
        <v>0</v>
      </c>
      <c r="S191" s="380">
        <f t="shared" si="281"/>
        <v>0</v>
      </c>
      <c r="T191" s="380">
        <f t="shared" si="281"/>
        <v>0</v>
      </c>
      <c r="U191" s="380">
        <f t="shared" si="281"/>
        <v>0</v>
      </c>
      <c r="V191" s="380">
        <f t="shared" si="281"/>
        <v>0</v>
      </c>
      <c r="GK191" s="36"/>
      <c r="GL191" s="36"/>
      <c r="GM191" s="36"/>
      <c r="GN191" s="36"/>
      <c r="GO191" s="36"/>
      <c r="GP191" s="36"/>
      <c r="GQ191" s="36"/>
      <c r="GR191" s="36"/>
      <c r="GS191" s="36"/>
      <c r="GT191" s="36"/>
      <c r="GU191" s="36"/>
      <c r="GV191" s="36"/>
      <c r="GW191" s="36"/>
      <c r="GX191" s="36"/>
      <c r="GY191" s="36"/>
      <c r="GZ191" s="36"/>
      <c r="HA191" s="36"/>
      <c r="HB191" s="36"/>
      <c r="HC191" s="36"/>
      <c r="HD191" s="36"/>
      <c r="HE191" s="36"/>
      <c r="HF191" s="36"/>
      <c r="HG191" s="36"/>
      <c r="HH191" s="36"/>
      <c r="HI191" s="36"/>
      <c r="HJ191" s="36"/>
      <c r="HK191" s="36"/>
      <c r="HL191" s="36"/>
      <c r="HM191" s="36"/>
      <c r="HN191" s="36"/>
      <c r="HO191" s="36"/>
      <c r="HP191" s="36"/>
      <c r="HQ191" s="36"/>
      <c r="HR191" s="36"/>
      <c r="HS191" s="36"/>
      <c r="HT191" s="36"/>
      <c r="HU191" s="36"/>
      <c r="HV191" s="36"/>
      <c r="HW191" s="36"/>
      <c r="HX191" s="36"/>
      <c r="HY191" s="36"/>
      <c r="HZ191" s="36"/>
      <c r="IA191" s="36"/>
      <c r="IB191" s="36"/>
      <c r="IC191" s="36"/>
      <c r="ID191" s="36"/>
      <c r="IE191" s="36"/>
      <c r="IF191" s="36"/>
      <c r="IG191" s="36"/>
      <c r="IH191" s="36"/>
      <c r="II191" s="36"/>
      <c r="IJ191" s="36"/>
      <c r="IK191" s="36"/>
      <c r="IL191" s="36"/>
      <c r="IM191" s="36"/>
      <c r="IN191" s="36"/>
      <c r="IO191" s="36"/>
      <c r="IP191" s="36"/>
      <c r="IQ191" s="36"/>
      <c r="IR191" s="36"/>
      <c r="IS191" s="36"/>
      <c r="IT191" s="36"/>
      <c r="IU191" s="36"/>
      <c r="IV191" s="36"/>
      <c r="IW191" s="36"/>
      <c r="IX191" s="36"/>
      <c r="IY191" s="36"/>
      <c r="IZ191" s="36"/>
      <c r="JA191" s="36"/>
      <c r="JB191" s="36"/>
    </row>
    <row r="192" spans="1:262" s="35" customFormat="1" ht="12.6" customHeight="1">
      <c r="A192" s="328">
        <v>3241</v>
      </c>
      <c r="B192" s="10" t="s">
        <v>80</v>
      </c>
      <c r="C192" s="60">
        <f t="shared" si="202"/>
        <v>67900</v>
      </c>
      <c r="D192" s="380">
        <f>'Unos rashoda i izdataka'!L32+'Unos rashoda i izdataka'!L125</f>
        <v>5900</v>
      </c>
      <c r="E192" s="380"/>
      <c r="F192" s="380"/>
      <c r="G192" s="380"/>
      <c r="H192" s="380">
        <f>'Unos rashoda i izdataka'!L84</f>
        <v>57000</v>
      </c>
      <c r="I192" s="380"/>
      <c r="J192" s="380">
        <f>'Unos rashoda i izdataka'!L113+'Unos rashoda P4'!J39</f>
        <v>5000</v>
      </c>
      <c r="K192" s="380"/>
      <c r="L192" s="380"/>
      <c r="M192" s="380"/>
      <c r="N192" s="380"/>
      <c r="O192" s="380"/>
      <c r="P192" s="380"/>
      <c r="Q192" s="380"/>
      <c r="R192" s="380"/>
      <c r="S192" s="380"/>
      <c r="T192" s="380"/>
      <c r="U192" s="380"/>
      <c r="V192" s="380"/>
      <c r="GK192" s="36"/>
      <c r="GL192" s="36"/>
      <c r="GM192" s="36"/>
      <c r="GN192" s="36"/>
      <c r="GO192" s="36"/>
      <c r="GP192" s="36"/>
      <c r="GQ192" s="36"/>
      <c r="GR192" s="36"/>
      <c r="GS192" s="36"/>
      <c r="GT192" s="36"/>
      <c r="GU192" s="36"/>
      <c r="GV192" s="36"/>
      <c r="GW192" s="36"/>
      <c r="GX192" s="36"/>
      <c r="GY192" s="36"/>
      <c r="GZ192" s="36"/>
      <c r="HA192" s="36"/>
      <c r="HB192" s="36"/>
      <c r="HC192" s="36"/>
      <c r="HD192" s="36"/>
      <c r="HE192" s="36"/>
      <c r="HF192" s="36"/>
      <c r="HG192" s="36"/>
      <c r="HH192" s="36"/>
      <c r="HI192" s="36"/>
      <c r="HJ192" s="36"/>
      <c r="HK192" s="36"/>
      <c r="HL192" s="36"/>
      <c r="HM192" s="36"/>
      <c r="HN192" s="36"/>
      <c r="HO192" s="36"/>
      <c r="HP192" s="36"/>
      <c r="HQ192" s="36"/>
      <c r="HR192" s="36"/>
      <c r="HS192" s="36"/>
      <c r="HT192" s="36"/>
      <c r="HU192" s="36"/>
      <c r="HV192" s="36"/>
      <c r="HW192" s="36"/>
      <c r="HX192" s="36"/>
      <c r="HY192" s="36"/>
      <c r="HZ192" s="36"/>
      <c r="IA192" s="36"/>
      <c r="IB192" s="36"/>
      <c r="IC192" s="36"/>
      <c r="ID192" s="36"/>
      <c r="IE192" s="36"/>
      <c r="IF192" s="36"/>
      <c r="IG192" s="36"/>
      <c r="IH192" s="36"/>
      <c r="II192" s="36"/>
      <c r="IJ192" s="36"/>
      <c r="IK192" s="36"/>
      <c r="IL192" s="36"/>
      <c r="IM192" s="36"/>
      <c r="IN192" s="36"/>
      <c r="IO192" s="36"/>
      <c r="IP192" s="36"/>
      <c r="IQ192" s="36"/>
      <c r="IR192" s="36"/>
      <c r="IS192" s="36"/>
      <c r="IT192" s="36"/>
      <c r="IU192" s="36"/>
      <c r="IV192" s="36"/>
      <c r="IW192" s="36"/>
      <c r="IX192" s="36"/>
      <c r="IY192" s="36"/>
      <c r="IZ192" s="36"/>
      <c r="JA192" s="36"/>
      <c r="JB192" s="36"/>
    </row>
    <row r="193" spans="1:262" s="11" customFormat="1" ht="12.6" customHeight="1">
      <c r="A193" s="328">
        <v>34</v>
      </c>
      <c r="B193" s="10" t="s">
        <v>200</v>
      </c>
      <c r="C193" s="60">
        <f t="shared" si="202"/>
        <v>35730</v>
      </c>
      <c r="D193" s="380">
        <f>D194</f>
        <v>35130</v>
      </c>
      <c r="E193" s="380">
        <f t="shared" ref="E193:V193" si="282">E194</f>
        <v>0</v>
      </c>
      <c r="F193" s="380">
        <f t="shared" si="282"/>
        <v>0</v>
      </c>
      <c r="G193" s="380">
        <f t="shared" si="282"/>
        <v>0</v>
      </c>
      <c r="H193" s="380">
        <f t="shared" si="282"/>
        <v>100</v>
      </c>
      <c r="I193" s="380">
        <f t="shared" si="282"/>
        <v>0</v>
      </c>
      <c r="J193" s="380">
        <f t="shared" si="282"/>
        <v>0</v>
      </c>
      <c r="K193" s="380">
        <f t="shared" si="282"/>
        <v>0</v>
      </c>
      <c r="L193" s="380">
        <f t="shared" si="282"/>
        <v>0</v>
      </c>
      <c r="M193" s="380">
        <f t="shared" si="282"/>
        <v>0</v>
      </c>
      <c r="N193" s="380">
        <f t="shared" si="282"/>
        <v>500</v>
      </c>
      <c r="O193" s="380">
        <f t="shared" si="282"/>
        <v>0</v>
      </c>
      <c r="P193" s="380">
        <f t="shared" si="282"/>
        <v>0</v>
      </c>
      <c r="Q193" s="380">
        <f t="shared" si="282"/>
        <v>0</v>
      </c>
      <c r="R193" s="380">
        <f t="shared" si="282"/>
        <v>0</v>
      </c>
      <c r="S193" s="380">
        <f t="shared" si="282"/>
        <v>0</v>
      </c>
      <c r="T193" s="380">
        <f t="shared" si="282"/>
        <v>0</v>
      </c>
      <c r="U193" s="380">
        <f t="shared" si="282"/>
        <v>0</v>
      </c>
      <c r="V193" s="380">
        <f t="shared" si="282"/>
        <v>0</v>
      </c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6"/>
      <c r="GL193" s="36"/>
      <c r="GM193" s="36"/>
      <c r="GN193" s="36"/>
      <c r="GO193" s="36"/>
      <c r="GP193" s="36"/>
      <c r="GQ193" s="36"/>
      <c r="GR193" s="36"/>
      <c r="GS193" s="36"/>
      <c r="GT193" s="36"/>
      <c r="GU193" s="36"/>
      <c r="GV193" s="36"/>
      <c r="GW193" s="36"/>
      <c r="GX193" s="36"/>
      <c r="GY193" s="36"/>
      <c r="GZ193" s="36"/>
      <c r="HA193" s="36"/>
      <c r="HB193" s="36"/>
      <c r="HC193" s="36"/>
      <c r="HD193" s="36"/>
      <c r="HE193" s="36"/>
      <c r="HF193" s="36"/>
      <c r="HG193" s="36"/>
      <c r="HH193" s="36"/>
      <c r="HI193" s="36"/>
      <c r="HJ193" s="36"/>
      <c r="HK193" s="36"/>
      <c r="HL193" s="36"/>
      <c r="HM193" s="36"/>
      <c r="HN193" s="36"/>
      <c r="HO193" s="36"/>
      <c r="HP193" s="36"/>
      <c r="HQ193" s="36"/>
      <c r="HR193" s="36"/>
      <c r="HS193" s="36"/>
      <c r="HT193" s="36"/>
      <c r="HU193" s="36"/>
      <c r="HV193" s="36"/>
      <c r="HW193" s="36"/>
      <c r="HX193" s="36"/>
      <c r="HY193" s="36"/>
      <c r="HZ193" s="36"/>
      <c r="IA193" s="36"/>
      <c r="IB193" s="36"/>
      <c r="IC193" s="36"/>
      <c r="ID193" s="36"/>
      <c r="IE193" s="36"/>
      <c r="IF193" s="36"/>
      <c r="IG193" s="36"/>
      <c r="IH193" s="36"/>
      <c r="II193" s="36"/>
      <c r="IJ193" s="36"/>
      <c r="IK193" s="36"/>
      <c r="IL193" s="36"/>
      <c r="IM193" s="36"/>
      <c r="IN193" s="36"/>
      <c r="IO193" s="36"/>
      <c r="IP193" s="36"/>
      <c r="IQ193" s="36"/>
      <c r="IR193" s="36"/>
      <c r="IS193" s="36"/>
      <c r="IT193" s="36"/>
      <c r="IU193" s="36"/>
      <c r="IV193" s="36"/>
      <c r="IW193" s="36"/>
      <c r="IX193" s="36"/>
      <c r="IY193" s="36"/>
      <c r="IZ193" s="36"/>
      <c r="JA193" s="36"/>
      <c r="JB193" s="36"/>
    </row>
    <row r="194" spans="1:262" s="11" customFormat="1" ht="12.6" customHeight="1">
      <c r="A194" s="328">
        <v>343</v>
      </c>
      <c r="B194" s="10" t="s">
        <v>5288</v>
      </c>
      <c r="C194" s="60">
        <f t="shared" si="202"/>
        <v>35730</v>
      </c>
      <c r="D194" s="380">
        <f>D195+D196+D197+D198</f>
        <v>35130</v>
      </c>
      <c r="E194" s="380">
        <f t="shared" ref="E194" si="283">E195+E196+E197+E198</f>
        <v>0</v>
      </c>
      <c r="F194" s="380">
        <f t="shared" ref="F194" si="284">F195+F196+F197+F198</f>
        <v>0</v>
      </c>
      <c r="G194" s="380">
        <f t="shared" ref="G194" si="285">G195+G196+G197+G198</f>
        <v>0</v>
      </c>
      <c r="H194" s="380">
        <f t="shared" ref="H194" si="286">H195+H196+H197+H198</f>
        <v>100</v>
      </c>
      <c r="I194" s="380">
        <f t="shared" ref="I194" si="287">I195+I196+I197+I198</f>
        <v>0</v>
      </c>
      <c r="J194" s="380">
        <f t="shared" ref="J194" si="288">J195+J196+J197+J198</f>
        <v>0</v>
      </c>
      <c r="K194" s="380">
        <f t="shared" ref="K194" si="289">K195+K196+K197+K198</f>
        <v>0</v>
      </c>
      <c r="L194" s="380">
        <f t="shared" ref="L194" si="290">L195+L196+L197+L198</f>
        <v>0</v>
      </c>
      <c r="M194" s="380">
        <f t="shared" ref="M194" si="291">M195+M196+M197+M198</f>
        <v>0</v>
      </c>
      <c r="N194" s="380">
        <f t="shared" ref="N194" si="292">N195+N196+N197+N198</f>
        <v>500</v>
      </c>
      <c r="O194" s="380">
        <f t="shared" ref="O194" si="293">O195+O196+O197+O198</f>
        <v>0</v>
      </c>
      <c r="P194" s="380">
        <f t="shared" ref="P194" si="294">P195+P196+P197+P198</f>
        <v>0</v>
      </c>
      <c r="Q194" s="380">
        <f t="shared" ref="Q194" si="295">Q195+Q196+Q197+Q198</f>
        <v>0</v>
      </c>
      <c r="R194" s="380">
        <f t="shared" ref="R194" si="296">R195+R196+R197+R198</f>
        <v>0</v>
      </c>
      <c r="S194" s="380">
        <f t="shared" ref="S194" si="297">S195+S196+S197+S198</f>
        <v>0</v>
      </c>
      <c r="T194" s="380">
        <f t="shared" ref="T194" si="298">T195+T196+T197+T198</f>
        <v>0</v>
      </c>
      <c r="U194" s="380">
        <f t="shared" ref="U194" si="299">U195+U196+U197+U198</f>
        <v>0</v>
      </c>
      <c r="V194" s="380">
        <f t="shared" ref="V194" si="300">V195+V196+V197+V198</f>
        <v>0</v>
      </c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6"/>
      <c r="GL194" s="36"/>
      <c r="GM194" s="36"/>
      <c r="GN194" s="36"/>
      <c r="GO194" s="36"/>
      <c r="GP194" s="36"/>
      <c r="GQ194" s="36"/>
      <c r="GR194" s="36"/>
      <c r="GS194" s="36"/>
      <c r="GT194" s="36"/>
      <c r="GU194" s="36"/>
      <c r="GV194" s="36"/>
      <c r="GW194" s="36"/>
      <c r="GX194" s="36"/>
      <c r="GY194" s="36"/>
      <c r="GZ194" s="36"/>
      <c r="HA194" s="36"/>
      <c r="HB194" s="36"/>
      <c r="HC194" s="36"/>
      <c r="HD194" s="36"/>
      <c r="HE194" s="36"/>
      <c r="HF194" s="36"/>
      <c r="HG194" s="36"/>
      <c r="HH194" s="36"/>
      <c r="HI194" s="36"/>
      <c r="HJ194" s="36"/>
      <c r="HK194" s="36"/>
      <c r="HL194" s="36"/>
      <c r="HM194" s="36"/>
      <c r="HN194" s="36"/>
      <c r="HO194" s="36"/>
      <c r="HP194" s="36"/>
      <c r="HQ194" s="36"/>
      <c r="HR194" s="36"/>
      <c r="HS194" s="36"/>
      <c r="HT194" s="36"/>
      <c r="HU194" s="36"/>
      <c r="HV194" s="36"/>
      <c r="HW194" s="36"/>
      <c r="HX194" s="36"/>
      <c r="HY194" s="36"/>
      <c r="HZ194" s="36"/>
      <c r="IA194" s="36"/>
      <c r="IB194" s="36"/>
      <c r="IC194" s="36"/>
      <c r="ID194" s="36"/>
      <c r="IE194" s="36"/>
      <c r="IF194" s="36"/>
      <c r="IG194" s="36"/>
      <c r="IH194" s="36"/>
      <c r="II194" s="36"/>
      <c r="IJ194" s="36"/>
      <c r="IK194" s="36"/>
      <c r="IL194" s="36"/>
      <c r="IM194" s="36"/>
      <c r="IN194" s="36"/>
      <c r="IO194" s="36"/>
      <c r="IP194" s="36"/>
      <c r="IQ194" s="36"/>
      <c r="IR194" s="36"/>
      <c r="IS194" s="36"/>
      <c r="IT194" s="36"/>
      <c r="IU194" s="36"/>
      <c r="IV194" s="36"/>
      <c r="IW194" s="36"/>
      <c r="IX194" s="36"/>
      <c r="IY194" s="36"/>
      <c r="IZ194" s="36"/>
      <c r="JA194" s="36"/>
      <c r="JB194" s="36"/>
    </row>
    <row r="195" spans="1:262" s="11" customFormat="1" ht="12.6" customHeight="1">
      <c r="A195" s="328">
        <v>3431</v>
      </c>
      <c r="B195" s="10" t="s">
        <v>82</v>
      </c>
      <c r="C195" s="60">
        <f t="shared" si="202"/>
        <v>15600</v>
      </c>
      <c r="D195" s="380">
        <f>'Unos rashoda i izdataka'!L39</f>
        <v>15000</v>
      </c>
      <c r="E195" s="380"/>
      <c r="F195" s="380"/>
      <c r="G195" s="380"/>
      <c r="H195" s="380">
        <f>'Unos rashoda i izdataka'!L90</f>
        <v>100</v>
      </c>
      <c r="I195" s="380"/>
      <c r="J195" s="380"/>
      <c r="K195" s="380"/>
      <c r="L195" s="380"/>
      <c r="M195" s="380"/>
      <c r="N195" s="380">
        <f>'Unos rashoda P4'!J21</f>
        <v>500</v>
      </c>
      <c r="O195" s="380"/>
      <c r="P195" s="380"/>
      <c r="Q195" s="380"/>
      <c r="R195" s="380"/>
      <c r="S195" s="380"/>
      <c r="T195" s="380"/>
      <c r="U195" s="380"/>
      <c r="V195" s="380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6"/>
      <c r="GL195" s="36"/>
      <c r="GM195" s="36"/>
      <c r="GN195" s="36"/>
      <c r="GO195" s="36"/>
      <c r="GP195" s="36"/>
      <c r="GQ195" s="36"/>
      <c r="GR195" s="36"/>
      <c r="GS195" s="36"/>
      <c r="GT195" s="36"/>
      <c r="GU195" s="36"/>
      <c r="GV195" s="36"/>
      <c r="GW195" s="36"/>
      <c r="GX195" s="36"/>
      <c r="GY195" s="36"/>
      <c r="GZ195" s="36"/>
      <c r="HA195" s="36"/>
      <c r="HB195" s="36"/>
      <c r="HC195" s="36"/>
      <c r="HD195" s="36"/>
      <c r="HE195" s="36"/>
      <c r="HF195" s="36"/>
      <c r="HG195" s="36"/>
      <c r="HH195" s="36"/>
      <c r="HI195" s="36"/>
      <c r="HJ195" s="36"/>
      <c r="HK195" s="36"/>
      <c r="HL195" s="36"/>
      <c r="HM195" s="36"/>
      <c r="HN195" s="36"/>
      <c r="HO195" s="36"/>
      <c r="HP195" s="36"/>
      <c r="HQ195" s="36"/>
      <c r="HR195" s="36"/>
      <c r="HS195" s="36"/>
      <c r="HT195" s="36"/>
      <c r="HU195" s="36"/>
      <c r="HV195" s="36"/>
      <c r="HW195" s="36"/>
      <c r="HX195" s="36"/>
      <c r="HY195" s="36"/>
      <c r="HZ195" s="36"/>
      <c r="IA195" s="36"/>
      <c r="IB195" s="36"/>
      <c r="IC195" s="36"/>
      <c r="ID195" s="36"/>
      <c r="IE195" s="36"/>
      <c r="IF195" s="36"/>
      <c r="IG195" s="36"/>
      <c r="IH195" s="36"/>
      <c r="II195" s="36"/>
      <c r="IJ195" s="36"/>
      <c r="IK195" s="36"/>
      <c r="IL195" s="36"/>
      <c r="IM195" s="36"/>
      <c r="IN195" s="36"/>
      <c r="IO195" s="36"/>
      <c r="IP195" s="36"/>
      <c r="IQ195" s="36"/>
      <c r="IR195" s="36"/>
      <c r="IS195" s="36"/>
      <c r="IT195" s="36"/>
      <c r="IU195" s="36"/>
      <c r="IV195" s="36"/>
      <c r="IW195" s="36"/>
      <c r="IX195" s="36"/>
      <c r="IY195" s="36"/>
      <c r="IZ195" s="36"/>
      <c r="JA195" s="36"/>
      <c r="JB195" s="36"/>
    </row>
    <row r="196" spans="1:262" s="11" customFormat="1" ht="12.6" customHeight="1">
      <c r="A196" s="328">
        <v>3432</v>
      </c>
      <c r="B196" s="10" t="s">
        <v>5289</v>
      </c>
      <c r="C196" s="60">
        <f t="shared" si="202"/>
        <v>109</v>
      </c>
      <c r="D196" s="380">
        <f>'Unos rashoda i izdataka'!L40</f>
        <v>109</v>
      </c>
      <c r="E196" s="380"/>
      <c r="F196" s="380"/>
      <c r="G196" s="380"/>
      <c r="H196" s="380">
        <f>'Unos rashoda i izdataka'!L91</f>
        <v>0</v>
      </c>
      <c r="I196" s="380"/>
      <c r="J196" s="380"/>
      <c r="K196" s="380"/>
      <c r="L196" s="380"/>
      <c r="M196" s="380"/>
      <c r="N196" s="380"/>
      <c r="O196" s="380"/>
      <c r="P196" s="380"/>
      <c r="Q196" s="380"/>
      <c r="R196" s="380"/>
      <c r="S196" s="380"/>
      <c r="T196" s="380"/>
      <c r="U196" s="380"/>
      <c r="V196" s="380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6"/>
      <c r="GL196" s="36"/>
      <c r="GM196" s="36"/>
      <c r="GN196" s="36"/>
      <c r="GO196" s="36"/>
      <c r="GP196" s="36"/>
      <c r="GQ196" s="36"/>
      <c r="GR196" s="36"/>
      <c r="GS196" s="36"/>
      <c r="GT196" s="36"/>
      <c r="GU196" s="36"/>
      <c r="GV196" s="36"/>
      <c r="GW196" s="36"/>
      <c r="GX196" s="36"/>
      <c r="GY196" s="36"/>
      <c r="GZ196" s="36"/>
      <c r="HA196" s="36"/>
      <c r="HB196" s="36"/>
      <c r="HC196" s="36"/>
      <c r="HD196" s="36"/>
      <c r="HE196" s="36"/>
      <c r="HF196" s="36"/>
      <c r="HG196" s="36"/>
      <c r="HH196" s="36"/>
      <c r="HI196" s="36"/>
      <c r="HJ196" s="36"/>
      <c r="HK196" s="36"/>
      <c r="HL196" s="36"/>
      <c r="HM196" s="36"/>
      <c r="HN196" s="36"/>
      <c r="HO196" s="36"/>
      <c r="HP196" s="36"/>
      <c r="HQ196" s="36"/>
      <c r="HR196" s="36"/>
      <c r="HS196" s="36"/>
      <c r="HT196" s="36"/>
      <c r="HU196" s="36"/>
      <c r="HV196" s="36"/>
      <c r="HW196" s="36"/>
      <c r="HX196" s="36"/>
      <c r="HY196" s="36"/>
      <c r="HZ196" s="36"/>
      <c r="IA196" s="36"/>
      <c r="IB196" s="36"/>
      <c r="IC196" s="36"/>
      <c r="ID196" s="36"/>
      <c r="IE196" s="36"/>
      <c r="IF196" s="36"/>
      <c r="IG196" s="36"/>
      <c r="IH196" s="36"/>
      <c r="II196" s="36"/>
      <c r="IJ196" s="36"/>
      <c r="IK196" s="36"/>
      <c r="IL196" s="36"/>
      <c r="IM196" s="36"/>
      <c r="IN196" s="36"/>
      <c r="IO196" s="36"/>
      <c r="IP196" s="36"/>
      <c r="IQ196" s="36"/>
      <c r="IR196" s="36"/>
      <c r="IS196" s="36"/>
      <c r="IT196" s="36"/>
      <c r="IU196" s="36"/>
      <c r="IV196" s="36"/>
      <c r="IW196" s="36"/>
      <c r="IX196" s="36"/>
      <c r="IY196" s="36"/>
      <c r="IZ196" s="36"/>
      <c r="JA196" s="36"/>
      <c r="JB196" s="36"/>
    </row>
    <row r="197" spans="1:262" s="11" customFormat="1" ht="12.6" customHeight="1">
      <c r="A197" s="328">
        <v>3433</v>
      </c>
      <c r="B197" s="10" t="s">
        <v>136</v>
      </c>
      <c r="C197" s="60">
        <f t="shared" si="202"/>
        <v>20000</v>
      </c>
      <c r="D197" s="380">
        <f>'Unos rashoda i izdataka'!L41</f>
        <v>20000</v>
      </c>
      <c r="E197" s="380"/>
      <c r="F197" s="380"/>
      <c r="G197" s="380"/>
      <c r="H197" s="380"/>
      <c r="I197" s="380"/>
      <c r="J197" s="380"/>
      <c r="K197" s="380"/>
      <c r="L197" s="380"/>
      <c r="M197" s="380"/>
      <c r="N197" s="380"/>
      <c r="O197" s="380"/>
      <c r="P197" s="380"/>
      <c r="Q197" s="380"/>
      <c r="R197" s="380"/>
      <c r="S197" s="380"/>
      <c r="T197" s="380"/>
      <c r="U197" s="380"/>
      <c r="V197" s="380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6"/>
      <c r="GL197" s="36"/>
      <c r="GM197" s="36"/>
      <c r="GN197" s="36"/>
      <c r="GO197" s="36"/>
      <c r="GP197" s="36"/>
      <c r="GQ197" s="36"/>
      <c r="GR197" s="36"/>
      <c r="GS197" s="36"/>
      <c r="GT197" s="36"/>
      <c r="GU197" s="36"/>
      <c r="GV197" s="36"/>
      <c r="GW197" s="36"/>
      <c r="GX197" s="36"/>
      <c r="GY197" s="36"/>
      <c r="GZ197" s="36"/>
      <c r="HA197" s="36"/>
      <c r="HB197" s="36"/>
      <c r="HC197" s="36"/>
      <c r="HD197" s="36"/>
      <c r="HE197" s="36"/>
      <c r="HF197" s="36"/>
      <c r="HG197" s="36"/>
      <c r="HH197" s="36"/>
      <c r="HI197" s="36"/>
      <c r="HJ197" s="36"/>
      <c r="HK197" s="36"/>
      <c r="HL197" s="36"/>
      <c r="HM197" s="36"/>
      <c r="HN197" s="36"/>
      <c r="HO197" s="36"/>
      <c r="HP197" s="36"/>
      <c r="HQ197" s="36"/>
      <c r="HR197" s="36"/>
      <c r="HS197" s="36"/>
      <c r="HT197" s="36"/>
      <c r="HU197" s="36"/>
      <c r="HV197" s="36"/>
      <c r="HW197" s="36"/>
      <c r="HX197" s="36"/>
      <c r="HY197" s="36"/>
      <c r="HZ197" s="36"/>
      <c r="IA197" s="36"/>
      <c r="IB197" s="36"/>
      <c r="IC197" s="36"/>
      <c r="ID197" s="36"/>
      <c r="IE197" s="36"/>
      <c r="IF197" s="36"/>
      <c r="IG197" s="36"/>
      <c r="IH197" s="36"/>
      <c r="II197" s="36"/>
      <c r="IJ197" s="36"/>
      <c r="IK197" s="36"/>
      <c r="IL197" s="36"/>
      <c r="IM197" s="36"/>
      <c r="IN197" s="36"/>
      <c r="IO197" s="36"/>
      <c r="IP197" s="36"/>
      <c r="IQ197" s="36"/>
      <c r="IR197" s="36"/>
      <c r="IS197" s="36"/>
      <c r="IT197" s="36"/>
      <c r="IU197" s="36"/>
      <c r="IV197" s="36"/>
      <c r="IW197" s="36"/>
      <c r="IX197" s="36"/>
      <c r="IY197" s="36"/>
      <c r="IZ197" s="36"/>
      <c r="JA197" s="36"/>
      <c r="JB197" s="36"/>
    </row>
    <row r="198" spans="1:262" s="11" customFormat="1" ht="12.6" customHeight="1">
      <c r="A198" s="328">
        <v>3434</v>
      </c>
      <c r="B198" s="10" t="s">
        <v>67</v>
      </c>
      <c r="C198" s="60">
        <f t="shared" si="202"/>
        <v>21</v>
      </c>
      <c r="D198" s="380">
        <f>'Unos rashoda i izdataka'!L42</f>
        <v>21</v>
      </c>
      <c r="E198" s="380"/>
      <c r="F198" s="380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6"/>
      <c r="GL198" s="36"/>
      <c r="GM198" s="36"/>
      <c r="GN198" s="36"/>
      <c r="GO198" s="36"/>
      <c r="GP198" s="36"/>
      <c r="GQ198" s="36"/>
      <c r="GR198" s="36"/>
      <c r="GS198" s="36"/>
      <c r="GT198" s="36"/>
      <c r="GU198" s="36"/>
      <c r="GV198" s="36"/>
      <c r="GW198" s="36"/>
      <c r="GX198" s="36"/>
      <c r="GY198" s="36"/>
      <c r="GZ198" s="36"/>
      <c r="HA198" s="36"/>
      <c r="HB198" s="36"/>
      <c r="HC198" s="36"/>
      <c r="HD198" s="36"/>
      <c r="HE198" s="36"/>
      <c r="HF198" s="36"/>
      <c r="HG198" s="36"/>
      <c r="HH198" s="36"/>
      <c r="HI198" s="36"/>
      <c r="HJ198" s="36"/>
      <c r="HK198" s="36"/>
      <c r="HL198" s="36"/>
      <c r="HM198" s="36"/>
      <c r="HN198" s="36"/>
      <c r="HO198" s="36"/>
      <c r="HP198" s="36"/>
      <c r="HQ198" s="36"/>
      <c r="HR198" s="36"/>
      <c r="HS198" s="36"/>
      <c r="HT198" s="36"/>
      <c r="HU198" s="36"/>
      <c r="HV198" s="36"/>
      <c r="HW198" s="36"/>
      <c r="HX198" s="36"/>
      <c r="HY198" s="36"/>
      <c r="HZ198" s="36"/>
      <c r="IA198" s="36"/>
      <c r="IB198" s="36"/>
      <c r="IC198" s="36"/>
      <c r="ID198" s="36"/>
      <c r="IE198" s="36"/>
      <c r="IF198" s="36"/>
      <c r="IG198" s="36"/>
      <c r="IH198" s="36"/>
      <c r="II198" s="36"/>
      <c r="IJ198" s="36"/>
      <c r="IK198" s="36"/>
      <c r="IL198" s="36"/>
      <c r="IM198" s="36"/>
      <c r="IN198" s="36"/>
      <c r="IO198" s="36"/>
      <c r="IP198" s="36"/>
      <c r="IQ198" s="36"/>
      <c r="IR198" s="36"/>
      <c r="IS198" s="36"/>
      <c r="IT198" s="36"/>
      <c r="IU198" s="36"/>
      <c r="IV198" s="36"/>
      <c r="IW198" s="36"/>
      <c r="IX198" s="36"/>
      <c r="IY198" s="36"/>
      <c r="IZ198" s="36"/>
      <c r="JA198" s="36"/>
      <c r="JB198" s="36"/>
    </row>
    <row r="199" spans="1:262" s="35" customFormat="1" ht="12.6" customHeight="1">
      <c r="A199" s="328">
        <v>35</v>
      </c>
      <c r="B199" s="10" t="s">
        <v>252</v>
      </c>
      <c r="C199" s="60">
        <f t="shared" si="202"/>
        <v>40000</v>
      </c>
      <c r="D199" s="380">
        <f>D200</f>
        <v>0</v>
      </c>
      <c r="E199" s="380">
        <f t="shared" ref="E199:V199" si="301">E200</f>
        <v>0</v>
      </c>
      <c r="F199" s="380">
        <f t="shared" si="301"/>
        <v>0</v>
      </c>
      <c r="G199" s="380">
        <f t="shared" si="301"/>
        <v>0</v>
      </c>
      <c r="H199" s="380">
        <f t="shared" si="301"/>
        <v>0</v>
      </c>
      <c r="I199" s="380">
        <f t="shared" si="301"/>
        <v>0</v>
      </c>
      <c r="J199" s="380">
        <f t="shared" si="301"/>
        <v>0</v>
      </c>
      <c r="K199" s="380">
        <f t="shared" si="301"/>
        <v>0</v>
      </c>
      <c r="L199" s="380">
        <f t="shared" si="301"/>
        <v>0</v>
      </c>
      <c r="M199" s="380">
        <f t="shared" si="301"/>
        <v>0</v>
      </c>
      <c r="N199" s="380">
        <f t="shared" si="301"/>
        <v>40000</v>
      </c>
      <c r="O199" s="380">
        <f t="shared" si="301"/>
        <v>0</v>
      </c>
      <c r="P199" s="380">
        <f t="shared" si="301"/>
        <v>0</v>
      </c>
      <c r="Q199" s="380">
        <f t="shared" si="301"/>
        <v>0</v>
      </c>
      <c r="R199" s="380">
        <f t="shared" si="301"/>
        <v>0</v>
      </c>
      <c r="S199" s="380">
        <f t="shared" si="301"/>
        <v>0</v>
      </c>
      <c r="T199" s="380">
        <f t="shared" si="301"/>
        <v>0</v>
      </c>
      <c r="U199" s="380">
        <f t="shared" si="301"/>
        <v>0</v>
      </c>
      <c r="V199" s="380">
        <f t="shared" si="301"/>
        <v>0</v>
      </c>
      <c r="GK199" s="36"/>
      <c r="GL199" s="36"/>
      <c r="GM199" s="36"/>
      <c r="GN199" s="36"/>
      <c r="GO199" s="36"/>
      <c r="GP199" s="36"/>
      <c r="GQ199" s="36"/>
      <c r="GR199" s="36"/>
      <c r="GS199" s="36"/>
      <c r="GT199" s="36"/>
      <c r="GU199" s="36"/>
      <c r="GV199" s="36"/>
      <c r="GW199" s="36"/>
      <c r="GX199" s="36"/>
      <c r="GY199" s="36"/>
      <c r="GZ199" s="36"/>
      <c r="HA199" s="36"/>
      <c r="HB199" s="36"/>
      <c r="HC199" s="36"/>
      <c r="HD199" s="36"/>
      <c r="HE199" s="36"/>
      <c r="HF199" s="36"/>
      <c r="HG199" s="36"/>
      <c r="HH199" s="36"/>
      <c r="HI199" s="36"/>
      <c r="HJ199" s="36"/>
      <c r="HK199" s="36"/>
      <c r="HL199" s="36"/>
      <c r="HM199" s="36"/>
      <c r="HN199" s="36"/>
      <c r="HO199" s="36"/>
      <c r="HP199" s="36"/>
      <c r="HQ199" s="36"/>
      <c r="HR199" s="36"/>
      <c r="HS199" s="36"/>
      <c r="HT199" s="36"/>
      <c r="HU199" s="36"/>
      <c r="HV199" s="36"/>
      <c r="HW199" s="36"/>
      <c r="HX199" s="36"/>
      <c r="HY199" s="36"/>
      <c r="HZ199" s="36"/>
      <c r="IA199" s="36"/>
      <c r="IB199" s="36"/>
      <c r="IC199" s="36"/>
      <c r="ID199" s="36"/>
      <c r="IE199" s="36"/>
      <c r="IF199" s="36"/>
      <c r="IG199" s="36"/>
      <c r="IH199" s="36"/>
      <c r="II199" s="36"/>
      <c r="IJ199" s="36"/>
      <c r="IK199" s="36"/>
      <c r="IL199" s="36"/>
      <c r="IM199" s="36"/>
      <c r="IN199" s="36"/>
      <c r="IO199" s="36"/>
      <c r="IP199" s="36"/>
      <c r="IQ199" s="36"/>
      <c r="IR199" s="36"/>
      <c r="IS199" s="36"/>
      <c r="IT199" s="36"/>
      <c r="IU199" s="36"/>
      <c r="IV199" s="36"/>
      <c r="IW199" s="36"/>
      <c r="IX199" s="36"/>
      <c r="IY199" s="36"/>
      <c r="IZ199" s="36"/>
      <c r="JA199" s="36"/>
      <c r="JB199" s="36"/>
    </row>
    <row r="200" spans="1:262" s="35" customFormat="1" ht="12.6" customHeight="1">
      <c r="A200" s="328">
        <v>353</v>
      </c>
      <c r="B200" s="10" t="s">
        <v>5294</v>
      </c>
      <c r="C200" s="60">
        <f t="shared" ref="C200:C201" si="302">SUM(D200:V200)</f>
        <v>40000</v>
      </c>
      <c r="D200" s="380">
        <f>D201</f>
        <v>0</v>
      </c>
      <c r="E200" s="380">
        <f t="shared" ref="E200" si="303">E201</f>
        <v>0</v>
      </c>
      <c r="F200" s="380">
        <f t="shared" ref="F200" si="304">F201</f>
        <v>0</v>
      </c>
      <c r="G200" s="380">
        <f t="shared" ref="G200" si="305">G201</f>
        <v>0</v>
      </c>
      <c r="H200" s="380">
        <f t="shared" ref="H200" si="306">H201</f>
        <v>0</v>
      </c>
      <c r="I200" s="380">
        <f t="shared" ref="I200" si="307">I201</f>
        <v>0</v>
      </c>
      <c r="J200" s="380">
        <f t="shared" ref="J200" si="308">J201</f>
        <v>0</v>
      </c>
      <c r="K200" s="380">
        <f t="shared" ref="K200" si="309">K201</f>
        <v>0</v>
      </c>
      <c r="L200" s="380">
        <f t="shared" ref="L200" si="310">L201</f>
        <v>0</v>
      </c>
      <c r="M200" s="380">
        <f t="shared" ref="M200" si="311">M201</f>
        <v>0</v>
      </c>
      <c r="N200" s="380">
        <f t="shared" ref="N200" si="312">N201</f>
        <v>40000</v>
      </c>
      <c r="O200" s="380">
        <f t="shared" ref="O200" si="313">O201</f>
        <v>0</v>
      </c>
      <c r="P200" s="380">
        <f t="shared" ref="P200" si="314">P201</f>
        <v>0</v>
      </c>
      <c r="Q200" s="380">
        <f t="shared" ref="Q200" si="315">Q201</f>
        <v>0</v>
      </c>
      <c r="R200" s="380">
        <f t="shared" ref="R200" si="316">R201</f>
        <v>0</v>
      </c>
      <c r="S200" s="380">
        <f t="shared" ref="S200" si="317">S201</f>
        <v>0</v>
      </c>
      <c r="T200" s="380">
        <f t="shared" ref="T200" si="318">T201</f>
        <v>0</v>
      </c>
      <c r="U200" s="380">
        <f t="shared" ref="U200" si="319">U201</f>
        <v>0</v>
      </c>
      <c r="V200" s="380">
        <f t="shared" ref="V200" si="320">V201</f>
        <v>0</v>
      </c>
      <c r="GK200" s="36"/>
      <c r="GL200" s="36"/>
      <c r="GM200" s="36"/>
      <c r="GN200" s="36"/>
      <c r="GO200" s="36"/>
      <c r="GP200" s="36"/>
      <c r="GQ200" s="36"/>
      <c r="GR200" s="36"/>
      <c r="GS200" s="36"/>
      <c r="GT200" s="36"/>
      <c r="GU200" s="36"/>
      <c r="GV200" s="36"/>
      <c r="GW200" s="36"/>
      <c r="GX200" s="36"/>
      <c r="GY200" s="36"/>
      <c r="GZ200" s="36"/>
      <c r="HA200" s="36"/>
      <c r="HB200" s="36"/>
      <c r="HC200" s="36"/>
      <c r="HD200" s="36"/>
      <c r="HE200" s="36"/>
      <c r="HF200" s="36"/>
      <c r="HG200" s="36"/>
      <c r="HH200" s="36"/>
      <c r="HI200" s="36"/>
      <c r="HJ200" s="36"/>
      <c r="HK200" s="36"/>
      <c r="HL200" s="36"/>
      <c r="HM200" s="36"/>
      <c r="HN200" s="36"/>
      <c r="HO200" s="36"/>
      <c r="HP200" s="36"/>
      <c r="HQ200" s="36"/>
      <c r="HR200" s="36"/>
      <c r="HS200" s="36"/>
      <c r="HT200" s="36"/>
      <c r="HU200" s="36"/>
      <c r="HV200" s="36"/>
      <c r="HW200" s="36"/>
      <c r="HX200" s="36"/>
      <c r="HY200" s="36"/>
      <c r="HZ200" s="36"/>
      <c r="IA200" s="36"/>
      <c r="IB200" s="36"/>
      <c r="IC200" s="36"/>
      <c r="ID200" s="36"/>
      <c r="IE200" s="36"/>
      <c r="IF200" s="36"/>
      <c r="IG200" s="36"/>
      <c r="IH200" s="36"/>
      <c r="II200" s="36"/>
      <c r="IJ200" s="36"/>
      <c r="IK200" s="36"/>
      <c r="IL200" s="36"/>
      <c r="IM200" s="36"/>
      <c r="IN200" s="36"/>
      <c r="IO200" s="36"/>
      <c r="IP200" s="36"/>
      <c r="IQ200" s="36"/>
      <c r="IR200" s="36"/>
      <c r="IS200" s="36"/>
      <c r="IT200" s="36"/>
      <c r="IU200" s="36"/>
      <c r="IV200" s="36"/>
      <c r="IW200" s="36"/>
      <c r="IX200" s="36"/>
      <c r="IY200" s="36"/>
      <c r="IZ200" s="36"/>
      <c r="JA200" s="36"/>
      <c r="JB200" s="36"/>
    </row>
    <row r="201" spans="1:262" s="35" customFormat="1" ht="12.6" customHeight="1">
      <c r="A201" s="328">
        <v>3531</v>
      </c>
      <c r="B201" s="10" t="s">
        <v>5294</v>
      </c>
      <c r="C201" s="60">
        <f t="shared" si="302"/>
        <v>40000</v>
      </c>
      <c r="D201" s="380"/>
      <c r="E201" s="381"/>
      <c r="F201" s="381"/>
      <c r="G201" s="381"/>
      <c r="H201" s="381"/>
      <c r="I201" s="381"/>
      <c r="J201" s="381"/>
      <c r="K201" s="381"/>
      <c r="L201" s="381"/>
      <c r="M201" s="381"/>
      <c r="N201" s="380">
        <f>'Unos rashoda P4'!J11+'Unos rashoda P4'!J23</f>
        <v>40000</v>
      </c>
      <c r="O201" s="381"/>
      <c r="P201" s="381"/>
      <c r="Q201" s="381"/>
      <c r="R201" s="381"/>
      <c r="S201" s="381"/>
      <c r="T201" s="381"/>
      <c r="U201" s="381"/>
      <c r="V201" s="381"/>
      <c r="GK201" s="36"/>
      <c r="GL201" s="36"/>
      <c r="GM201" s="36"/>
      <c r="GN201" s="36"/>
      <c r="GO201" s="36"/>
      <c r="GP201" s="36"/>
      <c r="GQ201" s="36"/>
      <c r="GR201" s="36"/>
      <c r="GS201" s="36"/>
      <c r="GT201" s="36"/>
      <c r="GU201" s="36"/>
      <c r="GV201" s="36"/>
      <c r="GW201" s="36"/>
      <c r="GX201" s="36"/>
      <c r="GY201" s="36"/>
      <c r="GZ201" s="36"/>
      <c r="HA201" s="36"/>
      <c r="HB201" s="36"/>
      <c r="HC201" s="36"/>
      <c r="HD201" s="36"/>
      <c r="HE201" s="36"/>
      <c r="HF201" s="36"/>
      <c r="HG201" s="36"/>
      <c r="HH201" s="36"/>
      <c r="HI201" s="36"/>
      <c r="HJ201" s="36"/>
      <c r="HK201" s="36"/>
      <c r="HL201" s="36"/>
      <c r="HM201" s="36"/>
      <c r="HN201" s="36"/>
      <c r="HO201" s="36"/>
      <c r="HP201" s="36"/>
      <c r="HQ201" s="36"/>
      <c r="HR201" s="36"/>
      <c r="HS201" s="36"/>
      <c r="HT201" s="36"/>
      <c r="HU201" s="36"/>
      <c r="HV201" s="36"/>
      <c r="HW201" s="36"/>
      <c r="HX201" s="36"/>
      <c r="HY201" s="36"/>
      <c r="HZ201" s="36"/>
      <c r="IA201" s="36"/>
      <c r="IB201" s="36"/>
      <c r="IC201" s="36"/>
      <c r="ID201" s="36"/>
      <c r="IE201" s="36"/>
      <c r="IF201" s="36"/>
      <c r="IG201" s="36"/>
      <c r="IH201" s="36"/>
      <c r="II201" s="36"/>
      <c r="IJ201" s="36"/>
      <c r="IK201" s="36"/>
      <c r="IL201" s="36"/>
      <c r="IM201" s="36"/>
      <c r="IN201" s="36"/>
      <c r="IO201" s="36"/>
      <c r="IP201" s="36"/>
      <c r="IQ201" s="36"/>
      <c r="IR201" s="36"/>
      <c r="IS201" s="36"/>
      <c r="IT201" s="36"/>
      <c r="IU201" s="36"/>
      <c r="IV201" s="36"/>
      <c r="IW201" s="36"/>
      <c r="IX201" s="36"/>
      <c r="IY201" s="36"/>
      <c r="IZ201" s="36"/>
      <c r="JA201" s="36"/>
      <c r="JB201" s="36"/>
    </row>
    <row r="202" spans="1:262" s="35" customFormat="1" ht="12.6" customHeight="1">
      <c r="A202" s="328">
        <v>36</v>
      </c>
      <c r="B202" s="12" t="s">
        <v>201</v>
      </c>
      <c r="C202" s="60">
        <f t="shared" si="202"/>
        <v>1069115</v>
      </c>
      <c r="D202" s="380">
        <f>D205+D203</f>
        <v>0</v>
      </c>
      <c r="E202" s="380">
        <f t="shared" ref="E202:V202" si="321">E205+E203</f>
        <v>0</v>
      </c>
      <c r="F202" s="380">
        <f t="shared" si="321"/>
        <v>0</v>
      </c>
      <c r="G202" s="380">
        <f t="shared" si="321"/>
        <v>0</v>
      </c>
      <c r="H202" s="380">
        <f t="shared" si="321"/>
        <v>0</v>
      </c>
      <c r="I202" s="380">
        <f t="shared" si="321"/>
        <v>0</v>
      </c>
      <c r="J202" s="380">
        <f t="shared" si="321"/>
        <v>662830</v>
      </c>
      <c r="K202" s="380">
        <f t="shared" si="321"/>
        <v>0</v>
      </c>
      <c r="L202" s="380">
        <f t="shared" si="321"/>
        <v>0</v>
      </c>
      <c r="M202" s="380">
        <f t="shared" si="321"/>
        <v>0</v>
      </c>
      <c r="N202" s="380">
        <f t="shared" si="321"/>
        <v>406285</v>
      </c>
      <c r="O202" s="380">
        <f t="shared" si="321"/>
        <v>0</v>
      </c>
      <c r="P202" s="380">
        <f t="shared" si="321"/>
        <v>0</v>
      </c>
      <c r="Q202" s="380">
        <f t="shared" si="321"/>
        <v>0</v>
      </c>
      <c r="R202" s="380">
        <f t="shared" si="321"/>
        <v>0</v>
      </c>
      <c r="S202" s="380">
        <f t="shared" si="321"/>
        <v>0</v>
      </c>
      <c r="T202" s="380">
        <f t="shared" si="321"/>
        <v>0</v>
      </c>
      <c r="U202" s="380">
        <f t="shared" si="321"/>
        <v>0</v>
      </c>
      <c r="V202" s="380">
        <f t="shared" si="321"/>
        <v>0</v>
      </c>
      <c r="GK202" s="36"/>
      <c r="GL202" s="36"/>
      <c r="GM202" s="36"/>
      <c r="GN202" s="36"/>
      <c r="GO202" s="36"/>
      <c r="GP202" s="36"/>
      <c r="GQ202" s="36"/>
      <c r="GR202" s="36"/>
      <c r="GS202" s="36"/>
      <c r="GT202" s="36"/>
      <c r="GU202" s="36"/>
      <c r="GV202" s="36"/>
      <c r="GW202" s="36"/>
      <c r="GX202" s="36"/>
      <c r="GY202" s="36"/>
      <c r="GZ202" s="36"/>
      <c r="HA202" s="36"/>
      <c r="HB202" s="36"/>
      <c r="HC202" s="36"/>
      <c r="HD202" s="36"/>
      <c r="HE202" s="36"/>
      <c r="HF202" s="36"/>
      <c r="HG202" s="36"/>
      <c r="HH202" s="36"/>
      <c r="HI202" s="36"/>
      <c r="HJ202" s="36"/>
      <c r="HK202" s="36"/>
      <c r="HL202" s="36"/>
      <c r="HM202" s="36"/>
      <c r="HN202" s="36"/>
      <c r="HO202" s="36"/>
      <c r="HP202" s="36"/>
      <c r="HQ202" s="36"/>
      <c r="HR202" s="36"/>
      <c r="HS202" s="36"/>
      <c r="HT202" s="36"/>
      <c r="HU202" s="36"/>
      <c r="HV202" s="36"/>
      <c r="HW202" s="36"/>
      <c r="HX202" s="36"/>
      <c r="HY202" s="36"/>
      <c r="HZ202" s="36"/>
      <c r="IA202" s="36"/>
      <c r="IB202" s="36"/>
      <c r="IC202" s="36"/>
      <c r="ID202" s="36"/>
      <c r="IE202" s="36"/>
      <c r="IF202" s="36"/>
      <c r="IG202" s="36"/>
      <c r="IH202" s="36"/>
      <c r="II202" s="36"/>
      <c r="IJ202" s="36"/>
      <c r="IK202" s="36"/>
      <c r="IL202" s="36"/>
      <c r="IM202" s="36"/>
      <c r="IN202" s="36"/>
      <c r="IO202" s="36"/>
      <c r="IP202" s="36"/>
      <c r="IQ202" s="36"/>
      <c r="IR202" s="36"/>
      <c r="IS202" s="36"/>
      <c r="IT202" s="36"/>
      <c r="IU202" s="36"/>
      <c r="IV202" s="36"/>
      <c r="IW202" s="36"/>
      <c r="IX202" s="36"/>
      <c r="IY202" s="36"/>
      <c r="IZ202" s="36"/>
      <c r="JA202" s="36"/>
      <c r="JB202" s="36"/>
    </row>
    <row r="203" spans="1:262" s="35" customFormat="1" ht="12.6" customHeight="1">
      <c r="A203" s="328">
        <v>368</v>
      </c>
      <c r="B203" s="12" t="s">
        <v>5295</v>
      </c>
      <c r="C203" s="60"/>
      <c r="D203" s="380">
        <f>D204</f>
        <v>0</v>
      </c>
      <c r="E203" s="380">
        <f t="shared" ref="E203" si="322">E204</f>
        <v>0</v>
      </c>
      <c r="F203" s="380">
        <f t="shared" ref="F203" si="323">F204</f>
        <v>0</v>
      </c>
      <c r="G203" s="380">
        <f t="shared" ref="G203" si="324">G204</f>
        <v>0</v>
      </c>
      <c r="H203" s="380">
        <f t="shared" ref="H203" si="325">H204</f>
        <v>0</v>
      </c>
      <c r="I203" s="380">
        <f t="shared" ref="I203" si="326">I204</f>
        <v>0</v>
      </c>
      <c r="J203" s="380">
        <f t="shared" ref="J203" si="327">J204</f>
        <v>0</v>
      </c>
      <c r="K203" s="380">
        <f t="shared" ref="K203" si="328">K204</f>
        <v>0</v>
      </c>
      <c r="L203" s="380">
        <f t="shared" ref="L203" si="329">L204</f>
        <v>0</v>
      </c>
      <c r="M203" s="380">
        <f t="shared" ref="M203" si="330">M204</f>
        <v>0</v>
      </c>
      <c r="N203" s="380">
        <f t="shared" ref="N203" si="331">N204</f>
        <v>52000</v>
      </c>
      <c r="O203" s="380">
        <f t="shared" ref="O203" si="332">O204</f>
        <v>0</v>
      </c>
      <c r="P203" s="380">
        <f t="shared" ref="P203" si="333">P204</f>
        <v>0</v>
      </c>
      <c r="Q203" s="380">
        <f t="shared" ref="Q203" si="334">Q204</f>
        <v>0</v>
      </c>
      <c r="R203" s="380">
        <f t="shared" ref="R203" si="335">R204</f>
        <v>0</v>
      </c>
      <c r="S203" s="380">
        <f t="shared" ref="S203" si="336">S204</f>
        <v>0</v>
      </c>
      <c r="T203" s="380">
        <f t="shared" ref="T203" si="337">T204</f>
        <v>0</v>
      </c>
      <c r="U203" s="380">
        <f t="shared" ref="U203" si="338">U204</f>
        <v>0</v>
      </c>
      <c r="V203" s="380">
        <f t="shared" ref="V203" si="339">V204</f>
        <v>0</v>
      </c>
      <c r="GK203" s="36"/>
      <c r="GL203" s="36"/>
      <c r="GM203" s="36"/>
      <c r="GN203" s="36"/>
      <c r="GO203" s="36"/>
      <c r="GP203" s="36"/>
      <c r="GQ203" s="36"/>
      <c r="GR203" s="36"/>
      <c r="GS203" s="36"/>
      <c r="GT203" s="36"/>
      <c r="GU203" s="36"/>
      <c r="GV203" s="36"/>
      <c r="GW203" s="36"/>
      <c r="GX203" s="36"/>
      <c r="GY203" s="36"/>
      <c r="GZ203" s="36"/>
      <c r="HA203" s="36"/>
      <c r="HB203" s="36"/>
      <c r="HC203" s="36"/>
      <c r="HD203" s="36"/>
      <c r="HE203" s="36"/>
      <c r="HF203" s="36"/>
      <c r="HG203" s="36"/>
      <c r="HH203" s="36"/>
      <c r="HI203" s="36"/>
      <c r="HJ203" s="36"/>
      <c r="HK203" s="36"/>
      <c r="HL203" s="36"/>
      <c r="HM203" s="36"/>
      <c r="HN203" s="36"/>
      <c r="HO203" s="36"/>
      <c r="HP203" s="36"/>
      <c r="HQ203" s="36"/>
      <c r="HR203" s="36"/>
      <c r="HS203" s="36"/>
      <c r="HT203" s="36"/>
      <c r="HU203" s="36"/>
      <c r="HV203" s="36"/>
      <c r="HW203" s="36"/>
      <c r="HX203" s="36"/>
      <c r="HY203" s="36"/>
      <c r="HZ203" s="36"/>
      <c r="IA203" s="36"/>
      <c r="IB203" s="36"/>
      <c r="IC203" s="36"/>
      <c r="ID203" s="36"/>
      <c r="IE203" s="36"/>
      <c r="IF203" s="36"/>
      <c r="IG203" s="36"/>
      <c r="IH203" s="36"/>
      <c r="II203" s="36"/>
      <c r="IJ203" s="36"/>
      <c r="IK203" s="36"/>
      <c r="IL203" s="36"/>
      <c r="IM203" s="36"/>
      <c r="IN203" s="36"/>
      <c r="IO203" s="36"/>
      <c r="IP203" s="36"/>
      <c r="IQ203" s="36"/>
      <c r="IR203" s="36"/>
      <c r="IS203" s="36"/>
      <c r="IT203" s="36"/>
      <c r="IU203" s="36"/>
      <c r="IV203" s="36"/>
      <c r="IW203" s="36"/>
      <c r="IX203" s="36"/>
      <c r="IY203" s="36"/>
      <c r="IZ203" s="36"/>
      <c r="JA203" s="36"/>
      <c r="JB203" s="36"/>
    </row>
    <row r="204" spans="1:262" s="35" customFormat="1" ht="12.6" customHeight="1">
      <c r="A204" s="328">
        <v>3681</v>
      </c>
      <c r="B204" s="12" t="s">
        <v>26</v>
      </c>
      <c r="C204" s="60"/>
      <c r="D204" s="380"/>
      <c r="E204" s="380"/>
      <c r="F204" s="380"/>
      <c r="G204" s="380"/>
      <c r="H204" s="380"/>
      <c r="I204" s="380"/>
      <c r="J204" s="380"/>
      <c r="K204" s="380"/>
      <c r="L204" s="380"/>
      <c r="M204" s="380"/>
      <c r="N204" s="380">
        <f>'Unos rashoda P4'!J12</f>
        <v>52000</v>
      </c>
      <c r="O204" s="380"/>
      <c r="P204" s="380"/>
      <c r="Q204" s="380"/>
      <c r="R204" s="380"/>
      <c r="S204" s="380"/>
      <c r="T204" s="380"/>
      <c r="U204" s="380"/>
      <c r="V204" s="380"/>
      <c r="GK204" s="36"/>
      <c r="GL204" s="36"/>
      <c r="GM204" s="36"/>
      <c r="GN204" s="36"/>
      <c r="GO204" s="36"/>
      <c r="GP204" s="36"/>
      <c r="GQ204" s="36"/>
      <c r="GR204" s="36"/>
      <c r="GS204" s="36"/>
      <c r="GT204" s="36"/>
      <c r="GU204" s="36"/>
      <c r="GV204" s="36"/>
      <c r="GW204" s="36"/>
      <c r="GX204" s="36"/>
      <c r="GY204" s="36"/>
      <c r="GZ204" s="36"/>
      <c r="HA204" s="36"/>
      <c r="HB204" s="36"/>
      <c r="HC204" s="36"/>
      <c r="HD204" s="36"/>
      <c r="HE204" s="36"/>
      <c r="HF204" s="36"/>
      <c r="HG204" s="36"/>
      <c r="HH204" s="36"/>
      <c r="HI204" s="36"/>
      <c r="HJ204" s="36"/>
      <c r="HK204" s="36"/>
      <c r="HL204" s="36"/>
      <c r="HM204" s="36"/>
      <c r="HN204" s="36"/>
      <c r="HO204" s="36"/>
      <c r="HP204" s="36"/>
      <c r="HQ204" s="36"/>
      <c r="HR204" s="36"/>
      <c r="HS204" s="36"/>
      <c r="HT204" s="36"/>
      <c r="HU204" s="36"/>
      <c r="HV204" s="36"/>
      <c r="HW204" s="36"/>
      <c r="HX204" s="36"/>
      <c r="HY204" s="36"/>
      <c r="HZ204" s="36"/>
      <c r="IA204" s="36"/>
      <c r="IB204" s="36"/>
      <c r="IC204" s="36"/>
      <c r="ID204" s="36"/>
      <c r="IE204" s="36"/>
      <c r="IF204" s="36"/>
      <c r="IG204" s="36"/>
      <c r="IH204" s="36"/>
      <c r="II204" s="36"/>
      <c r="IJ204" s="36"/>
      <c r="IK204" s="36"/>
      <c r="IL204" s="36"/>
      <c r="IM204" s="36"/>
      <c r="IN204" s="36"/>
      <c r="IO204" s="36"/>
      <c r="IP204" s="36"/>
      <c r="IQ204" s="36"/>
      <c r="IR204" s="36"/>
      <c r="IS204" s="36"/>
      <c r="IT204" s="36"/>
      <c r="IU204" s="36"/>
      <c r="IV204" s="36"/>
      <c r="IW204" s="36"/>
      <c r="IX204" s="36"/>
      <c r="IY204" s="36"/>
      <c r="IZ204" s="36"/>
      <c r="JA204" s="36"/>
      <c r="JB204" s="36"/>
    </row>
    <row r="205" spans="1:262" s="35" customFormat="1" ht="12.6" customHeight="1">
      <c r="A205" s="328">
        <v>369</v>
      </c>
      <c r="B205" s="12" t="s">
        <v>5293</v>
      </c>
      <c r="C205" s="60">
        <f t="shared" ref="C205:C207" si="340">SUM(D205:V205)</f>
        <v>1017115</v>
      </c>
      <c r="D205" s="380">
        <f>D206+D207+D208</f>
        <v>0</v>
      </c>
      <c r="E205" s="380">
        <f t="shared" ref="E205:V205" si="341">E206+E207+E208</f>
        <v>0</v>
      </c>
      <c r="F205" s="380">
        <f t="shared" si="341"/>
        <v>0</v>
      </c>
      <c r="G205" s="380">
        <f t="shared" si="341"/>
        <v>0</v>
      </c>
      <c r="H205" s="380">
        <f t="shared" si="341"/>
        <v>0</v>
      </c>
      <c r="I205" s="380">
        <f t="shared" si="341"/>
        <v>0</v>
      </c>
      <c r="J205" s="380">
        <f t="shared" si="341"/>
        <v>662830</v>
      </c>
      <c r="K205" s="380">
        <f t="shared" si="341"/>
        <v>0</v>
      </c>
      <c r="L205" s="380">
        <f t="shared" si="341"/>
        <v>0</v>
      </c>
      <c r="M205" s="380">
        <f t="shared" si="341"/>
        <v>0</v>
      </c>
      <c r="N205" s="380">
        <f t="shared" si="341"/>
        <v>354285</v>
      </c>
      <c r="O205" s="380">
        <f t="shared" si="341"/>
        <v>0</v>
      </c>
      <c r="P205" s="380">
        <f t="shared" si="341"/>
        <v>0</v>
      </c>
      <c r="Q205" s="380">
        <f t="shared" si="341"/>
        <v>0</v>
      </c>
      <c r="R205" s="380">
        <f t="shared" si="341"/>
        <v>0</v>
      </c>
      <c r="S205" s="380">
        <f t="shared" si="341"/>
        <v>0</v>
      </c>
      <c r="T205" s="380">
        <f t="shared" si="341"/>
        <v>0</v>
      </c>
      <c r="U205" s="380">
        <f t="shared" si="341"/>
        <v>0</v>
      </c>
      <c r="V205" s="380">
        <f t="shared" si="341"/>
        <v>0</v>
      </c>
      <c r="GK205" s="36"/>
      <c r="GL205" s="36"/>
      <c r="GM205" s="36"/>
      <c r="GN205" s="36"/>
      <c r="GO205" s="36"/>
      <c r="GP205" s="36"/>
      <c r="GQ205" s="36"/>
      <c r="GR205" s="36"/>
      <c r="GS205" s="36"/>
      <c r="GT205" s="36"/>
      <c r="GU205" s="36"/>
      <c r="GV205" s="36"/>
      <c r="GW205" s="36"/>
      <c r="GX205" s="36"/>
      <c r="GY205" s="36"/>
      <c r="GZ205" s="36"/>
      <c r="HA205" s="36"/>
      <c r="HB205" s="36"/>
      <c r="HC205" s="36"/>
      <c r="HD205" s="36"/>
      <c r="HE205" s="36"/>
      <c r="HF205" s="36"/>
      <c r="HG205" s="36"/>
      <c r="HH205" s="36"/>
      <c r="HI205" s="36"/>
      <c r="HJ205" s="36"/>
      <c r="HK205" s="36"/>
      <c r="HL205" s="36"/>
      <c r="HM205" s="36"/>
      <c r="HN205" s="36"/>
      <c r="HO205" s="36"/>
      <c r="HP205" s="36"/>
      <c r="HQ205" s="36"/>
      <c r="HR205" s="36"/>
      <c r="HS205" s="36"/>
      <c r="HT205" s="36"/>
      <c r="HU205" s="36"/>
      <c r="HV205" s="36"/>
      <c r="HW205" s="36"/>
      <c r="HX205" s="36"/>
      <c r="HY205" s="36"/>
      <c r="HZ205" s="36"/>
      <c r="IA205" s="36"/>
      <c r="IB205" s="36"/>
      <c r="IC205" s="36"/>
      <c r="ID205" s="36"/>
      <c r="IE205" s="36"/>
      <c r="IF205" s="36"/>
      <c r="IG205" s="36"/>
      <c r="IH205" s="36"/>
      <c r="II205" s="36"/>
      <c r="IJ205" s="36"/>
      <c r="IK205" s="36"/>
      <c r="IL205" s="36"/>
      <c r="IM205" s="36"/>
      <c r="IN205" s="36"/>
      <c r="IO205" s="36"/>
      <c r="IP205" s="36"/>
      <c r="IQ205" s="36"/>
      <c r="IR205" s="36"/>
      <c r="IS205" s="36"/>
      <c r="IT205" s="36"/>
      <c r="IU205" s="36"/>
      <c r="IV205" s="36"/>
      <c r="IW205" s="36"/>
      <c r="IX205" s="36"/>
      <c r="IY205" s="36"/>
      <c r="IZ205" s="36"/>
      <c r="JA205" s="36"/>
      <c r="JB205" s="36"/>
    </row>
    <row r="206" spans="1:262" s="35" customFormat="1" ht="12.6" customHeight="1">
      <c r="A206" s="328">
        <v>3691</v>
      </c>
      <c r="B206" s="10" t="s">
        <v>28</v>
      </c>
      <c r="C206" s="60">
        <f t="shared" si="340"/>
        <v>18462</v>
      </c>
      <c r="D206" s="380"/>
      <c r="E206" s="381"/>
      <c r="F206" s="381"/>
      <c r="G206" s="381"/>
      <c r="H206" s="381"/>
      <c r="I206" s="381"/>
      <c r="J206" s="380">
        <f>'Unos rashoda i izdataka'!L114+'Unos rashoda i izdataka'!L115+'Unos rashoda i izdataka'!L116+'Unos rashoda i izdataka'!L117+'Unos rashoda i izdataka'!L118</f>
        <v>18462</v>
      </c>
      <c r="K206" s="381"/>
      <c r="L206" s="381"/>
      <c r="M206" s="381"/>
      <c r="N206" s="380"/>
      <c r="O206" s="381"/>
      <c r="P206" s="381"/>
      <c r="Q206" s="381"/>
      <c r="R206" s="381"/>
      <c r="S206" s="381"/>
      <c r="T206" s="381"/>
      <c r="U206" s="381"/>
      <c r="V206" s="381"/>
      <c r="GK206" s="36"/>
      <c r="GL206" s="36"/>
      <c r="GM206" s="36"/>
      <c r="GN206" s="36"/>
      <c r="GO206" s="36"/>
      <c r="GP206" s="36"/>
      <c r="GQ206" s="36"/>
      <c r="GR206" s="36"/>
      <c r="GS206" s="36"/>
      <c r="GT206" s="36"/>
      <c r="GU206" s="36"/>
      <c r="GV206" s="36"/>
      <c r="GW206" s="36"/>
      <c r="GX206" s="36"/>
      <c r="GY206" s="36"/>
      <c r="GZ206" s="36"/>
      <c r="HA206" s="36"/>
      <c r="HB206" s="36"/>
      <c r="HC206" s="36"/>
      <c r="HD206" s="36"/>
      <c r="HE206" s="36"/>
      <c r="HF206" s="36"/>
      <c r="HG206" s="36"/>
      <c r="HH206" s="36"/>
      <c r="HI206" s="36"/>
      <c r="HJ206" s="36"/>
      <c r="HK206" s="36"/>
      <c r="HL206" s="36"/>
      <c r="HM206" s="36"/>
      <c r="HN206" s="36"/>
      <c r="HO206" s="36"/>
      <c r="HP206" s="36"/>
      <c r="HQ206" s="36"/>
      <c r="HR206" s="36"/>
      <c r="HS206" s="36"/>
      <c r="HT206" s="36"/>
      <c r="HU206" s="36"/>
      <c r="HV206" s="36"/>
      <c r="HW206" s="36"/>
      <c r="HX206" s="36"/>
      <c r="HY206" s="36"/>
      <c r="HZ206" s="36"/>
      <c r="IA206" s="36"/>
      <c r="IB206" s="36"/>
      <c r="IC206" s="36"/>
      <c r="ID206" s="36"/>
      <c r="IE206" s="36"/>
      <c r="IF206" s="36"/>
      <c r="IG206" s="36"/>
      <c r="IH206" s="36"/>
      <c r="II206" s="36"/>
      <c r="IJ206" s="36"/>
      <c r="IK206" s="36"/>
      <c r="IL206" s="36"/>
      <c r="IM206" s="36"/>
      <c r="IN206" s="36"/>
      <c r="IO206" s="36"/>
      <c r="IP206" s="36"/>
      <c r="IQ206" s="36"/>
      <c r="IR206" s="36"/>
      <c r="IS206" s="36"/>
      <c r="IT206" s="36"/>
      <c r="IU206" s="36"/>
      <c r="IV206" s="36"/>
      <c r="IW206" s="36"/>
      <c r="IX206" s="36"/>
      <c r="IY206" s="36"/>
      <c r="IZ206" s="36"/>
      <c r="JA206" s="36"/>
      <c r="JB206" s="36"/>
    </row>
    <row r="207" spans="1:262" s="35" customFormat="1" ht="12.6" customHeight="1">
      <c r="A207" s="328">
        <v>3693</v>
      </c>
      <c r="B207" s="10" t="s">
        <v>30</v>
      </c>
      <c r="C207" s="60">
        <f t="shared" si="340"/>
        <v>943653</v>
      </c>
      <c r="D207" s="380"/>
      <c r="E207" s="381"/>
      <c r="F207" s="381"/>
      <c r="G207" s="381"/>
      <c r="H207" s="381"/>
      <c r="I207" s="381"/>
      <c r="J207" s="380">
        <f>'Unos rashoda P4'!J43</f>
        <v>644368</v>
      </c>
      <c r="K207" s="381"/>
      <c r="L207" s="381"/>
      <c r="M207" s="381"/>
      <c r="N207" s="380">
        <f>'Unos rashoda P4'!J9</f>
        <v>299285</v>
      </c>
      <c r="O207" s="381"/>
      <c r="P207" s="381"/>
      <c r="Q207" s="381"/>
      <c r="R207" s="381"/>
      <c r="S207" s="381"/>
      <c r="T207" s="381"/>
      <c r="U207" s="381"/>
      <c r="V207" s="381"/>
      <c r="GK207" s="36"/>
      <c r="GL207" s="36"/>
      <c r="GM207" s="36"/>
      <c r="GN207" s="36"/>
      <c r="GO207" s="36"/>
      <c r="GP207" s="36"/>
      <c r="GQ207" s="36"/>
      <c r="GR207" s="36"/>
      <c r="GS207" s="36"/>
      <c r="GT207" s="36"/>
      <c r="GU207" s="36"/>
      <c r="GV207" s="36"/>
      <c r="GW207" s="36"/>
      <c r="GX207" s="36"/>
      <c r="GY207" s="36"/>
      <c r="GZ207" s="36"/>
      <c r="HA207" s="36"/>
      <c r="HB207" s="36"/>
      <c r="HC207" s="36"/>
      <c r="HD207" s="36"/>
      <c r="HE207" s="36"/>
      <c r="HF207" s="36"/>
      <c r="HG207" s="36"/>
      <c r="HH207" s="36"/>
      <c r="HI207" s="36"/>
      <c r="HJ207" s="36"/>
      <c r="HK207" s="36"/>
      <c r="HL207" s="36"/>
      <c r="HM207" s="36"/>
      <c r="HN207" s="36"/>
      <c r="HO207" s="36"/>
      <c r="HP207" s="36"/>
      <c r="HQ207" s="36"/>
      <c r="HR207" s="36"/>
      <c r="HS207" s="36"/>
      <c r="HT207" s="36"/>
      <c r="HU207" s="36"/>
      <c r="HV207" s="36"/>
      <c r="HW207" s="36"/>
      <c r="HX207" s="36"/>
      <c r="HY207" s="36"/>
      <c r="HZ207" s="36"/>
      <c r="IA207" s="36"/>
      <c r="IB207" s="36"/>
      <c r="IC207" s="36"/>
      <c r="ID207" s="36"/>
      <c r="IE207" s="36"/>
      <c r="IF207" s="36"/>
      <c r="IG207" s="36"/>
      <c r="IH207" s="36"/>
      <c r="II207" s="36"/>
      <c r="IJ207" s="36"/>
      <c r="IK207" s="36"/>
      <c r="IL207" s="36"/>
      <c r="IM207" s="36"/>
      <c r="IN207" s="36"/>
      <c r="IO207" s="36"/>
      <c r="IP207" s="36"/>
      <c r="IQ207" s="36"/>
      <c r="IR207" s="36"/>
      <c r="IS207" s="36"/>
      <c r="IT207" s="36"/>
      <c r="IU207" s="36"/>
      <c r="IV207" s="36"/>
      <c r="IW207" s="36"/>
      <c r="IX207" s="36"/>
      <c r="IY207" s="36"/>
      <c r="IZ207" s="36"/>
      <c r="JA207" s="36"/>
      <c r="JB207" s="36"/>
    </row>
    <row r="208" spans="1:262" s="35" customFormat="1" ht="12.6" customHeight="1">
      <c r="A208" s="328">
        <v>3694</v>
      </c>
      <c r="B208" s="10" t="s">
        <v>31</v>
      </c>
      <c r="C208" s="60"/>
      <c r="D208" s="380"/>
      <c r="E208" s="381"/>
      <c r="F208" s="381"/>
      <c r="G208" s="381"/>
      <c r="H208" s="381"/>
      <c r="I208" s="381"/>
      <c r="J208" s="380"/>
      <c r="K208" s="381"/>
      <c r="L208" s="381"/>
      <c r="M208" s="381"/>
      <c r="N208" s="380">
        <f>'Unos rashoda P4'!J10</f>
        <v>55000</v>
      </c>
      <c r="O208" s="381"/>
      <c r="P208" s="381"/>
      <c r="Q208" s="381"/>
      <c r="R208" s="381"/>
      <c r="S208" s="381"/>
      <c r="T208" s="381"/>
      <c r="U208" s="381"/>
      <c r="V208" s="381"/>
      <c r="GK208" s="36"/>
      <c r="GL208" s="36"/>
      <c r="GM208" s="36"/>
      <c r="GN208" s="36"/>
      <c r="GO208" s="36"/>
      <c r="GP208" s="36"/>
      <c r="GQ208" s="36"/>
      <c r="GR208" s="36"/>
      <c r="GS208" s="36"/>
      <c r="GT208" s="36"/>
      <c r="GU208" s="36"/>
      <c r="GV208" s="36"/>
      <c r="GW208" s="36"/>
      <c r="GX208" s="36"/>
      <c r="GY208" s="36"/>
      <c r="GZ208" s="36"/>
      <c r="HA208" s="36"/>
      <c r="HB208" s="36"/>
      <c r="HC208" s="36"/>
      <c r="HD208" s="36"/>
      <c r="HE208" s="36"/>
      <c r="HF208" s="36"/>
      <c r="HG208" s="36"/>
      <c r="HH208" s="36"/>
      <c r="HI208" s="36"/>
      <c r="HJ208" s="36"/>
      <c r="HK208" s="36"/>
      <c r="HL208" s="36"/>
      <c r="HM208" s="36"/>
      <c r="HN208" s="36"/>
      <c r="HO208" s="36"/>
      <c r="HP208" s="36"/>
      <c r="HQ208" s="36"/>
      <c r="HR208" s="36"/>
      <c r="HS208" s="36"/>
      <c r="HT208" s="36"/>
      <c r="HU208" s="36"/>
      <c r="HV208" s="36"/>
      <c r="HW208" s="36"/>
      <c r="HX208" s="36"/>
      <c r="HY208" s="36"/>
      <c r="HZ208" s="36"/>
      <c r="IA208" s="36"/>
      <c r="IB208" s="36"/>
      <c r="IC208" s="36"/>
      <c r="ID208" s="36"/>
      <c r="IE208" s="36"/>
      <c r="IF208" s="36"/>
      <c r="IG208" s="36"/>
      <c r="IH208" s="36"/>
      <c r="II208" s="36"/>
      <c r="IJ208" s="36"/>
      <c r="IK208" s="36"/>
      <c r="IL208" s="36"/>
      <c r="IM208" s="36"/>
      <c r="IN208" s="36"/>
      <c r="IO208" s="36"/>
      <c r="IP208" s="36"/>
      <c r="IQ208" s="36"/>
      <c r="IR208" s="36"/>
      <c r="IS208" s="36"/>
      <c r="IT208" s="36"/>
      <c r="IU208" s="36"/>
      <c r="IV208" s="36"/>
      <c r="IW208" s="36"/>
      <c r="IX208" s="36"/>
      <c r="IY208" s="36"/>
      <c r="IZ208" s="36"/>
      <c r="JA208" s="36"/>
      <c r="JB208" s="36"/>
    </row>
    <row r="209" spans="1:262" s="13" customFormat="1" ht="12.6" customHeight="1">
      <c r="A209" s="328">
        <v>37</v>
      </c>
      <c r="B209" s="10" t="s">
        <v>253</v>
      </c>
      <c r="C209" s="60">
        <f t="shared" si="202"/>
        <v>748351</v>
      </c>
      <c r="D209" s="380">
        <f>D210</f>
        <v>112591</v>
      </c>
      <c r="E209" s="380">
        <f t="shared" ref="E209:V209" si="342">E210</f>
        <v>0</v>
      </c>
      <c r="F209" s="380">
        <f t="shared" si="342"/>
        <v>0</v>
      </c>
      <c r="G209" s="380">
        <f t="shared" si="342"/>
        <v>0</v>
      </c>
      <c r="H209" s="380">
        <f t="shared" si="342"/>
        <v>15760</v>
      </c>
      <c r="I209" s="380">
        <f t="shared" si="342"/>
        <v>0</v>
      </c>
      <c r="J209" s="380">
        <f t="shared" si="342"/>
        <v>620000</v>
      </c>
      <c r="K209" s="380">
        <f t="shared" si="342"/>
        <v>0</v>
      </c>
      <c r="L209" s="380">
        <f t="shared" si="342"/>
        <v>0</v>
      </c>
      <c r="M209" s="380">
        <f t="shared" si="342"/>
        <v>0</v>
      </c>
      <c r="N209" s="380">
        <f t="shared" si="342"/>
        <v>0</v>
      </c>
      <c r="O209" s="380">
        <f t="shared" si="342"/>
        <v>0</v>
      </c>
      <c r="P209" s="380">
        <f t="shared" si="342"/>
        <v>0</v>
      </c>
      <c r="Q209" s="380">
        <f t="shared" si="342"/>
        <v>0</v>
      </c>
      <c r="R209" s="380">
        <f t="shared" si="342"/>
        <v>0</v>
      </c>
      <c r="S209" s="380">
        <f t="shared" si="342"/>
        <v>0</v>
      </c>
      <c r="T209" s="380">
        <f t="shared" si="342"/>
        <v>0</v>
      </c>
      <c r="U209" s="380">
        <f t="shared" si="342"/>
        <v>0</v>
      </c>
      <c r="V209" s="380">
        <f t="shared" si="342"/>
        <v>0</v>
      </c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6"/>
      <c r="GL209" s="36"/>
      <c r="GM209" s="36"/>
      <c r="GN209" s="36"/>
      <c r="GO209" s="36"/>
      <c r="GP209" s="36"/>
      <c r="GQ209" s="36"/>
      <c r="GR209" s="36"/>
      <c r="GS209" s="36"/>
      <c r="GT209" s="36"/>
      <c r="GU209" s="36"/>
      <c r="GV209" s="36"/>
      <c r="GW209" s="36"/>
      <c r="GX209" s="36"/>
      <c r="GY209" s="36"/>
      <c r="GZ209" s="36"/>
      <c r="HA209" s="36"/>
      <c r="HB209" s="36"/>
      <c r="HC209" s="36"/>
      <c r="HD209" s="36"/>
      <c r="HE209" s="36"/>
      <c r="HF209" s="36"/>
      <c r="HG209" s="36"/>
      <c r="HH209" s="36"/>
      <c r="HI209" s="36"/>
      <c r="HJ209" s="36"/>
      <c r="HK209" s="36"/>
      <c r="HL209" s="36"/>
      <c r="HM209" s="36"/>
      <c r="HN209" s="36"/>
      <c r="HO209" s="36"/>
      <c r="HP209" s="36"/>
      <c r="HQ209" s="36"/>
      <c r="HR209" s="36"/>
      <c r="HS209" s="36"/>
      <c r="HT209" s="36"/>
      <c r="HU209" s="36"/>
      <c r="HV209" s="36"/>
      <c r="HW209" s="36"/>
      <c r="HX209" s="36"/>
      <c r="HY209" s="36"/>
      <c r="HZ209" s="36"/>
      <c r="IA209" s="36"/>
      <c r="IB209" s="36"/>
      <c r="IC209" s="36"/>
      <c r="ID209" s="36"/>
      <c r="IE209" s="36"/>
      <c r="IF209" s="36"/>
      <c r="IG209" s="36"/>
      <c r="IH209" s="36"/>
      <c r="II209" s="36"/>
      <c r="IJ209" s="36"/>
      <c r="IK209" s="36"/>
      <c r="IL209" s="36"/>
      <c r="IM209" s="36"/>
      <c r="IN209" s="36"/>
      <c r="IO209" s="36"/>
      <c r="IP209" s="36"/>
      <c r="IQ209" s="36"/>
      <c r="IR209" s="36"/>
      <c r="IS209" s="36"/>
      <c r="IT209" s="36"/>
      <c r="IU209" s="36"/>
      <c r="IV209" s="36"/>
      <c r="IW209" s="36"/>
      <c r="IX209" s="36"/>
      <c r="IY209" s="36"/>
      <c r="IZ209" s="36"/>
      <c r="JA209" s="36"/>
      <c r="JB209" s="36"/>
    </row>
    <row r="210" spans="1:262" s="13" customFormat="1" ht="12.6" customHeight="1">
      <c r="A210" s="328">
        <v>372</v>
      </c>
      <c r="B210" s="10" t="s">
        <v>5290</v>
      </c>
      <c r="C210" s="60">
        <f t="shared" si="202"/>
        <v>748351</v>
      </c>
      <c r="D210" s="380">
        <f>D211+D212+D213</f>
        <v>112591</v>
      </c>
      <c r="E210" s="380">
        <f t="shared" ref="E210:V210" si="343">E211+E212+E213</f>
        <v>0</v>
      </c>
      <c r="F210" s="380">
        <f t="shared" si="343"/>
        <v>0</v>
      </c>
      <c r="G210" s="380">
        <f t="shared" si="343"/>
        <v>0</v>
      </c>
      <c r="H210" s="380">
        <f t="shared" si="343"/>
        <v>15760</v>
      </c>
      <c r="I210" s="380">
        <f t="shared" si="343"/>
        <v>0</v>
      </c>
      <c r="J210" s="380">
        <f t="shared" si="343"/>
        <v>620000</v>
      </c>
      <c r="K210" s="380">
        <f t="shared" si="343"/>
        <v>0</v>
      </c>
      <c r="L210" s="380">
        <f t="shared" si="343"/>
        <v>0</v>
      </c>
      <c r="M210" s="380">
        <f t="shared" si="343"/>
        <v>0</v>
      </c>
      <c r="N210" s="380">
        <f t="shared" si="343"/>
        <v>0</v>
      </c>
      <c r="O210" s="380">
        <f t="shared" si="343"/>
        <v>0</v>
      </c>
      <c r="P210" s="380">
        <f t="shared" si="343"/>
        <v>0</v>
      </c>
      <c r="Q210" s="380">
        <f t="shared" si="343"/>
        <v>0</v>
      </c>
      <c r="R210" s="380">
        <f t="shared" si="343"/>
        <v>0</v>
      </c>
      <c r="S210" s="380">
        <f t="shared" si="343"/>
        <v>0</v>
      </c>
      <c r="T210" s="380">
        <f t="shared" si="343"/>
        <v>0</v>
      </c>
      <c r="U210" s="380">
        <f t="shared" si="343"/>
        <v>0</v>
      </c>
      <c r="V210" s="380">
        <f t="shared" si="343"/>
        <v>0</v>
      </c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6"/>
      <c r="GL210" s="36"/>
      <c r="GM210" s="36"/>
      <c r="GN210" s="36"/>
      <c r="GO210" s="36"/>
      <c r="GP210" s="36"/>
      <c r="GQ210" s="36"/>
      <c r="GR210" s="36"/>
      <c r="GS210" s="36"/>
      <c r="GT210" s="36"/>
      <c r="GU210" s="36"/>
      <c r="GV210" s="36"/>
      <c r="GW210" s="36"/>
      <c r="GX210" s="36"/>
      <c r="GY210" s="36"/>
      <c r="GZ210" s="36"/>
      <c r="HA210" s="36"/>
      <c r="HB210" s="36"/>
      <c r="HC210" s="36"/>
      <c r="HD210" s="36"/>
      <c r="HE210" s="36"/>
      <c r="HF210" s="36"/>
      <c r="HG210" s="36"/>
      <c r="HH210" s="36"/>
      <c r="HI210" s="36"/>
      <c r="HJ210" s="36"/>
      <c r="HK210" s="36"/>
      <c r="HL210" s="36"/>
      <c r="HM210" s="36"/>
      <c r="HN210" s="36"/>
      <c r="HO210" s="36"/>
      <c r="HP210" s="36"/>
      <c r="HQ210" s="36"/>
      <c r="HR210" s="36"/>
      <c r="HS210" s="36"/>
      <c r="HT210" s="36"/>
      <c r="HU210" s="36"/>
      <c r="HV210" s="36"/>
      <c r="HW210" s="36"/>
      <c r="HX210" s="36"/>
      <c r="HY210" s="36"/>
      <c r="HZ210" s="36"/>
      <c r="IA210" s="36"/>
      <c r="IB210" s="36"/>
      <c r="IC210" s="36"/>
      <c r="ID210" s="36"/>
      <c r="IE210" s="36"/>
      <c r="IF210" s="36"/>
      <c r="IG210" s="36"/>
      <c r="IH210" s="36"/>
      <c r="II210" s="36"/>
      <c r="IJ210" s="36"/>
      <c r="IK210" s="36"/>
      <c r="IL210" s="36"/>
      <c r="IM210" s="36"/>
      <c r="IN210" s="36"/>
      <c r="IO210" s="36"/>
      <c r="IP210" s="36"/>
      <c r="IQ210" s="36"/>
      <c r="IR210" s="36"/>
      <c r="IS210" s="36"/>
      <c r="IT210" s="36"/>
      <c r="IU210" s="36"/>
      <c r="IV210" s="36"/>
      <c r="IW210" s="36"/>
      <c r="IX210" s="36"/>
      <c r="IY210" s="36"/>
      <c r="IZ210" s="36"/>
      <c r="JA210" s="36"/>
      <c r="JB210" s="36"/>
    </row>
    <row r="211" spans="1:262" s="13" customFormat="1" ht="12.6" customHeight="1">
      <c r="A211" s="328">
        <v>3721</v>
      </c>
      <c r="B211" s="10" t="s">
        <v>65</v>
      </c>
      <c r="C211" s="60">
        <f t="shared" si="202"/>
        <v>128351</v>
      </c>
      <c r="D211" s="380">
        <f>'Unos rashoda i izdataka'!L43</f>
        <v>112591</v>
      </c>
      <c r="E211" s="381"/>
      <c r="F211" s="381"/>
      <c r="G211" s="381"/>
      <c r="H211" s="380">
        <f>'Unos rashoda i izdataka'!L92</f>
        <v>15760</v>
      </c>
      <c r="I211" s="381"/>
      <c r="J211" s="380">
        <f>'Unos rashoda i izdataka'!L119</f>
        <v>0</v>
      </c>
      <c r="K211" s="381"/>
      <c r="L211" s="381"/>
      <c r="M211" s="381"/>
      <c r="N211" s="380">
        <f>'Unos rashoda P4'!J20</f>
        <v>0</v>
      </c>
      <c r="O211" s="381"/>
      <c r="P211" s="381"/>
      <c r="Q211" s="381"/>
      <c r="R211" s="381"/>
      <c r="S211" s="381"/>
      <c r="T211" s="381"/>
      <c r="U211" s="381"/>
      <c r="V211" s="381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6"/>
      <c r="GL211" s="36"/>
      <c r="GM211" s="36"/>
      <c r="GN211" s="36"/>
      <c r="GO211" s="36"/>
      <c r="GP211" s="36"/>
      <c r="GQ211" s="36"/>
      <c r="GR211" s="36"/>
      <c r="GS211" s="36"/>
      <c r="GT211" s="36"/>
      <c r="GU211" s="36"/>
      <c r="GV211" s="36"/>
      <c r="GW211" s="36"/>
      <c r="GX211" s="36"/>
      <c r="GY211" s="36"/>
      <c r="GZ211" s="36"/>
      <c r="HA211" s="36"/>
      <c r="HB211" s="36"/>
      <c r="HC211" s="36"/>
      <c r="HD211" s="36"/>
      <c r="HE211" s="36"/>
      <c r="HF211" s="36"/>
      <c r="HG211" s="36"/>
      <c r="HH211" s="36"/>
      <c r="HI211" s="36"/>
      <c r="HJ211" s="36"/>
      <c r="HK211" s="36"/>
      <c r="HL211" s="36"/>
      <c r="HM211" s="36"/>
      <c r="HN211" s="36"/>
      <c r="HO211" s="36"/>
      <c r="HP211" s="36"/>
      <c r="HQ211" s="36"/>
      <c r="HR211" s="36"/>
      <c r="HS211" s="36"/>
      <c r="HT211" s="36"/>
      <c r="HU211" s="36"/>
      <c r="HV211" s="36"/>
      <c r="HW211" s="36"/>
      <c r="HX211" s="36"/>
      <c r="HY211" s="36"/>
      <c r="HZ211" s="36"/>
      <c r="IA211" s="36"/>
      <c r="IB211" s="36"/>
      <c r="IC211" s="36"/>
      <c r="ID211" s="36"/>
      <c r="IE211" s="36"/>
      <c r="IF211" s="36"/>
      <c r="IG211" s="36"/>
      <c r="IH211" s="36"/>
      <c r="II211" s="36"/>
      <c r="IJ211" s="36"/>
      <c r="IK211" s="36"/>
      <c r="IL211" s="36"/>
      <c r="IM211" s="36"/>
      <c r="IN211" s="36"/>
      <c r="IO211" s="36"/>
      <c r="IP211" s="36"/>
      <c r="IQ211" s="36"/>
      <c r="IR211" s="36"/>
      <c r="IS211" s="36"/>
      <c r="IT211" s="36"/>
      <c r="IU211" s="36"/>
      <c r="IV211" s="36"/>
      <c r="IW211" s="36"/>
      <c r="IX211" s="36"/>
      <c r="IY211" s="36"/>
      <c r="IZ211" s="36"/>
      <c r="JA211" s="36"/>
      <c r="JB211" s="36"/>
    </row>
    <row r="212" spans="1:262" s="13" customFormat="1" ht="12.6" customHeight="1">
      <c r="A212" s="328">
        <v>3722</v>
      </c>
      <c r="B212" s="10" t="s">
        <v>150</v>
      </c>
      <c r="C212" s="60">
        <f t="shared" ref="C212:C213" si="344">SUM(D212:V212)</f>
        <v>70000</v>
      </c>
      <c r="D212" s="380"/>
      <c r="E212" s="381"/>
      <c r="F212" s="381"/>
      <c r="G212" s="381"/>
      <c r="H212" s="380"/>
      <c r="I212" s="381"/>
      <c r="J212" s="380">
        <f>'Unos rashoda i izdataka'!L120</f>
        <v>70000</v>
      </c>
      <c r="K212" s="381"/>
      <c r="L212" s="381"/>
      <c r="M212" s="381"/>
      <c r="N212" s="380"/>
      <c r="O212" s="381"/>
      <c r="P212" s="381"/>
      <c r="Q212" s="381"/>
      <c r="R212" s="381"/>
      <c r="S212" s="381"/>
      <c r="T212" s="381"/>
      <c r="U212" s="381"/>
      <c r="V212" s="381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6"/>
      <c r="GL212" s="36"/>
      <c r="GM212" s="36"/>
      <c r="GN212" s="36"/>
      <c r="GO212" s="36"/>
      <c r="GP212" s="36"/>
      <c r="GQ212" s="36"/>
      <c r="GR212" s="36"/>
      <c r="GS212" s="36"/>
      <c r="GT212" s="36"/>
      <c r="GU212" s="36"/>
      <c r="GV212" s="36"/>
      <c r="GW212" s="36"/>
      <c r="GX212" s="36"/>
      <c r="GY212" s="36"/>
      <c r="GZ212" s="36"/>
      <c r="HA212" s="36"/>
      <c r="HB212" s="36"/>
      <c r="HC212" s="36"/>
      <c r="HD212" s="36"/>
      <c r="HE212" s="36"/>
      <c r="HF212" s="36"/>
      <c r="HG212" s="36"/>
      <c r="HH212" s="36"/>
      <c r="HI212" s="36"/>
      <c r="HJ212" s="36"/>
      <c r="HK212" s="36"/>
      <c r="HL212" s="36"/>
      <c r="HM212" s="36"/>
      <c r="HN212" s="36"/>
      <c r="HO212" s="36"/>
      <c r="HP212" s="36"/>
      <c r="HQ212" s="36"/>
      <c r="HR212" s="36"/>
      <c r="HS212" s="36"/>
      <c r="HT212" s="36"/>
      <c r="HU212" s="36"/>
      <c r="HV212" s="36"/>
      <c r="HW212" s="36"/>
      <c r="HX212" s="36"/>
      <c r="HY212" s="36"/>
      <c r="HZ212" s="36"/>
      <c r="IA212" s="36"/>
      <c r="IB212" s="36"/>
      <c r="IC212" s="36"/>
      <c r="ID212" s="36"/>
      <c r="IE212" s="36"/>
      <c r="IF212" s="36"/>
      <c r="IG212" s="36"/>
      <c r="IH212" s="36"/>
      <c r="II212" s="36"/>
      <c r="IJ212" s="36"/>
      <c r="IK212" s="36"/>
      <c r="IL212" s="36"/>
      <c r="IM212" s="36"/>
      <c r="IN212" s="36"/>
      <c r="IO212" s="36"/>
      <c r="IP212" s="36"/>
      <c r="IQ212" s="36"/>
      <c r="IR212" s="36"/>
      <c r="IS212" s="36"/>
      <c r="IT212" s="36"/>
      <c r="IU212" s="36"/>
      <c r="IV212" s="36"/>
      <c r="IW212" s="36"/>
      <c r="IX212" s="36"/>
      <c r="IY212" s="36"/>
      <c r="IZ212" s="36"/>
      <c r="JA212" s="36"/>
      <c r="JB212" s="36"/>
    </row>
    <row r="213" spans="1:262" s="13" customFormat="1" ht="12.6" customHeight="1">
      <c r="A213" s="328">
        <v>3723</v>
      </c>
      <c r="B213" s="10" t="s">
        <v>105</v>
      </c>
      <c r="C213" s="60">
        <f t="shared" si="344"/>
        <v>550000</v>
      </c>
      <c r="D213" s="380"/>
      <c r="E213" s="381"/>
      <c r="F213" s="381"/>
      <c r="G213" s="381"/>
      <c r="H213" s="380"/>
      <c r="I213" s="381"/>
      <c r="J213" s="380">
        <f>'Unos rashoda P4'!J42</f>
        <v>550000</v>
      </c>
      <c r="K213" s="381"/>
      <c r="L213" s="381"/>
      <c r="M213" s="381"/>
      <c r="N213" s="381"/>
      <c r="O213" s="381"/>
      <c r="P213" s="381"/>
      <c r="Q213" s="381"/>
      <c r="R213" s="381"/>
      <c r="S213" s="381"/>
      <c r="T213" s="381"/>
      <c r="U213" s="381"/>
      <c r="V213" s="381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6"/>
      <c r="GL213" s="36"/>
      <c r="GM213" s="36"/>
      <c r="GN213" s="36"/>
      <c r="GO213" s="36"/>
      <c r="GP213" s="36"/>
      <c r="GQ213" s="36"/>
      <c r="GR213" s="36"/>
      <c r="GS213" s="36"/>
      <c r="GT213" s="36"/>
      <c r="GU213" s="36"/>
      <c r="GV213" s="36"/>
      <c r="GW213" s="36"/>
      <c r="GX213" s="36"/>
      <c r="GY213" s="36"/>
      <c r="GZ213" s="36"/>
      <c r="HA213" s="36"/>
      <c r="HB213" s="36"/>
      <c r="HC213" s="36"/>
      <c r="HD213" s="36"/>
      <c r="HE213" s="36"/>
      <c r="HF213" s="36"/>
      <c r="HG213" s="36"/>
      <c r="HH213" s="36"/>
      <c r="HI213" s="36"/>
      <c r="HJ213" s="36"/>
      <c r="HK213" s="36"/>
      <c r="HL213" s="36"/>
      <c r="HM213" s="36"/>
      <c r="HN213" s="36"/>
      <c r="HO213" s="36"/>
      <c r="HP213" s="36"/>
      <c r="HQ213" s="36"/>
      <c r="HR213" s="36"/>
      <c r="HS213" s="36"/>
      <c r="HT213" s="36"/>
      <c r="HU213" s="36"/>
      <c r="HV213" s="36"/>
      <c r="HW213" s="36"/>
      <c r="HX213" s="36"/>
      <c r="HY213" s="36"/>
      <c r="HZ213" s="36"/>
      <c r="IA213" s="36"/>
      <c r="IB213" s="36"/>
      <c r="IC213" s="36"/>
      <c r="ID213" s="36"/>
      <c r="IE213" s="36"/>
      <c r="IF213" s="36"/>
      <c r="IG213" s="36"/>
      <c r="IH213" s="36"/>
      <c r="II213" s="36"/>
      <c r="IJ213" s="36"/>
      <c r="IK213" s="36"/>
      <c r="IL213" s="36"/>
      <c r="IM213" s="36"/>
      <c r="IN213" s="36"/>
      <c r="IO213" s="36"/>
      <c r="IP213" s="36"/>
      <c r="IQ213" s="36"/>
      <c r="IR213" s="36"/>
      <c r="IS213" s="36"/>
      <c r="IT213" s="36"/>
      <c r="IU213" s="36"/>
      <c r="IV213" s="36"/>
      <c r="IW213" s="36"/>
      <c r="IX213" s="36"/>
      <c r="IY213" s="36"/>
      <c r="IZ213" s="36"/>
      <c r="JA213" s="36"/>
      <c r="JB213" s="36"/>
    </row>
    <row r="214" spans="1:262" s="13" customFormat="1" ht="12.6" customHeight="1">
      <c r="A214" s="328">
        <v>38</v>
      </c>
      <c r="B214" s="10" t="s">
        <v>202</v>
      </c>
      <c r="C214" s="60">
        <f t="shared" si="202"/>
        <v>77112</v>
      </c>
      <c r="D214" s="380">
        <f>D215</f>
        <v>75012</v>
      </c>
      <c r="E214" s="380">
        <f t="shared" ref="E214" si="345">E215</f>
        <v>0</v>
      </c>
      <c r="F214" s="380">
        <f t="shared" ref="F214" si="346">F215</f>
        <v>1000</v>
      </c>
      <c r="G214" s="380">
        <f t="shared" ref="G214" si="347">G215</f>
        <v>0</v>
      </c>
      <c r="H214" s="380">
        <f t="shared" ref="H214" si="348">H215</f>
        <v>1100</v>
      </c>
      <c r="I214" s="380">
        <f t="shared" ref="I214" si="349">I215</f>
        <v>0</v>
      </c>
      <c r="J214" s="380">
        <f t="shared" ref="J214" si="350">J215</f>
        <v>0</v>
      </c>
      <c r="K214" s="380">
        <f t="shared" ref="K214" si="351">K215</f>
        <v>0</v>
      </c>
      <c r="L214" s="380">
        <f t="shared" ref="L214" si="352">L215</f>
        <v>0</v>
      </c>
      <c r="M214" s="380">
        <f t="shared" ref="M214" si="353">M215</f>
        <v>0</v>
      </c>
      <c r="N214" s="380">
        <f t="shared" ref="N214" si="354">N215</f>
        <v>0</v>
      </c>
      <c r="O214" s="380">
        <f t="shared" ref="O214" si="355">O215</f>
        <v>0</v>
      </c>
      <c r="P214" s="380">
        <f t="shared" ref="P214" si="356">P215</f>
        <v>0</v>
      </c>
      <c r="Q214" s="380">
        <f t="shared" ref="Q214" si="357">Q215</f>
        <v>0</v>
      </c>
      <c r="R214" s="380">
        <f t="shared" ref="R214" si="358">R215</f>
        <v>0</v>
      </c>
      <c r="S214" s="380">
        <f t="shared" ref="S214" si="359">S215</f>
        <v>0</v>
      </c>
      <c r="T214" s="380">
        <f t="shared" ref="T214" si="360">T215</f>
        <v>0</v>
      </c>
      <c r="U214" s="380">
        <f t="shared" ref="U214" si="361">U215</f>
        <v>0</v>
      </c>
      <c r="V214" s="380">
        <f t="shared" ref="V214" si="362">V215</f>
        <v>0</v>
      </c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6"/>
      <c r="GL214" s="36"/>
      <c r="GM214" s="36"/>
      <c r="GN214" s="36"/>
      <c r="GO214" s="36"/>
      <c r="GP214" s="36"/>
      <c r="GQ214" s="36"/>
      <c r="GR214" s="36"/>
      <c r="GS214" s="36"/>
      <c r="GT214" s="36"/>
      <c r="GU214" s="36"/>
      <c r="GV214" s="36"/>
      <c r="GW214" s="36"/>
      <c r="GX214" s="36"/>
      <c r="GY214" s="36"/>
      <c r="GZ214" s="36"/>
      <c r="HA214" s="36"/>
      <c r="HB214" s="36"/>
      <c r="HC214" s="36"/>
      <c r="HD214" s="36"/>
      <c r="HE214" s="36"/>
      <c r="HF214" s="36"/>
      <c r="HG214" s="36"/>
      <c r="HH214" s="36"/>
      <c r="HI214" s="36"/>
      <c r="HJ214" s="36"/>
      <c r="HK214" s="36"/>
      <c r="HL214" s="36"/>
      <c r="HM214" s="36"/>
      <c r="HN214" s="36"/>
      <c r="HO214" s="36"/>
      <c r="HP214" s="36"/>
      <c r="HQ214" s="36"/>
      <c r="HR214" s="36"/>
      <c r="HS214" s="36"/>
      <c r="HT214" s="36"/>
      <c r="HU214" s="36"/>
      <c r="HV214" s="36"/>
      <c r="HW214" s="36"/>
      <c r="HX214" s="36"/>
      <c r="HY214" s="36"/>
      <c r="HZ214" s="36"/>
      <c r="IA214" s="36"/>
      <c r="IB214" s="36"/>
      <c r="IC214" s="36"/>
      <c r="ID214" s="36"/>
      <c r="IE214" s="36"/>
      <c r="IF214" s="36"/>
      <c r="IG214" s="36"/>
      <c r="IH214" s="36"/>
      <c r="II214" s="36"/>
      <c r="IJ214" s="36"/>
      <c r="IK214" s="36"/>
      <c r="IL214" s="36"/>
      <c r="IM214" s="36"/>
      <c r="IN214" s="36"/>
      <c r="IO214" s="36"/>
      <c r="IP214" s="36"/>
      <c r="IQ214" s="36"/>
      <c r="IR214" s="36"/>
      <c r="IS214" s="36"/>
      <c r="IT214" s="36"/>
      <c r="IU214" s="36"/>
      <c r="IV214" s="36"/>
      <c r="IW214" s="36"/>
      <c r="IX214" s="36"/>
      <c r="IY214" s="36"/>
      <c r="IZ214" s="36"/>
      <c r="JA214" s="36"/>
      <c r="JB214" s="36"/>
    </row>
    <row r="215" spans="1:262" s="13" customFormat="1" ht="12.6" customHeight="1">
      <c r="A215" s="328">
        <v>381</v>
      </c>
      <c r="B215" s="10" t="s">
        <v>5291</v>
      </c>
      <c r="C215" s="60">
        <f t="shared" si="202"/>
        <v>77112</v>
      </c>
      <c r="D215" s="380">
        <f t="shared" ref="D215:G215" si="363">D216+D217</f>
        <v>75012</v>
      </c>
      <c r="E215" s="380">
        <f t="shared" si="363"/>
        <v>0</v>
      </c>
      <c r="F215" s="380">
        <f t="shared" si="363"/>
        <v>1000</v>
      </c>
      <c r="G215" s="380">
        <f t="shared" si="363"/>
        <v>0</v>
      </c>
      <c r="H215" s="380">
        <f>H216+H217</f>
        <v>1100</v>
      </c>
      <c r="I215" s="380">
        <f t="shared" ref="I215:V215" si="364">I216+I217</f>
        <v>0</v>
      </c>
      <c r="J215" s="380">
        <f t="shared" si="364"/>
        <v>0</v>
      </c>
      <c r="K215" s="380">
        <f t="shared" si="364"/>
        <v>0</v>
      </c>
      <c r="L215" s="380">
        <f t="shared" si="364"/>
        <v>0</v>
      </c>
      <c r="M215" s="380">
        <f t="shared" si="364"/>
        <v>0</v>
      </c>
      <c r="N215" s="380">
        <f t="shared" si="364"/>
        <v>0</v>
      </c>
      <c r="O215" s="380">
        <f t="shared" si="364"/>
        <v>0</v>
      </c>
      <c r="P215" s="380">
        <f t="shared" si="364"/>
        <v>0</v>
      </c>
      <c r="Q215" s="380">
        <f t="shared" si="364"/>
        <v>0</v>
      </c>
      <c r="R215" s="380">
        <f t="shared" si="364"/>
        <v>0</v>
      </c>
      <c r="S215" s="380">
        <f t="shared" si="364"/>
        <v>0</v>
      </c>
      <c r="T215" s="380">
        <f t="shared" si="364"/>
        <v>0</v>
      </c>
      <c r="U215" s="380">
        <f t="shared" si="364"/>
        <v>0</v>
      </c>
      <c r="V215" s="380">
        <f t="shared" si="364"/>
        <v>0</v>
      </c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6"/>
      <c r="GL215" s="36"/>
      <c r="GM215" s="36"/>
      <c r="GN215" s="36"/>
      <c r="GO215" s="36"/>
      <c r="GP215" s="36"/>
      <c r="GQ215" s="36"/>
      <c r="GR215" s="36"/>
      <c r="GS215" s="36"/>
      <c r="GT215" s="36"/>
      <c r="GU215" s="36"/>
      <c r="GV215" s="36"/>
      <c r="GW215" s="36"/>
      <c r="GX215" s="36"/>
      <c r="GY215" s="36"/>
      <c r="GZ215" s="36"/>
      <c r="HA215" s="36"/>
      <c r="HB215" s="36"/>
      <c r="HC215" s="36"/>
      <c r="HD215" s="36"/>
      <c r="HE215" s="36"/>
      <c r="HF215" s="36"/>
      <c r="HG215" s="36"/>
      <c r="HH215" s="36"/>
      <c r="HI215" s="36"/>
      <c r="HJ215" s="36"/>
      <c r="HK215" s="36"/>
      <c r="HL215" s="36"/>
      <c r="HM215" s="36"/>
      <c r="HN215" s="36"/>
      <c r="HO215" s="36"/>
      <c r="HP215" s="36"/>
      <c r="HQ215" s="36"/>
      <c r="HR215" s="36"/>
      <c r="HS215" s="36"/>
      <c r="HT215" s="36"/>
      <c r="HU215" s="36"/>
      <c r="HV215" s="36"/>
      <c r="HW215" s="36"/>
      <c r="HX215" s="36"/>
      <c r="HY215" s="36"/>
      <c r="HZ215" s="36"/>
      <c r="IA215" s="36"/>
      <c r="IB215" s="36"/>
      <c r="IC215" s="36"/>
      <c r="ID215" s="36"/>
      <c r="IE215" s="36"/>
      <c r="IF215" s="36"/>
      <c r="IG215" s="36"/>
      <c r="IH215" s="36"/>
      <c r="II215" s="36"/>
      <c r="IJ215" s="36"/>
      <c r="IK215" s="36"/>
      <c r="IL215" s="36"/>
      <c r="IM215" s="36"/>
      <c r="IN215" s="36"/>
      <c r="IO215" s="36"/>
      <c r="IP215" s="36"/>
      <c r="IQ215" s="36"/>
      <c r="IR215" s="36"/>
      <c r="IS215" s="36"/>
      <c r="IT215" s="36"/>
      <c r="IU215" s="36"/>
      <c r="IV215" s="36"/>
      <c r="IW215" s="36"/>
      <c r="IX215" s="36"/>
      <c r="IY215" s="36"/>
      <c r="IZ215" s="36"/>
      <c r="JA215" s="36"/>
      <c r="JB215" s="36"/>
    </row>
    <row r="216" spans="1:262" s="13" customFormat="1" ht="12.6" customHeight="1">
      <c r="A216" s="328">
        <v>3811</v>
      </c>
      <c r="B216" s="10" t="s">
        <v>55</v>
      </c>
      <c r="C216" s="60">
        <f t="shared" si="202"/>
        <v>77012</v>
      </c>
      <c r="D216" s="380">
        <f>'Unos rashoda i izdataka'!L10</f>
        <v>75012</v>
      </c>
      <c r="E216" s="380"/>
      <c r="F216" s="380">
        <f>'Unos rashoda i izdataka'!L62</f>
        <v>1000</v>
      </c>
      <c r="G216" s="380"/>
      <c r="H216" s="380">
        <f>'Unos rashoda i izdataka'!L93</f>
        <v>1000</v>
      </c>
      <c r="I216" s="380"/>
      <c r="J216" s="380"/>
      <c r="K216" s="380"/>
      <c r="L216" s="380"/>
      <c r="M216" s="380"/>
      <c r="N216" s="380"/>
      <c r="O216" s="380"/>
      <c r="P216" s="380"/>
      <c r="Q216" s="380"/>
      <c r="R216" s="380"/>
      <c r="S216" s="380"/>
      <c r="T216" s="380"/>
      <c r="U216" s="380"/>
      <c r="V216" s="380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6"/>
      <c r="GL216" s="36"/>
      <c r="GM216" s="36"/>
      <c r="GN216" s="36"/>
      <c r="GO216" s="36"/>
      <c r="GP216" s="36"/>
      <c r="GQ216" s="36"/>
      <c r="GR216" s="36"/>
      <c r="GS216" s="36"/>
      <c r="GT216" s="36"/>
      <c r="GU216" s="36"/>
      <c r="GV216" s="36"/>
      <c r="GW216" s="36"/>
      <c r="GX216" s="36"/>
      <c r="GY216" s="36"/>
      <c r="GZ216" s="36"/>
      <c r="HA216" s="36"/>
      <c r="HB216" s="36"/>
      <c r="HC216" s="36"/>
      <c r="HD216" s="36"/>
      <c r="HE216" s="36"/>
      <c r="HF216" s="36"/>
      <c r="HG216" s="36"/>
      <c r="HH216" s="36"/>
      <c r="HI216" s="36"/>
      <c r="HJ216" s="36"/>
      <c r="HK216" s="36"/>
      <c r="HL216" s="36"/>
      <c r="HM216" s="36"/>
      <c r="HN216" s="36"/>
      <c r="HO216" s="36"/>
      <c r="HP216" s="36"/>
      <c r="HQ216" s="36"/>
      <c r="HR216" s="36"/>
      <c r="HS216" s="36"/>
      <c r="HT216" s="36"/>
      <c r="HU216" s="36"/>
      <c r="HV216" s="36"/>
      <c r="HW216" s="36"/>
      <c r="HX216" s="36"/>
      <c r="HY216" s="36"/>
      <c r="HZ216" s="36"/>
      <c r="IA216" s="36"/>
      <c r="IB216" s="36"/>
      <c r="IC216" s="36"/>
      <c r="ID216" s="36"/>
      <c r="IE216" s="36"/>
      <c r="IF216" s="36"/>
      <c r="IG216" s="36"/>
      <c r="IH216" s="36"/>
      <c r="II216" s="36"/>
      <c r="IJ216" s="36"/>
      <c r="IK216" s="36"/>
      <c r="IL216" s="36"/>
      <c r="IM216" s="36"/>
      <c r="IN216" s="36"/>
      <c r="IO216" s="36"/>
      <c r="IP216" s="36"/>
      <c r="IQ216" s="36"/>
      <c r="IR216" s="36"/>
      <c r="IS216" s="36"/>
      <c r="IT216" s="36"/>
      <c r="IU216" s="36"/>
      <c r="IV216" s="36"/>
      <c r="IW216" s="36"/>
      <c r="IX216" s="36"/>
      <c r="IY216" s="36"/>
      <c r="IZ216" s="36"/>
      <c r="JA216" s="36"/>
      <c r="JB216" s="36"/>
    </row>
    <row r="217" spans="1:262" s="13" customFormat="1" ht="12.6" customHeight="1">
      <c r="A217" s="328">
        <v>3812</v>
      </c>
      <c r="B217" s="10" t="s">
        <v>5292</v>
      </c>
      <c r="C217" s="60"/>
      <c r="D217" s="382"/>
      <c r="E217" s="382"/>
      <c r="F217" s="382"/>
      <c r="G217" s="382"/>
      <c r="H217" s="382">
        <f>'Unos rashoda i izdataka'!L94</f>
        <v>100</v>
      </c>
      <c r="I217" s="382"/>
      <c r="J217" s="382"/>
      <c r="K217" s="382"/>
      <c r="L217" s="382"/>
      <c r="M217" s="382"/>
      <c r="N217" s="382"/>
      <c r="O217" s="382"/>
      <c r="P217" s="382"/>
      <c r="Q217" s="382"/>
      <c r="R217" s="382"/>
      <c r="S217" s="382"/>
      <c r="T217" s="382"/>
      <c r="U217" s="382"/>
      <c r="V217" s="382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6"/>
      <c r="GL217" s="36"/>
      <c r="GM217" s="36"/>
      <c r="GN217" s="36"/>
      <c r="GO217" s="36"/>
      <c r="GP217" s="36"/>
      <c r="GQ217" s="36"/>
      <c r="GR217" s="36"/>
      <c r="GS217" s="36"/>
      <c r="GT217" s="36"/>
      <c r="GU217" s="36"/>
      <c r="GV217" s="36"/>
      <c r="GW217" s="36"/>
      <c r="GX217" s="36"/>
      <c r="GY217" s="36"/>
      <c r="GZ217" s="36"/>
      <c r="HA217" s="36"/>
      <c r="HB217" s="36"/>
      <c r="HC217" s="36"/>
      <c r="HD217" s="36"/>
      <c r="HE217" s="36"/>
      <c r="HF217" s="36"/>
      <c r="HG217" s="36"/>
      <c r="HH217" s="36"/>
      <c r="HI217" s="36"/>
      <c r="HJ217" s="36"/>
      <c r="HK217" s="36"/>
      <c r="HL217" s="36"/>
      <c r="HM217" s="36"/>
      <c r="HN217" s="36"/>
      <c r="HO217" s="36"/>
      <c r="HP217" s="36"/>
      <c r="HQ217" s="36"/>
      <c r="HR217" s="36"/>
      <c r="HS217" s="36"/>
      <c r="HT217" s="36"/>
      <c r="HU217" s="36"/>
      <c r="HV217" s="36"/>
      <c r="HW217" s="36"/>
      <c r="HX217" s="36"/>
      <c r="HY217" s="36"/>
      <c r="HZ217" s="36"/>
      <c r="IA217" s="36"/>
      <c r="IB217" s="36"/>
      <c r="IC217" s="36"/>
      <c r="ID217" s="36"/>
      <c r="IE217" s="36"/>
      <c r="IF217" s="36"/>
      <c r="IG217" s="36"/>
      <c r="IH217" s="36"/>
      <c r="II217" s="36"/>
      <c r="IJ217" s="36"/>
      <c r="IK217" s="36"/>
      <c r="IL217" s="36"/>
      <c r="IM217" s="36"/>
      <c r="IN217" s="36"/>
      <c r="IO217" s="36"/>
      <c r="IP217" s="36"/>
      <c r="IQ217" s="36"/>
      <c r="IR217" s="36"/>
      <c r="IS217" s="36"/>
      <c r="IT217" s="36"/>
      <c r="IU217" s="36"/>
      <c r="IV217" s="36"/>
      <c r="IW217" s="36"/>
      <c r="IX217" s="36"/>
      <c r="IY217" s="36"/>
      <c r="IZ217" s="36"/>
      <c r="JA217" s="36"/>
      <c r="JB217" s="36"/>
    </row>
    <row r="218" spans="1:262" s="14" customFormat="1" ht="12.6" customHeight="1">
      <c r="A218" s="329">
        <v>4</v>
      </c>
      <c r="B218" s="66" t="s">
        <v>203</v>
      </c>
      <c r="C218" s="60">
        <f t="shared" si="202"/>
        <v>468700</v>
      </c>
      <c r="D218" s="68">
        <f>+D219+D220+D221+D222+D223</f>
        <v>63500</v>
      </c>
      <c r="E218" s="68">
        <f t="shared" ref="E218" si="365">+E219+E220+E221+E222+E223</f>
        <v>39000</v>
      </c>
      <c r="F218" s="68">
        <f t="shared" ref="F218" si="366">+F219+F220+F221+F222+F223</f>
        <v>0</v>
      </c>
      <c r="G218" s="68">
        <f t="shared" ref="G218" si="367">+G219+G220+G221+G222+G223</f>
        <v>0</v>
      </c>
      <c r="H218" s="68">
        <f t="shared" ref="H218" si="368">+H219+H220+H221+H222+H223</f>
        <v>51200</v>
      </c>
      <c r="I218" s="68">
        <f t="shared" ref="I218" si="369">+I219+I220+I221+I222+I223</f>
        <v>0</v>
      </c>
      <c r="J218" s="68">
        <f t="shared" ref="J218" si="370">+J219+J220+J221+J222+J223</f>
        <v>99000</v>
      </c>
      <c r="K218" s="68">
        <f t="shared" ref="K218" si="371">+K219+K220+K221+K222+K223</f>
        <v>0</v>
      </c>
      <c r="L218" s="68">
        <f t="shared" ref="L218" si="372">+L219+L220+L221+L222+L223</f>
        <v>0</v>
      </c>
      <c r="M218" s="68">
        <f t="shared" ref="M218" si="373">+M219+M220+M221+M222+M223</f>
        <v>0</v>
      </c>
      <c r="N218" s="68">
        <f t="shared" ref="N218" si="374">+N219+N220+N221+N222+N223</f>
        <v>216000</v>
      </c>
      <c r="O218" s="68">
        <f t="shared" ref="O218" si="375">+O219+O220+O221+O222+O223</f>
        <v>0</v>
      </c>
      <c r="P218" s="68">
        <f t="shared" ref="P218" si="376">+P219+P220+P221+P222+P223</f>
        <v>0</v>
      </c>
      <c r="Q218" s="68">
        <f t="shared" ref="Q218" si="377">+Q219+Q220+Q221+Q222+Q223</f>
        <v>0</v>
      </c>
      <c r="R218" s="68">
        <f t="shared" ref="R218" si="378">+R219+R220+R221+R222+R223</f>
        <v>0</v>
      </c>
      <c r="S218" s="68">
        <f t="shared" ref="S218" si="379">+S219+S220+S221+S222+S223</f>
        <v>0</v>
      </c>
      <c r="T218" s="68">
        <f t="shared" ref="T218" si="380">+T219+T220+T221+T222+T223</f>
        <v>0</v>
      </c>
      <c r="U218" s="68">
        <f t="shared" ref="U218" si="381">+U219+U220+U221+U222+U223</f>
        <v>0</v>
      </c>
      <c r="V218" s="68">
        <f t="shared" ref="V218" si="382">+V219+V220+V221+V222+V223</f>
        <v>0</v>
      </c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9" customFormat="1" ht="12.6" customHeight="1">
      <c r="A219" s="327">
        <v>41</v>
      </c>
      <c r="B219" s="8" t="s">
        <v>254</v>
      </c>
      <c r="C219" s="60">
        <f t="shared" si="202"/>
        <v>500</v>
      </c>
      <c r="D219" s="380">
        <f>'Unos rashoda i izdataka'!L44</f>
        <v>500</v>
      </c>
      <c r="E219" s="380"/>
      <c r="F219" s="380"/>
      <c r="G219" s="380"/>
      <c r="H219" s="380"/>
      <c r="I219" s="380"/>
      <c r="J219" s="380"/>
      <c r="K219" s="380"/>
      <c r="L219" s="380"/>
      <c r="M219" s="380"/>
      <c r="N219" s="380"/>
      <c r="O219" s="380"/>
      <c r="P219" s="380"/>
      <c r="Q219" s="380"/>
      <c r="R219" s="380"/>
      <c r="S219" s="380"/>
      <c r="T219" s="380"/>
      <c r="U219" s="380"/>
      <c r="V219" s="380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6"/>
      <c r="GL219" s="36"/>
      <c r="GM219" s="36"/>
      <c r="GN219" s="36"/>
      <c r="GO219" s="36"/>
      <c r="GP219" s="36"/>
      <c r="GQ219" s="36"/>
      <c r="GR219" s="36"/>
      <c r="GS219" s="36"/>
      <c r="GT219" s="36"/>
      <c r="GU219" s="36"/>
      <c r="GV219" s="36"/>
      <c r="GW219" s="36"/>
      <c r="GX219" s="36"/>
      <c r="GY219" s="36"/>
      <c r="GZ219" s="36"/>
      <c r="HA219" s="36"/>
      <c r="HB219" s="36"/>
      <c r="HC219" s="36"/>
      <c r="HD219" s="36"/>
      <c r="HE219" s="36"/>
      <c r="HF219" s="36"/>
      <c r="HG219" s="36"/>
      <c r="HH219" s="36"/>
      <c r="HI219" s="36"/>
      <c r="HJ219" s="36"/>
      <c r="HK219" s="36"/>
      <c r="HL219" s="36"/>
      <c r="HM219" s="36"/>
      <c r="HN219" s="36"/>
      <c r="HO219" s="36"/>
      <c r="HP219" s="36"/>
      <c r="HQ219" s="36"/>
      <c r="HR219" s="36"/>
      <c r="HS219" s="36"/>
      <c r="HT219" s="36"/>
      <c r="HU219" s="36"/>
      <c r="HV219" s="36"/>
      <c r="HW219" s="36"/>
      <c r="HX219" s="36"/>
      <c r="HY219" s="36"/>
      <c r="HZ219" s="36"/>
      <c r="IA219" s="36"/>
      <c r="IB219" s="36"/>
      <c r="IC219" s="36"/>
      <c r="ID219" s="36"/>
      <c r="IE219" s="36"/>
      <c r="IF219" s="36"/>
      <c r="IG219" s="36"/>
      <c r="IH219" s="36"/>
      <c r="II219" s="36"/>
      <c r="IJ219" s="36"/>
      <c r="IK219" s="36"/>
      <c r="IL219" s="36"/>
      <c r="IM219" s="36"/>
      <c r="IN219" s="36"/>
      <c r="IO219" s="36"/>
      <c r="IP219" s="36"/>
      <c r="IQ219" s="36"/>
      <c r="IR219" s="36"/>
      <c r="IS219" s="36"/>
      <c r="IT219" s="36"/>
      <c r="IU219" s="36"/>
      <c r="IV219" s="36"/>
      <c r="IW219" s="36"/>
      <c r="IX219" s="36"/>
      <c r="IY219" s="36"/>
      <c r="IZ219" s="36"/>
      <c r="JA219" s="36"/>
      <c r="JB219" s="36"/>
    </row>
    <row r="220" spans="1:262" s="13" customFormat="1" ht="12.6" customHeight="1">
      <c r="A220" s="328">
        <v>42</v>
      </c>
      <c r="B220" s="10" t="s">
        <v>231</v>
      </c>
      <c r="C220" s="60">
        <f t="shared" si="202"/>
        <v>463000</v>
      </c>
      <c r="D220" s="380">
        <f>'Unos rashoda i izdataka'!L45+'Unos rashoda i izdataka'!L46+'Unos rashoda i izdataka'!L47+'Unos rashoda i izdataka'!L48+'Unos rashoda i izdataka'!L49+'Unos rashoda i izdataka'!L51+'Unos rashoda i izdataka'!L50+'Unos rashoda i izdataka'!L52+'Unos rashoda i izdataka'!L53+'Unos rashoda i izdataka'!L54</f>
        <v>57900</v>
      </c>
      <c r="E220" s="380">
        <f>'Unos rashoda P4'!J3</f>
        <v>39000</v>
      </c>
      <c r="F220" s="380">
        <f>'Unos rashoda i izdataka'!L63+'Unos rashoda i izdataka'!L64+'Unos rashoda i izdataka'!L65+'Unos rashoda i izdataka'!L66</f>
        <v>0</v>
      </c>
      <c r="G220" s="380"/>
      <c r="H220" s="380">
        <f>'Unos rashoda i izdataka'!L95+'Unos rashoda i izdataka'!L96+'Unos rashoda i izdataka'!L97+'Unos rashoda i izdataka'!L98+'Unos rashoda i izdataka'!L99+'Unos rashoda i izdataka'!L100+'Unos rashoda i izdataka'!L101+'Unos rashoda i izdataka'!L102+'Unos rashoda i izdataka'!L103</f>
        <v>51100</v>
      </c>
      <c r="I220" s="380"/>
      <c r="J220" s="380">
        <f>'Unos rashoda P4'!J44+'Unos rashoda P4'!J45+'Unos rashoda P4'!J46+'Unos rashoda P4'!J47</f>
        <v>99000</v>
      </c>
      <c r="K220" s="380"/>
      <c r="L220" s="380"/>
      <c r="M220" s="380"/>
      <c r="N220" s="380">
        <f>'Unos rashoda P4'!J4+'Unos rashoda P4'!J13</f>
        <v>216000</v>
      </c>
      <c r="O220" s="380"/>
      <c r="P220" s="380"/>
      <c r="Q220" s="380"/>
      <c r="R220" s="380"/>
      <c r="S220" s="380"/>
      <c r="T220" s="380"/>
      <c r="U220" s="380"/>
      <c r="V220" s="380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6"/>
      <c r="GL220" s="36"/>
      <c r="GM220" s="36"/>
      <c r="GN220" s="36"/>
      <c r="GO220" s="36"/>
      <c r="GP220" s="36"/>
      <c r="GQ220" s="36"/>
      <c r="GR220" s="36"/>
      <c r="GS220" s="36"/>
      <c r="GT220" s="36"/>
      <c r="GU220" s="36"/>
      <c r="GV220" s="36"/>
      <c r="GW220" s="36"/>
      <c r="GX220" s="36"/>
      <c r="GY220" s="36"/>
      <c r="GZ220" s="36"/>
      <c r="HA220" s="36"/>
      <c r="HB220" s="36"/>
      <c r="HC220" s="36"/>
      <c r="HD220" s="36"/>
      <c r="HE220" s="36"/>
      <c r="HF220" s="36"/>
      <c r="HG220" s="36"/>
      <c r="HH220" s="36"/>
      <c r="HI220" s="36"/>
      <c r="HJ220" s="36"/>
      <c r="HK220" s="36"/>
      <c r="HL220" s="36"/>
      <c r="HM220" s="36"/>
      <c r="HN220" s="36"/>
      <c r="HO220" s="36"/>
      <c r="HP220" s="36"/>
      <c r="HQ220" s="36"/>
      <c r="HR220" s="36"/>
      <c r="HS220" s="36"/>
      <c r="HT220" s="36"/>
      <c r="HU220" s="36"/>
      <c r="HV220" s="36"/>
      <c r="HW220" s="36"/>
      <c r="HX220" s="36"/>
      <c r="HY220" s="36"/>
      <c r="HZ220" s="36"/>
      <c r="IA220" s="36"/>
      <c r="IB220" s="36"/>
      <c r="IC220" s="36"/>
      <c r="ID220" s="36"/>
      <c r="IE220" s="36"/>
      <c r="IF220" s="36"/>
      <c r="IG220" s="36"/>
      <c r="IH220" s="36"/>
      <c r="II220" s="36"/>
      <c r="IJ220" s="36"/>
      <c r="IK220" s="36"/>
      <c r="IL220" s="36"/>
      <c r="IM220" s="36"/>
      <c r="IN220" s="36"/>
      <c r="IO220" s="36"/>
      <c r="IP220" s="36"/>
      <c r="IQ220" s="36"/>
      <c r="IR220" s="36"/>
      <c r="IS220" s="36"/>
      <c r="IT220" s="36"/>
      <c r="IU220" s="36"/>
      <c r="IV220" s="36"/>
      <c r="IW220" s="36"/>
      <c r="IX220" s="36"/>
      <c r="IY220" s="36"/>
      <c r="IZ220" s="36"/>
      <c r="JA220" s="36"/>
      <c r="JB220" s="36"/>
    </row>
    <row r="221" spans="1:262" s="9" customFormat="1" ht="12.6" customHeight="1">
      <c r="A221" s="327">
        <v>43</v>
      </c>
      <c r="B221" s="8" t="s">
        <v>255</v>
      </c>
      <c r="C221" s="60">
        <f t="shared" si="202"/>
        <v>100</v>
      </c>
      <c r="D221" s="380">
        <f>'Unos rashoda i izdataka'!L55</f>
        <v>100</v>
      </c>
      <c r="E221" s="380"/>
      <c r="F221" s="380"/>
      <c r="G221" s="380"/>
      <c r="H221" s="380"/>
      <c r="I221" s="380"/>
      <c r="J221" s="380"/>
      <c r="K221" s="380"/>
      <c r="L221" s="380"/>
      <c r="M221" s="380"/>
      <c r="N221" s="380"/>
      <c r="O221" s="380"/>
      <c r="P221" s="380"/>
      <c r="Q221" s="380"/>
      <c r="R221" s="380"/>
      <c r="S221" s="380"/>
      <c r="T221" s="380"/>
      <c r="U221" s="380"/>
      <c r="V221" s="380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  <c r="GE221" s="33"/>
      <c r="GF221" s="33"/>
      <c r="GG221" s="33"/>
      <c r="GH221" s="33"/>
      <c r="GI221" s="33"/>
      <c r="GJ221" s="33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  <c r="IO221" s="34"/>
      <c r="IP221" s="34"/>
      <c r="IQ221" s="34"/>
      <c r="IR221" s="34"/>
      <c r="IS221" s="34"/>
      <c r="IT221" s="34"/>
      <c r="IU221" s="34"/>
      <c r="IV221" s="34"/>
      <c r="IW221" s="34"/>
      <c r="IX221" s="34"/>
      <c r="IY221" s="34"/>
      <c r="IZ221" s="34"/>
      <c r="JA221" s="34"/>
      <c r="JB221" s="34"/>
    </row>
    <row r="222" spans="1:262" s="9" customFormat="1" ht="12.6" customHeight="1">
      <c r="A222" s="327">
        <v>44</v>
      </c>
      <c r="B222" s="8" t="s">
        <v>256</v>
      </c>
      <c r="C222" s="60">
        <f t="shared" si="202"/>
        <v>0</v>
      </c>
      <c r="D222" s="380">
        <v>0</v>
      </c>
      <c r="E222" s="380"/>
      <c r="F222" s="380"/>
      <c r="G222" s="380"/>
      <c r="H222" s="380"/>
      <c r="I222" s="380"/>
      <c r="J222" s="380"/>
      <c r="K222" s="380"/>
      <c r="L222" s="380"/>
      <c r="M222" s="380"/>
      <c r="N222" s="380"/>
      <c r="O222" s="380"/>
      <c r="P222" s="380"/>
      <c r="Q222" s="380"/>
      <c r="R222" s="380"/>
      <c r="S222" s="380"/>
      <c r="T222" s="380"/>
      <c r="U222" s="380"/>
      <c r="V222" s="380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  <c r="GE222" s="33"/>
      <c r="GF222" s="33"/>
      <c r="GG222" s="33"/>
      <c r="GH222" s="33"/>
      <c r="GI222" s="33"/>
      <c r="GJ222" s="33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/>
      <c r="HH222" s="34"/>
      <c r="HI222" s="34"/>
      <c r="HJ222" s="34"/>
      <c r="HK222" s="34"/>
      <c r="HL222" s="34"/>
      <c r="HM222" s="34"/>
      <c r="HN222" s="34"/>
      <c r="HO222" s="34"/>
      <c r="HP222" s="34"/>
      <c r="HQ222" s="34"/>
      <c r="HR222" s="34"/>
      <c r="HS222" s="34"/>
      <c r="HT222" s="34"/>
      <c r="HU222" s="34"/>
      <c r="HV222" s="34"/>
      <c r="HW222" s="34"/>
      <c r="HX222" s="34"/>
      <c r="HY222" s="34"/>
      <c r="HZ222" s="34"/>
      <c r="IA222" s="34"/>
      <c r="IB222" s="34"/>
      <c r="IC222" s="34"/>
      <c r="ID222" s="34"/>
      <c r="IE222" s="34"/>
      <c r="IF222" s="34"/>
      <c r="IG222" s="34"/>
      <c r="IH222" s="34"/>
      <c r="II222" s="34"/>
      <c r="IJ222" s="34"/>
      <c r="IK222" s="34"/>
      <c r="IL222" s="34"/>
      <c r="IM222" s="34"/>
      <c r="IN222" s="34"/>
      <c r="IO222" s="34"/>
      <c r="IP222" s="34"/>
      <c r="IQ222" s="34"/>
      <c r="IR222" s="34"/>
      <c r="IS222" s="34"/>
      <c r="IT222" s="34"/>
      <c r="IU222" s="34"/>
      <c r="IV222" s="34"/>
      <c r="IW222" s="34"/>
      <c r="IX222" s="34"/>
      <c r="IY222" s="34"/>
      <c r="IZ222" s="34"/>
      <c r="JA222" s="34"/>
      <c r="JB222" s="34"/>
    </row>
    <row r="223" spans="1:262" s="13" customFormat="1" ht="12.6" customHeight="1">
      <c r="A223" s="328">
        <v>45</v>
      </c>
      <c r="B223" s="10" t="s">
        <v>204</v>
      </c>
      <c r="C223" s="60">
        <f t="shared" si="202"/>
        <v>5100</v>
      </c>
      <c r="D223" s="380">
        <f>'Unos rashoda i izdataka'!L56</f>
        <v>5000</v>
      </c>
      <c r="E223" s="380"/>
      <c r="F223" s="380"/>
      <c r="G223" s="380"/>
      <c r="H223" s="380">
        <f>'Unos rashoda i izdataka'!L104</f>
        <v>100</v>
      </c>
      <c r="I223" s="380"/>
      <c r="J223" s="380"/>
      <c r="K223" s="380"/>
      <c r="L223" s="380"/>
      <c r="M223" s="380"/>
      <c r="N223" s="380"/>
      <c r="O223" s="380"/>
      <c r="P223" s="380"/>
      <c r="Q223" s="380"/>
      <c r="R223" s="380"/>
      <c r="S223" s="380"/>
      <c r="T223" s="380"/>
      <c r="U223" s="380"/>
      <c r="V223" s="380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6"/>
      <c r="GL223" s="36"/>
      <c r="GM223" s="36"/>
      <c r="GN223" s="36"/>
      <c r="GO223" s="36"/>
      <c r="GP223" s="36"/>
      <c r="GQ223" s="36"/>
      <c r="GR223" s="36"/>
      <c r="GS223" s="36"/>
      <c r="GT223" s="36"/>
      <c r="GU223" s="36"/>
      <c r="GV223" s="36"/>
      <c r="GW223" s="36"/>
      <c r="GX223" s="36"/>
      <c r="GY223" s="36"/>
      <c r="GZ223" s="36"/>
      <c r="HA223" s="36"/>
      <c r="HB223" s="36"/>
      <c r="HC223" s="36"/>
      <c r="HD223" s="36"/>
      <c r="HE223" s="36"/>
      <c r="HF223" s="36"/>
      <c r="HG223" s="36"/>
      <c r="HH223" s="36"/>
      <c r="HI223" s="36"/>
      <c r="HJ223" s="36"/>
      <c r="HK223" s="36"/>
      <c r="HL223" s="36"/>
      <c r="HM223" s="36"/>
      <c r="HN223" s="36"/>
      <c r="HO223" s="36"/>
      <c r="HP223" s="36"/>
      <c r="HQ223" s="36"/>
      <c r="HR223" s="36"/>
      <c r="HS223" s="36"/>
      <c r="HT223" s="36"/>
      <c r="HU223" s="36"/>
      <c r="HV223" s="36"/>
      <c r="HW223" s="36"/>
      <c r="HX223" s="36"/>
      <c r="HY223" s="36"/>
      <c r="HZ223" s="36"/>
      <c r="IA223" s="36"/>
      <c r="IB223" s="36"/>
      <c r="IC223" s="36"/>
      <c r="ID223" s="36"/>
      <c r="IE223" s="36"/>
      <c r="IF223" s="36"/>
      <c r="IG223" s="36"/>
      <c r="IH223" s="36"/>
      <c r="II223" s="36"/>
      <c r="IJ223" s="36"/>
      <c r="IK223" s="36"/>
      <c r="IL223" s="36"/>
      <c r="IM223" s="36"/>
      <c r="IN223" s="36"/>
      <c r="IO223" s="36"/>
      <c r="IP223" s="36"/>
      <c r="IQ223" s="36"/>
      <c r="IR223" s="36"/>
      <c r="IS223" s="36"/>
      <c r="IT223" s="36"/>
      <c r="IU223" s="36"/>
      <c r="IV223" s="36"/>
      <c r="IW223" s="36"/>
      <c r="IX223" s="36"/>
      <c r="IY223" s="36"/>
      <c r="IZ223" s="36"/>
      <c r="JA223" s="36"/>
      <c r="JB223" s="36"/>
    </row>
    <row r="224" spans="1:262" s="28" customFormat="1">
      <c r="A224" s="330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330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330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330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330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330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330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  <row r="3656" spans="1:262" s="28" customFormat="1">
      <c r="A3656" s="29"/>
      <c r="B3656" s="29"/>
      <c r="C3656" s="29"/>
      <c r="D3656" s="29"/>
      <c r="E3656" s="29"/>
      <c r="F3656" s="29"/>
      <c r="G3656" s="29"/>
      <c r="H3656" s="29"/>
      <c r="I3656" s="29"/>
      <c r="J3656" s="29"/>
      <c r="K3656" s="29"/>
      <c r="L3656" s="29"/>
      <c r="M3656" s="29"/>
      <c r="N3656" s="29"/>
      <c r="O3656" s="29"/>
      <c r="P3656" s="29"/>
      <c r="Q3656" s="29"/>
      <c r="R3656" s="29"/>
      <c r="S3656" s="29"/>
      <c r="T3656" s="29"/>
      <c r="U3656" s="29"/>
      <c r="V3656" s="29"/>
      <c r="GK3656" s="29"/>
      <c r="GL3656" s="29"/>
      <c r="GM3656" s="29"/>
      <c r="GN3656" s="29"/>
      <c r="GO3656" s="29"/>
      <c r="GP3656" s="29"/>
      <c r="GQ3656" s="29"/>
      <c r="GR3656" s="29"/>
      <c r="GS3656" s="29"/>
      <c r="GT3656" s="29"/>
      <c r="GU3656" s="29"/>
      <c r="GV3656" s="29"/>
      <c r="GW3656" s="29"/>
      <c r="GX3656" s="29"/>
      <c r="GY3656" s="29"/>
      <c r="GZ3656" s="29"/>
      <c r="HA3656" s="29"/>
      <c r="HB3656" s="29"/>
      <c r="HC3656" s="29"/>
      <c r="HD3656" s="29"/>
      <c r="HE3656" s="29"/>
      <c r="HF3656" s="29"/>
      <c r="HG3656" s="29"/>
      <c r="HH3656" s="29"/>
      <c r="HI3656" s="29"/>
      <c r="HJ3656" s="29"/>
      <c r="HK3656" s="29"/>
      <c r="HL3656" s="29"/>
      <c r="HM3656" s="29"/>
      <c r="HN3656" s="29"/>
      <c r="HO3656" s="29"/>
      <c r="HP3656" s="29"/>
      <c r="HQ3656" s="29"/>
      <c r="HR3656" s="29"/>
      <c r="HS3656" s="29"/>
      <c r="HT3656" s="29"/>
      <c r="HU3656" s="29"/>
      <c r="HV3656" s="29"/>
      <c r="HW3656" s="29"/>
      <c r="HX3656" s="29"/>
      <c r="HY3656" s="29"/>
      <c r="HZ3656" s="29"/>
      <c r="IA3656" s="29"/>
      <c r="IB3656" s="29"/>
      <c r="IC3656" s="29"/>
      <c r="ID3656" s="29"/>
      <c r="IE3656" s="29"/>
      <c r="IF3656" s="29"/>
      <c r="IG3656" s="29"/>
      <c r="IH3656" s="29"/>
      <c r="II3656" s="29"/>
      <c r="IJ3656" s="29"/>
      <c r="IK3656" s="29"/>
      <c r="IL3656" s="29"/>
      <c r="IM3656" s="29"/>
      <c r="IN3656" s="29"/>
      <c r="IO3656" s="29"/>
      <c r="IP3656" s="29"/>
      <c r="IQ3656" s="29"/>
      <c r="IR3656" s="29"/>
      <c r="IS3656" s="29"/>
      <c r="IT3656" s="29"/>
      <c r="IU3656" s="29"/>
      <c r="IV3656" s="29"/>
      <c r="IW3656" s="29"/>
      <c r="IX3656" s="29"/>
      <c r="IY3656" s="29"/>
      <c r="IZ3656" s="29"/>
      <c r="JA3656" s="29"/>
      <c r="JB3656" s="29"/>
    </row>
    <row r="3657" spans="1:262" s="28" customFormat="1">
      <c r="A3657" s="29"/>
      <c r="B3657" s="29"/>
      <c r="C3657" s="29"/>
      <c r="D3657" s="29"/>
      <c r="E3657" s="29"/>
      <c r="F3657" s="29"/>
      <c r="G3657" s="29"/>
      <c r="H3657" s="29"/>
      <c r="I3657" s="29"/>
      <c r="J3657" s="29"/>
      <c r="K3657" s="29"/>
      <c r="L3657" s="29"/>
      <c r="M3657" s="29"/>
      <c r="N3657" s="29"/>
      <c r="O3657" s="29"/>
      <c r="P3657" s="29"/>
      <c r="Q3657" s="29"/>
      <c r="R3657" s="29"/>
      <c r="S3657" s="29"/>
      <c r="T3657" s="29"/>
      <c r="U3657" s="29"/>
      <c r="V3657" s="29"/>
      <c r="GK3657" s="29"/>
      <c r="GL3657" s="29"/>
      <c r="GM3657" s="29"/>
      <c r="GN3657" s="29"/>
      <c r="GO3657" s="29"/>
      <c r="GP3657" s="29"/>
      <c r="GQ3657" s="29"/>
      <c r="GR3657" s="29"/>
      <c r="GS3657" s="29"/>
      <c r="GT3657" s="29"/>
      <c r="GU3657" s="29"/>
      <c r="GV3657" s="29"/>
      <c r="GW3657" s="29"/>
      <c r="GX3657" s="29"/>
      <c r="GY3657" s="29"/>
      <c r="GZ3657" s="29"/>
      <c r="HA3657" s="29"/>
      <c r="HB3657" s="29"/>
      <c r="HC3657" s="29"/>
      <c r="HD3657" s="29"/>
      <c r="HE3657" s="29"/>
      <c r="HF3657" s="29"/>
      <c r="HG3657" s="29"/>
      <c r="HH3657" s="29"/>
      <c r="HI3657" s="29"/>
      <c r="HJ3657" s="29"/>
      <c r="HK3657" s="29"/>
      <c r="HL3657" s="29"/>
      <c r="HM3657" s="29"/>
      <c r="HN3657" s="29"/>
      <c r="HO3657" s="29"/>
      <c r="HP3657" s="29"/>
      <c r="HQ3657" s="29"/>
      <c r="HR3657" s="29"/>
      <c r="HS3657" s="29"/>
      <c r="HT3657" s="29"/>
      <c r="HU3657" s="29"/>
      <c r="HV3657" s="29"/>
      <c r="HW3657" s="29"/>
      <c r="HX3657" s="29"/>
      <c r="HY3657" s="29"/>
      <c r="HZ3657" s="29"/>
      <c r="IA3657" s="29"/>
      <c r="IB3657" s="29"/>
      <c r="IC3657" s="29"/>
      <c r="ID3657" s="29"/>
      <c r="IE3657" s="29"/>
      <c r="IF3657" s="29"/>
      <c r="IG3657" s="29"/>
      <c r="IH3657" s="29"/>
      <c r="II3657" s="29"/>
      <c r="IJ3657" s="29"/>
      <c r="IK3657" s="29"/>
      <c r="IL3657" s="29"/>
      <c r="IM3657" s="29"/>
      <c r="IN3657" s="29"/>
      <c r="IO3657" s="29"/>
      <c r="IP3657" s="29"/>
      <c r="IQ3657" s="29"/>
      <c r="IR3657" s="29"/>
      <c r="IS3657" s="29"/>
      <c r="IT3657" s="29"/>
      <c r="IU3657" s="29"/>
      <c r="IV3657" s="29"/>
      <c r="IW3657" s="29"/>
      <c r="IX3657" s="29"/>
      <c r="IY3657" s="29"/>
      <c r="IZ3657" s="29"/>
      <c r="JA3657" s="29"/>
      <c r="JB3657" s="29"/>
    </row>
    <row r="3658" spans="1:262" s="28" customFormat="1">
      <c r="A3658" s="29"/>
      <c r="B3658" s="29"/>
      <c r="C3658" s="29"/>
      <c r="D3658" s="29"/>
      <c r="E3658" s="29"/>
      <c r="F3658" s="29"/>
      <c r="G3658" s="29"/>
      <c r="H3658" s="29"/>
      <c r="I3658" s="29"/>
      <c r="J3658" s="29"/>
      <c r="K3658" s="29"/>
      <c r="L3658" s="29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GK3658" s="29"/>
      <c r="GL3658" s="29"/>
      <c r="GM3658" s="29"/>
      <c r="GN3658" s="29"/>
      <c r="GO3658" s="29"/>
      <c r="GP3658" s="29"/>
      <c r="GQ3658" s="29"/>
      <c r="GR3658" s="29"/>
      <c r="GS3658" s="29"/>
      <c r="GT3658" s="29"/>
      <c r="GU3658" s="29"/>
      <c r="GV3658" s="29"/>
      <c r="GW3658" s="29"/>
      <c r="GX3658" s="29"/>
      <c r="GY3658" s="29"/>
      <c r="GZ3658" s="29"/>
      <c r="HA3658" s="29"/>
      <c r="HB3658" s="29"/>
      <c r="HC3658" s="29"/>
      <c r="HD3658" s="29"/>
      <c r="HE3658" s="29"/>
      <c r="HF3658" s="29"/>
      <c r="HG3658" s="29"/>
      <c r="HH3658" s="29"/>
      <c r="HI3658" s="29"/>
      <c r="HJ3658" s="29"/>
      <c r="HK3658" s="29"/>
      <c r="HL3658" s="29"/>
      <c r="HM3658" s="29"/>
      <c r="HN3658" s="29"/>
      <c r="HO3658" s="29"/>
      <c r="HP3658" s="29"/>
      <c r="HQ3658" s="29"/>
      <c r="HR3658" s="29"/>
      <c r="HS3658" s="29"/>
      <c r="HT3658" s="29"/>
      <c r="HU3658" s="29"/>
      <c r="HV3658" s="29"/>
      <c r="HW3658" s="29"/>
      <c r="HX3658" s="29"/>
      <c r="HY3658" s="29"/>
      <c r="HZ3658" s="29"/>
      <c r="IA3658" s="29"/>
      <c r="IB3658" s="29"/>
      <c r="IC3658" s="29"/>
      <c r="ID3658" s="29"/>
      <c r="IE3658" s="29"/>
      <c r="IF3658" s="29"/>
      <c r="IG3658" s="29"/>
      <c r="IH3658" s="29"/>
      <c r="II3658" s="29"/>
      <c r="IJ3658" s="29"/>
      <c r="IK3658" s="29"/>
      <c r="IL3658" s="29"/>
      <c r="IM3658" s="29"/>
      <c r="IN3658" s="29"/>
      <c r="IO3658" s="29"/>
      <c r="IP3658" s="29"/>
      <c r="IQ3658" s="29"/>
      <c r="IR3658" s="29"/>
      <c r="IS3658" s="29"/>
      <c r="IT3658" s="29"/>
      <c r="IU3658" s="29"/>
      <c r="IV3658" s="29"/>
      <c r="IW3658" s="29"/>
      <c r="IX3658" s="29"/>
      <c r="IY3658" s="29"/>
      <c r="IZ3658" s="29"/>
      <c r="JA3658" s="29"/>
      <c r="JB3658" s="29"/>
    </row>
    <row r="3659" spans="1:262" s="28" customFormat="1">
      <c r="A3659" s="29"/>
      <c r="B3659" s="29"/>
      <c r="C3659" s="29"/>
      <c r="D3659" s="29"/>
      <c r="E3659" s="29"/>
      <c r="F3659" s="29"/>
      <c r="G3659" s="29"/>
      <c r="H3659" s="29"/>
      <c r="I3659" s="29"/>
      <c r="J3659" s="29"/>
      <c r="K3659" s="29"/>
      <c r="L3659" s="29"/>
      <c r="M3659" s="29"/>
      <c r="N3659" s="29"/>
      <c r="O3659" s="29"/>
      <c r="P3659" s="29"/>
      <c r="Q3659" s="29"/>
      <c r="R3659" s="29"/>
      <c r="S3659" s="29"/>
      <c r="T3659" s="29"/>
      <c r="U3659" s="29"/>
      <c r="V3659" s="29"/>
      <c r="GK3659" s="29"/>
      <c r="GL3659" s="29"/>
      <c r="GM3659" s="29"/>
      <c r="GN3659" s="29"/>
      <c r="GO3659" s="29"/>
      <c r="GP3659" s="29"/>
      <c r="GQ3659" s="29"/>
      <c r="GR3659" s="29"/>
      <c r="GS3659" s="29"/>
      <c r="GT3659" s="29"/>
      <c r="GU3659" s="29"/>
      <c r="GV3659" s="29"/>
      <c r="GW3659" s="29"/>
      <c r="GX3659" s="29"/>
      <c r="GY3659" s="29"/>
      <c r="GZ3659" s="29"/>
      <c r="HA3659" s="29"/>
      <c r="HB3659" s="29"/>
      <c r="HC3659" s="29"/>
      <c r="HD3659" s="29"/>
      <c r="HE3659" s="29"/>
      <c r="HF3659" s="29"/>
      <c r="HG3659" s="29"/>
      <c r="HH3659" s="29"/>
      <c r="HI3659" s="29"/>
      <c r="HJ3659" s="29"/>
      <c r="HK3659" s="29"/>
      <c r="HL3659" s="29"/>
      <c r="HM3659" s="29"/>
      <c r="HN3659" s="29"/>
      <c r="HO3659" s="29"/>
      <c r="HP3659" s="29"/>
      <c r="HQ3659" s="29"/>
      <c r="HR3659" s="29"/>
      <c r="HS3659" s="29"/>
      <c r="HT3659" s="29"/>
      <c r="HU3659" s="29"/>
      <c r="HV3659" s="29"/>
      <c r="HW3659" s="29"/>
      <c r="HX3659" s="29"/>
      <c r="HY3659" s="29"/>
      <c r="HZ3659" s="29"/>
      <c r="IA3659" s="29"/>
      <c r="IB3659" s="29"/>
      <c r="IC3659" s="29"/>
      <c r="ID3659" s="29"/>
      <c r="IE3659" s="29"/>
      <c r="IF3659" s="29"/>
      <c r="IG3659" s="29"/>
      <c r="IH3659" s="29"/>
      <c r="II3659" s="29"/>
      <c r="IJ3659" s="29"/>
      <c r="IK3659" s="29"/>
      <c r="IL3659" s="29"/>
      <c r="IM3659" s="29"/>
      <c r="IN3659" s="29"/>
      <c r="IO3659" s="29"/>
      <c r="IP3659" s="29"/>
      <c r="IQ3659" s="29"/>
      <c r="IR3659" s="29"/>
      <c r="IS3659" s="29"/>
      <c r="IT3659" s="29"/>
      <c r="IU3659" s="29"/>
      <c r="IV3659" s="29"/>
      <c r="IW3659" s="29"/>
      <c r="IX3659" s="29"/>
      <c r="IY3659" s="29"/>
      <c r="IZ3659" s="29"/>
      <c r="JA3659" s="29"/>
      <c r="JB3659" s="29"/>
    </row>
    <row r="3660" spans="1:262" s="28" customFormat="1">
      <c r="A3660" s="29"/>
      <c r="B3660" s="29"/>
      <c r="C3660" s="29"/>
      <c r="D3660" s="29"/>
      <c r="E3660" s="29"/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GK3660" s="29"/>
      <c r="GL3660" s="29"/>
      <c r="GM3660" s="29"/>
      <c r="GN3660" s="29"/>
      <c r="GO3660" s="29"/>
      <c r="GP3660" s="29"/>
      <c r="GQ3660" s="29"/>
      <c r="GR3660" s="29"/>
      <c r="GS3660" s="29"/>
      <c r="GT3660" s="29"/>
      <c r="GU3660" s="29"/>
      <c r="GV3660" s="29"/>
      <c r="GW3660" s="29"/>
      <c r="GX3660" s="29"/>
      <c r="GY3660" s="29"/>
      <c r="GZ3660" s="29"/>
      <c r="HA3660" s="29"/>
      <c r="HB3660" s="29"/>
      <c r="HC3660" s="29"/>
      <c r="HD3660" s="29"/>
      <c r="HE3660" s="29"/>
      <c r="HF3660" s="29"/>
      <c r="HG3660" s="29"/>
      <c r="HH3660" s="29"/>
      <c r="HI3660" s="29"/>
      <c r="HJ3660" s="29"/>
      <c r="HK3660" s="29"/>
      <c r="HL3660" s="29"/>
      <c r="HM3660" s="29"/>
      <c r="HN3660" s="29"/>
      <c r="HO3660" s="29"/>
      <c r="HP3660" s="29"/>
      <c r="HQ3660" s="29"/>
      <c r="HR3660" s="29"/>
      <c r="HS3660" s="29"/>
      <c r="HT3660" s="29"/>
      <c r="HU3660" s="29"/>
      <c r="HV3660" s="29"/>
      <c r="HW3660" s="29"/>
      <c r="HX3660" s="29"/>
      <c r="HY3660" s="29"/>
      <c r="HZ3660" s="29"/>
      <c r="IA3660" s="29"/>
      <c r="IB3660" s="29"/>
      <c r="IC3660" s="29"/>
      <c r="ID3660" s="29"/>
      <c r="IE3660" s="29"/>
      <c r="IF3660" s="29"/>
      <c r="IG3660" s="29"/>
      <c r="IH3660" s="29"/>
      <c r="II3660" s="29"/>
      <c r="IJ3660" s="29"/>
      <c r="IK3660" s="29"/>
      <c r="IL3660" s="29"/>
      <c r="IM3660" s="29"/>
      <c r="IN3660" s="29"/>
      <c r="IO3660" s="29"/>
      <c r="IP3660" s="29"/>
      <c r="IQ3660" s="29"/>
      <c r="IR3660" s="29"/>
      <c r="IS3660" s="29"/>
      <c r="IT3660" s="29"/>
      <c r="IU3660" s="29"/>
      <c r="IV3660" s="29"/>
      <c r="IW3660" s="29"/>
      <c r="IX3660" s="29"/>
      <c r="IY3660" s="29"/>
      <c r="IZ3660" s="29"/>
      <c r="JA3660" s="29"/>
      <c r="JB3660" s="29"/>
    </row>
    <row r="3661" spans="1:262" s="28" customFormat="1">
      <c r="A3661" s="29"/>
      <c r="B3661" s="29"/>
      <c r="C3661" s="29"/>
      <c r="D3661" s="29"/>
      <c r="E3661" s="29"/>
      <c r="F3661" s="29"/>
      <c r="G3661" s="29"/>
      <c r="H3661" s="29"/>
      <c r="I3661" s="29"/>
      <c r="J3661" s="29"/>
      <c r="K3661" s="29"/>
      <c r="L3661" s="29"/>
      <c r="M3661" s="29"/>
      <c r="N3661" s="29"/>
      <c r="O3661" s="29"/>
      <c r="P3661" s="29"/>
      <c r="Q3661" s="29"/>
      <c r="R3661" s="29"/>
      <c r="S3661" s="29"/>
      <c r="T3661" s="29"/>
      <c r="U3661" s="29"/>
      <c r="V3661" s="29"/>
      <c r="GK3661" s="29"/>
      <c r="GL3661" s="29"/>
      <c r="GM3661" s="29"/>
      <c r="GN3661" s="29"/>
      <c r="GO3661" s="29"/>
      <c r="GP3661" s="29"/>
      <c r="GQ3661" s="29"/>
      <c r="GR3661" s="29"/>
      <c r="GS3661" s="29"/>
      <c r="GT3661" s="29"/>
      <c r="GU3661" s="29"/>
      <c r="GV3661" s="29"/>
      <c r="GW3661" s="29"/>
      <c r="GX3661" s="29"/>
      <c r="GY3661" s="29"/>
      <c r="GZ3661" s="29"/>
      <c r="HA3661" s="29"/>
      <c r="HB3661" s="29"/>
      <c r="HC3661" s="29"/>
      <c r="HD3661" s="29"/>
      <c r="HE3661" s="29"/>
      <c r="HF3661" s="29"/>
      <c r="HG3661" s="29"/>
      <c r="HH3661" s="29"/>
      <c r="HI3661" s="29"/>
      <c r="HJ3661" s="29"/>
      <c r="HK3661" s="29"/>
      <c r="HL3661" s="29"/>
      <c r="HM3661" s="29"/>
      <c r="HN3661" s="29"/>
      <c r="HO3661" s="29"/>
      <c r="HP3661" s="29"/>
      <c r="HQ3661" s="29"/>
      <c r="HR3661" s="29"/>
      <c r="HS3661" s="29"/>
      <c r="HT3661" s="29"/>
      <c r="HU3661" s="29"/>
      <c r="HV3661" s="29"/>
      <c r="HW3661" s="29"/>
      <c r="HX3661" s="29"/>
      <c r="HY3661" s="29"/>
      <c r="HZ3661" s="29"/>
      <c r="IA3661" s="29"/>
      <c r="IB3661" s="29"/>
      <c r="IC3661" s="29"/>
      <c r="ID3661" s="29"/>
      <c r="IE3661" s="29"/>
      <c r="IF3661" s="29"/>
      <c r="IG3661" s="29"/>
      <c r="IH3661" s="29"/>
      <c r="II3661" s="29"/>
      <c r="IJ3661" s="29"/>
      <c r="IK3661" s="29"/>
      <c r="IL3661" s="29"/>
      <c r="IM3661" s="29"/>
      <c r="IN3661" s="29"/>
      <c r="IO3661" s="29"/>
      <c r="IP3661" s="29"/>
      <c r="IQ3661" s="29"/>
      <c r="IR3661" s="29"/>
      <c r="IS3661" s="29"/>
      <c r="IT3661" s="29"/>
      <c r="IU3661" s="29"/>
      <c r="IV3661" s="29"/>
      <c r="IW3661" s="29"/>
      <c r="IX3661" s="29"/>
      <c r="IY3661" s="29"/>
      <c r="IZ3661" s="29"/>
      <c r="JA3661" s="29"/>
      <c r="JB3661" s="29"/>
    </row>
    <row r="3662" spans="1:262" s="28" customFormat="1">
      <c r="A3662" s="29"/>
      <c r="B3662" s="29"/>
      <c r="C3662" s="29"/>
      <c r="D3662" s="29"/>
      <c r="E3662" s="29"/>
      <c r="F3662" s="29"/>
      <c r="G3662" s="29"/>
      <c r="H3662" s="29"/>
      <c r="I3662" s="29"/>
      <c r="J3662" s="29"/>
      <c r="K3662" s="29"/>
      <c r="L3662" s="29"/>
      <c r="M3662" s="29"/>
      <c r="N3662" s="29"/>
      <c r="O3662" s="29"/>
      <c r="P3662" s="29"/>
      <c r="Q3662" s="29"/>
      <c r="R3662" s="29"/>
      <c r="S3662" s="29"/>
      <c r="T3662" s="29"/>
      <c r="U3662" s="29"/>
      <c r="V3662" s="29"/>
      <c r="GK3662" s="29"/>
      <c r="GL3662" s="29"/>
      <c r="GM3662" s="29"/>
      <c r="GN3662" s="29"/>
      <c r="GO3662" s="29"/>
      <c r="GP3662" s="29"/>
      <c r="GQ3662" s="29"/>
      <c r="GR3662" s="29"/>
      <c r="GS3662" s="29"/>
      <c r="GT3662" s="29"/>
      <c r="GU3662" s="29"/>
      <c r="GV3662" s="29"/>
      <c r="GW3662" s="29"/>
      <c r="GX3662" s="29"/>
      <c r="GY3662" s="29"/>
      <c r="GZ3662" s="29"/>
      <c r="HA3662" s="29"/>
      <c r="HB3662" s="29"/>
      <c r="HC3662" s="29"/>
      <c r="HD3662" s="29"/>
      <c r="HE3662" s="29"/>
      <c r="HF3662" s="29"/>
      <c r="HG3662" s="29"/>
      <c r="HH3662" s="29"/>
      <c r="HI3662" s="29"/>
      <c r="HJ3662" s="29"/>
      <c r="HK3662" s="29"/>
      <c r="HL3662" s="29"/>
      <c r="HM3662" s="29"/>
      <c r="HN3662" s="29"/>
      <c r="HO3662" s="29"/>
      <c r="HP3662" s="29"/>
      <c r="HQ3662" s="29"/>
      <c r="HR3662" s="29"/>
      <c r="HS3662" s="29"/>
      <c r="HT3662" s="29"/>
      <c r="HU3662" s="29"/>
      <c r="HV3662" s="29"/>
      <c r="HW3662" s="29"/>
      <c r="HX3662" s="29"/>
      <c r="HY3662" s="29"/>
      <c r="HZ3662" s="29"/>
      <c r="IA3662" s="29"/>
      <c r="IB3662" s="29"/>
      <c r="IC3662" s="29"/>
      <c r="ID3662" s="29"/>
      <c r="IE3662" s="29"/>
      <c r="IF3662" s="29"/>
      <c r="IG3662" s="29"/>
      <c r="IH3662" s="29"/>
      <c r="II3662" s="29"/>
      <c r="IJ3662" s="29"/>
      <c r="IK3662" s="29"/>
      <c r="IL3662" s="29"/>
      <c r="IM3662" s="29"/>
      <c r="IN3662" s="29"/>
      <c r="IO3662" s="29"/>
      <c r="IP3662" s="29"/>
      <c r="IQ3662" s="29"/>
      <c r="IR3662" s="29"/>
      <c r="IS3662" s="29"/>
      <c r="IT3662" s="29"/>
      <c r="IU3662" s="29"/>
      <c r="IV3662" s="29"/>
      <c r="IW3662" s="29"/>
      <c r="IX3662" s="29"/>
      <c r="IY3662" s="29"/>
      <c r="IZ3662" s="29"/>
      <c r="JA3662" s="29"/>
      <c r="JB3662" s="29"/>
    </row>
    <row r="3663" spans="1:262" s="28" customFormat="1">
      <c r="A3663" s="29"/>
      <c r="B3663" s="29"/>
      <c r="C3663" s="29"/>
      <c r="D3663" s="29"/>
      <c r="E3663" s="29"/>
      <c r="F3663" s="29"/>
      <c r="G3663" s="29"/>
      <c r="H3663" s="29"/>
      <c r="I3663" s="29"/>
      <c r="J3663" s="29"/>
      <c r="K3663" s="29"/>
      <c r="L3663" s="29"/>
      <c r="M3663" s="29"/>
      <c r="N3663" s="29"/>
      <c r="O3663" s="29"/>
      <c r="P3663" s="29"/>
      <c r="Q3663" s="29"/>
      <c r="R3663" s="29"/>
      <c r="S3663" s="29"/>
      <c r="T3663" s="29"/>
      <c r="U3663" s="29"/>
      <c r="V3663" s="29"/>
      <c r="GK3663" s="29"/>
      <c r="GL3663" s="29"/>
      <c r="GM3663" s="29"/>
      <c r="GN3663" s="29"/>
      <c r="GO3663" s="29"/>
      <c r="GP3663" s="29"/>
      <c r="GQ3663" s="29"/>
      <c r="GR3663" s="29"/>
      <c r="GS3663" s="29"/>
      <c r="GT3663" s="29"/>
      <c r="GU3663" s="29"/>
      <c r="GV3663" s="29"/>
      <c r="GW3663" s="29"/>
      <c r="GX3663" s="29"/>
      <c r="GY3663" s="29"/>
      <c r="GZ3663" s="29"/>
      <c r="HA3663" s="29"/>
      <c r="HB3663" s="29"/>
      <c r="HC3663" s="29"/>
      <c r="HD3663" s="29"/>
      <c r="HE3663" s="29"/>
      <c r="HF3663" s="29"/>
      <c r="HG3663" s="29"/>
      <c r="HH3663" s="29"/>
      <c r="HI3663" s="29"/>
      <c r="HJ3663" s="29"/>
      <c r="HK3663" s="29"/>
      <c r="HL3663" s="29"/>
      <c r="HM3663" s="29"/>
      <c r="HN3663" s="29"/>
      <c r="HO3663" s="29"/>
      <c r="HP3663" s="29"/>
      <c r="HQ3663" s="29"/>
      <c r="HR3663" s="29"/>
      <c r="HS3663" s="29"/>
      <c r="HT3663" s="29"/>
      <c r="HU3663" s="29"/>
      <c r="HV3663" s="29"/>
      <c r="HW3663" s="29"/>
      <c r="HX3663" s="29"/>
      <c r="HY3663" s="29"/>
      <c r="HZ3663" s="29"/>
      <c r="IA3663" s="29"/>
      <c r="IB3663" s="29"/>
      <c r="IC3663" s="29"/>
      <c r="ID3663" s="29"/>
      <c r="IE3663" s="29"/>
      <c r="IF3663" s="29"/>
      <c r="IG3663" s="29"/>
      <c r="IH3663" s="29"/>
      <c r="II3663" s="29"/>
      <c r="IJ3663" s="29"/>
      <c r="IK3663" s="29"/>
      <c r="IL3663" s="29"/>
      <c r="IM3663" s="29"/>
      <c r="IN3663" s="29"/>
      <c r="IO3663" s="29"/>
      <c r="IP3663" s="29"/>
      <c r="IQ3663" s="29"/>
      <c r="IR3663" s="29"/>
      <c r="IS3663" s="29"/>
      <c r="IT3663" s="29"/>
      <c r="IU3663" s="29"/>
      <c r="IV3663" s="29"/>
      <c r="IW3663" s="29"/>
      <c r="IX3663" s="29"/>
      <c r="IY3663" s="29"/>
      <c r="IZ3663" s="29"/>
      <c r="JA3663" s="29"/>
      <c r="JB3663" s="29"/>
    </row>
    <row r="3664" spans="1:262" s="28" customFormat="1">
      <c r="A3664" s="29"/>
      <c r="B3664" s="29"/>
      <c r="C3664" s="29"/>
      <c r="D3664" s="29"/>
      <c r="E3664" s="29"/>
      <c r="F3664" s="29"/>
      <c r="G3664" s="29"/>
      <c r="H3664" s="29"/>
      <c r="I3664" s="29"/>
      <c r="J3664" s="29"/>
      <c r="K3664" s="29"/>
      <c r="L3664" s="29"/>
      <c r="M3664" s="29"/>
      <c r="N3664" s="29"/>
      <c r="O3664" s="29"/>
      <c r="P3664" s="29"/>
      <c r="Q3664" s="29"/>
      <c r="R3664" s="29"/>
      <c r="S3664" s="29"/>
      <c r="T3664" s="29"/>
      <c r="U3664" s="29"/>
      <c r="V3664" s="29"/>
      <c r="GK3664" s="29"/>
      <c r="GL3664" s="29"/>
      <c r="GM3664" s="29"/>
      <c r="GN3664" s="29"/>
      <c r="GO3664" s="29"/>
      <c r="GP3664" s="29"/>
      <c r="GQ3664" s="29"/>
      <c r="GR3664" s="29"/>
      <c r="GS3664" s="29"/>
      <c r="GT3664" s="29"/>
      <c r="GU3664" s="29"/>
      <c r="GV3664" s="29"/>
      <c r="GW3664" s="29"/>
      <c r="GX3664" s="29"/>
      <c r="GY3664" s="29"/>
      <c r="GZ3664" s="29"/>
      <c r="HA3664" s="29"/>
      <c r="HB3664" s="29"/>
      <c r="HC3664" s="29"/>
      <c r="HD3664" s="29"/>
      <c r="HE3664" s="29"/>
      <c r="HF3664" s="29"/>
      <c r="HG3664" s="29"/>
      <c r="HH3664" s="29"/>
      <c r="HI3664" s="29"/>
      <c r="HJ3664" s="29"/>
      <c r="HK3664" s="29"/>
      <c r="HL3664" s="29"/>
      <c r="HM3664" s="29"/>
      <c r="HN3664" s="29"/>
      <c r="HO3664" s="29"/>
      <c r="HP3664" s="29"/>
      <c r="HQ3664" s="29"/>
      <c r="HR3664" s="29"/>
      <c r="HS3664" s="29"/>
      <c r="HT3664" s="29"/>
      <c r="HU3664" s="29"/>
      <c r="HV3664" s="29"/>
      <c r="HW3664" s="29"/>
      <c r="HX3664" s="29"/>
      <c r="HY3664" s="29"/>
      <c r="HZ3664" s="29"/>
      <c r="IA3664" s="29"/>
      <c r="IB3664" s="29"/>
      <c r="IC3664" s="29"/>
      <c r="ID3664" s="29"/>
      <c r="IE3664" s="29"/>
      <c r="IF3664" s="29"/>
      <c r="IG3664" s="29"/>
      <c r="IH3664" s="29"/>
      <c r="II3664" s="29"/>
      <c r="IJ3664" s="29"/>
      <c r="IK3664" s="29"/>
      <c r="IL3664" s="29"/>
      <c r="IM3664" s="29"/>
      <c r="IN3664" s="29"/>
      <c r="IO3664" s="29"/>
      <c r="IP3664" s="29"/>
      <c r="IQ3664" s="29"/>
      <c r="IR3664" s="29"/>
      <c r="IS3664" s="29"/>
      <c r="IT3664" s="29"/>
      <c r="IU3664" s="29"/>
      <c r="IV3664" s="29"/>
      <c r="IW3664" s="29"/>
      <c r="IX3664" s="29"/>
      <c r="IY3664" s="29"/>
      <c r="IZ3664" s="29"/>
      <c r="JA3664" s="29"/>
      <c r="JB3664" s="29"/>
    </row>
    <row r="3665" spans="1:262" s="28" customFormat="1">
      <c r="A3665" s="29"/>
      <c r="B3665" s="29"/>
      <c r="C3665" s="29"/>
      <c r="D3665" s="29"/>
      <c r="E3665" s="29"/>
      <c r="F3665" s="29"/>
      <c r="G3665" s="29"/>
      <c r="H3665" s="29"/>
      <c r="I3665" s="29"/>
      <c r="J3665" s="29"/>
      <c r="K3665" s="29"/>
      <c r="L3665" s="29"/>
      <c r="M3665" s="29"/>
      <c r="N3665" s="29"/>
      <c r="O3665" s="29"/>
      <c r="P3665" s="29"/>
      <c r="Q3665" s="29"/>
      <c r="R3665" s="29"/>
      <c r="S3665" s="29"/>
      <c r="T3665" s="29"/>
      <c r="U3665" s="29"/>
      <c r="V3665" s="29"/>
      <c r="GK3665" s="29"/>
      <c r="GL3665" s="29"/>
      <c r="GM3665" s="29"/>
      <c r="GN3665" s="29"/>
      <c r="GO3665" s="29"/>
      <c r="GP3665" s="29"/>
      <c r="GQ3665" s="29"/>
      <c r="GR3665" s="29"/>
      <c r="GS3665" s="29"/>
      <c r="GT3665" s="29"/>
      <c r="GU3665" s="29"/>
      <c r="GV3665" s="29"/>
      <c r="GW3665" s="29"/>
      <c r="GX3665" s="29"/>
      <c r="GY3665" s="29"/>
      <c r="GZ3665" s="29"/>
      <c r="HA3665" s="29"/>
      <c r="HB3665" s="29"/>
      <c r="HC3665" s="29"/>
      <c r="HD3665" s="29"/>
      <c r="HE3665" s="29"/>
      <c r="HF3665" s="29"/>
      <c r="HG3665" s="29"/>
      <c r="HH3665" s="29"/>
      <c r="HI3665" s="29"/>
      <c r="HJ3665" s="29"/>
      <c r="HK3665" s="29"/>
      <c r="HL3665" s="29"/>
      <c r="HM3665" s="29"/>
      <c r="HN3665" s="29"/>
      <c r="HO3665" s="29"/>
      <c r="HP3665" s="29"/>
      <c r="HQ3665" s="29"/>
      <c r="HR3665" s="29"/>
      <c r="HS3665" s="29"/>
      <c r="HT3665" s="29"/>
      <c r="HU3665" s="29"/>
      <c r="HV3665" s="29"/>
      <c r="HW3665" s="29"/>
      <c r="HX3665" s="29"/>
      <c r="HY3665" s="29"/>
      <c r="HZ3665" s="29"/>
      <c r="IA3665" s="29"/>
      <c r="IB3665" s="29"/>
      <c r="IC3665" s="29"/>
      <c r="ID3665" s="29"/>
      <c r="IE3665" s="29"/>
      <c r="IF3665" s="29"/>
      <c r="IG3665" s="29"/>
      <c r="IH3665" s="29"/>
      <c r="II3665" s="29"/>
      <c r="IJ3665" s="29"/>
      <c r="IK3665" s="29"/>
      <c r="IL3665" s="29"/>
      <c r="IM3665" s="29"/>
      <c r="IN3665" s="29"/>
      <c r="IO3665" s="29"/>
      <c r="IP3665" s="29"/>
      <c r="IQ3665" s="29"/>
      <c r="IR3665" s="29"/>
      <c r="IS3665" s="29"/>
      <c r="IT3665" s="29"/>
      <c r="IU3665" s="29"/>
      <c r="IV3665" s="29"/>
      <c r="IW3665" s="29"/>
      <c r="IX3665" s="29"/>
      <c r="IY3665" s="29"/>
      <c r="IZ3665" s="29"/>
      <c r="JA3665" s="29"/>
      <c r="JB3665" s="29"/>
    </row>
    <row r="3666" spans="1:262" s="28" customFormat="1">
      <c r="A3666" s="29"/>
      <c r="B3666" s="29"/>
      <c r="C3666" s="29"/>
      <c r="D3666" s="29"/>
      <c r="E3666" s="29"/>
      <c r="F3666" s="29"/>
      <c r="G3666" s="29"/>
      <c r="H3666" s="29"/>
      <c r="I3666" s="29"/>
      <c r="J3666" s="29"/>
      <c r="K3666" s="29"/>
      <c r="L3666" s="29"/>
      <c r="M3666" s="29"/>
      <c r="N3666" s="29"/>
      <c r="O3666" s="29"/>
      <c r="P3666" s="29"/>
      <c r="Q3666" s="29"/>
      <c r="R3666" s="29"/>
      <c r="S3666" s="29"/>
      <c r="T3666" s="29"/>
      <c r="U3666" s="29"/>
      <c r="V3666" s="29"/>
      <c r="GK3666" s="29"/>
      <c r="GL3666" s="29"/>
      <c r="GM3666" s="29"/>
      <c r="GN3666" s="29"/>
      <c r="GO3666" s="29"/>
      <c r="GP3666" s="29"/>
      <c r="GQ3666" s="29"/>
      <c r="GR3666" s="29"/>
      <c r="GS3666" s="29"/>
      <c r="GT3666" s="29"/>
      <c r="GU3666" s="29"/>
      <c r="GV3666" s="29"/>
      <c r="GW3666" s="29"/>
      <c r="GX3666" s="29"/>
      <c r="GY3666" s="29"/>
      <c r="GZ3666" s="29"/>
      <c r="HA3666" s="29"/>
      <c r="HB3666" s="29"/>
      <c r="HC3666" s="29"/>
      <c r="HD3666" s="29"/>
      <c r="HE3666" s="29"/>
      <c r="HF3666" s="29"/>
      <c r="HG3666" s="29"/>
      <c r="HH3666" s="29"/>
      <c r="HI3666" s="29"/>
      <c r="HJ3666" s="29"/>
      <c r="HK3666" s="29"/>
      <c r="HL3666" s="29"/>
      <c r="HM3666" s="29"/>
      <c r="HN3666" s="29"/>
      <c r="HO3666" s="29"/>
      <c r="HP3666" s="29"/>
      <c r="HQ3666" s="29"/>
      <c r="HR3666" s="29"/>
      <c r="HS3666" s="29"/>
      <c r="HT3666" s="29"/>
      <c r="HU3666" s="29"/>
      <c r="HV3666" s="29"/>
      <c r="HW3666" s="29"/>
      <c r="HX3666" s="29"/>
      <c r="HY3666" s="29"/>
      <c r="HZ3666" s="29"/>
      <c r="IA3666" s="29"/>
      <c r="IB3666" s="29"/>
      <c r="IC3666" s="29"/>
      <c r="ID3666" s="29"/>
      <c r="IE3666" s="29"/>
      <c r="IF3666" s="29"/>
      <c r="IG3666" s="29"/>
      <c r="IH3666" s="29"/>
      <c r="II3666" s="29"/>
      <c r="IJ3666" s="29"/>
      <c r="IK3666" s="29"/>
      <c r="IL3666" s="29"/>
      <c r="IM3666" s="29"/>
      <c r="IN3666" s="29"/>
      <c r="IO3666" s="29"/>
      <c r="IP3666" s="29"/>
      <c r="IQ3666" s="29"/>
      <c r="IR3666" s="29"/>
      <c r="IS3666" s="29"/>
      <c r="IT3666" s="29"/>
      <c r="IU3666" s="29"/>
      <c r="IV3666" s="29"/>
      <c r="IW3666" s="29"/>
      <c r="IX3666" s="29"/>
      <c r="IY3666" s="29"/>
      <c r="IZ3666" s="29"/>
      <c r="JA3666" s="29"/>
      <c r="JB3666" s="29"/>
    </row>
    <row r="3667" spans="1:262" s="28" customFormat="1">
      <c r="A3667" s="29"/>
      <c r="B3667" s="29"/>
      <c r="C3667" s="29"/>
      <c r="D3667" s="29"/>
      <c r="E3667" s="29"/>
      <c r="F3667" s="29"/>
      <c r="G3667" s="29"/>
      <c r="H3667" s="29"/>
      <c r="I3667" s="29"/>
      <c r="J3667" s="29"/>
      <c r="K3667" s="29"/>
      <c r="L3667" s="29"/>
      <c r="M3667" s="29"/>
      <c r="N3667" s="29"/>
      <c r="O3667" s="29"/>
      <c r="P3667" s="29"/>
      <c r="Q3667" s="29"/>
      <c r="R3667" s="29"/>
      <c r="S3667" s="29"/>
      <c r="T3667" s="29"/>
      <c r="U3667" s="29"/>
      <c r="V3667" s="29"/>
      <c r="GK3667" s="29"/>
      <c r="GL3667" s="29"/>
      <c r="GM3667" s="29"/>
      <c r="GN3667" s="29"/>
      <c r="GO3667" s="29"/>
      <c r="GP3667" s="29"/>
      <c r="GQ3667" s="29"/>
      <c r="GR3667" s="29"/>
      <c r="GS3667" s="29"/>
      <c r="GT3667" s="29"/>
      <c r="GU3667" s="29"/>
      <c r="GV3667" s="29"/>
      <c r="GW3667" s="29"/>
      <c r="GX3667" s="29"/>
      <c r="GY3667" s="29"/>
      <c r="GZ3667" s="29"/>
      <c r="HA3667" s="29"/>
      <c r="HB3667" s="29"/>
      <c r="HC3667" s="29"/>
      <c r="HD3667" s="29"/>
      <c r="HE3667" s="29"/>
      <c r="HF3667" s="29"/>
      <c r="HG3667" s="29"/>
      <c r="HH3667" s="29"/>
      <c r="HI3667" s="29"/>
      <c r="HJ3667" s="29"/>
      <c r="HK3667" s="29"/>
      <c r="HL3667" s="29"/>
      <c r="HM3667" s="29"/>
      <c r="HN3667" s="29"/>
      <c r="HO3667" s="29"/>
      <c r="HP3667" s="29"/>
      <c r="HQ3667" s="29"/>
      <c r="HR3667" s="29"/>
      <c r="HS3667" s="29"/>
      <c r="HT3667" s="29"/>
      <c r="HU3667" s="29"/>
      <c r="HV3667" s="29"/>
      <c r="HW3667" s="29"/>
      <c r="HX3667" s="29"/>
      <c r="HY3667" s="29"/>
      <c r="HZ3667" s="29"/>
      <c r="IA3667" s="29"/>
      <c r="IB3667" s="29"/>
      <c r="IC3667" s="29"/>
      <c r="ID3667" s="29"/>
      <c r="IE3667" s="29"/>
      <c r="IF3667" s="29"/>
      <c r="IG3667" s="29"/>
      <c r="IH3667" s="29"/>
      <c r="II3667" s="29"/>
      <c r="IJ3667" s="29"/>
      <c r="IK3667" s="29"/>
      <c r="IL3667" s="29"/>
      <c r="IM3667" s="29"/>
      <c r="IN3667" s="29"/>
      <c r="IO3667" s="29"/>
      <c r="IP3667" s="29"/>
      <c r="IQ3667" s="29"/>
      <c r="IR3667" s="29"/>
      <c r="IS3667" s="29"/>
      <c r="IT3667" s="29"/>
      <c r="IU3667" s="29"/>
      <c r="IV3667" s="29"/>
      <c r="IW3667" s="29"/>
      <c r="IX3667" s="29"/>
      <c r="IY3667" s="29"/>
      <c r="IZ3667" s="29"/>
      <c r="JA3667" s="29"/>
      <c r="JB3667" s="29"/>
    </row>
    <row r="3668" spans="1:262" s="28" customFormat="1">
      <c r="A3668" s="29"/>
      <c r="B3668" s="29"/>
      <c r="C3668" s="29"/>
      <c r="D3668" s="29"/>
      <c r="E3668" s="29"/>
      <c r="F3668" s="29"/>
      <c r="G3668" s="29"/>
      <c r="H3668" s="29"/>
      <c r="I3668" s="29"/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GK3668" s="29"/>
      <c r="GL3668" s="29"/>
      <c r="GM3668" s="29"/>
      <c r="GN3668" s="29"/>
      <c r="GO3668" s="29"/>
      <c r="GP3668" s="29"/>
      <c r="GQ3668" s="29"/>
      <c r="GR3668" s="29"/>
      <c r="GS3668" s="29"/>
      <c r="GT3668" s="29"/>
      <c r="GU3668" s="29"/>
      <c r="GV3668" s="29"/>
      <c r="GW3668" s="29"/>
      <c r="GX3668" s="29"/>
      <c r="GY3668" s="29"/>
      <c r="GZ3668" s="29"/>
      <c r="HA3668" s="29"/>
      <c r="HB3668" s="29"/>
      <c r="HC3668" s="29"/>
      <c r="HD3668" s="29"/>
      <c r="HE3668" s="29"/>
      <c r="HF3668" s="29"/>
      <c r="HG3668" s="29"/>
      <c r="HH3668" s="29"/>
      <c r="HI3668" s="29"/>
      <c r="HJ3668" s="29"/>
      <c r="HK3668" s="29"/>
      <c r="HL3668" s="29"/>
      <c r="HM3668" s="29"/>
      <c r="HN3668" s="29"/>
      <c r="HO3668" s="29"/>
      <c r="HP3668" s="29"/>
      <c r="HQ3668" s="29"/>
      <c r="HR3668" s="29"/>
      <c r="HS3668" s="29"/>
      <c r="HT3668" s="29"/>
      <c r="HU3668" s="29"/>
      <c r="HV3668" s="29"/>
      <c r="HW3668" s="29"/>
      <c r="HX3668" s="29"/>
      <c r="HY3668" s="29"/>
      <c r="HZ3668" s="29"/>
      <c r="IA3668" s="29"/>
      <c r="IB3668" s="29"/>
      <c r="IC3668" s="29"/>
      <c r="ID3668" s="29"/>
      <c r="IE3668" s="29"/>
      <c r="IF3668" s="29"/>
      <c r="IG3668" s="29"/>
      <c r="IH3668" s="29"/>
      <c r="II3668" s="29"/>
      <c r="IJ3668" s="29"/>
      <c r="IK3668" s="29"/>
      <c r="IL3668" s="29"/>
      <c r="IM3668" s="29"/>
      <c r="IN3668" s="29"/>
      <c r="IO3668" s="29"/>
      <c r="IP3668" s="29"/>
      <c r="IQ3668" s="29"/>
      <c r="IR3668" s="29"/>
      <c r="IS3668" s="29"/>
      <c r="IT3668" s="29"/>
      <c r="IU3668" s="29"/>
      <c r="IV3668" s="29"/>
      <c r="IW3668" s="29"/>
      <c r="IX3668" s="29"/>
      <c r="IY3668" s="29"/>
      <c r="IZ3668" s="29"/>
      <c r="JA3668" s="29"/>
      <c r="JB3668" s="29"/>
    </row>
    <row r="3669" spans="1:262" s="28" customFormat="1">
      <c r="A3669" s="29"/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  <c r="M3669" s="29"/>
      <c r="N3669" s="29"/>
      <c r="O3669" s="29"/>
      <c r="P3669" s="29"/>
      <c r="Q3669" s="29"/>
      <c r="R3669" s="29"/>
      <c r="S3669" s="29"/>
      <c r="T3669" s="29"/>
      <c r="U3669" s="29"/>
      <c r="V3669" s="29"/>
      <c r="GK3669" s="29"/>
      <c r="GL3669" s="29"/>
      <c r="GM3669" s="29"/>
      <c r="GN3669" s="29"/>
      <c r="GO3669" s="29"/>
      <c r="GP3669" s="29"/>
      <c r="GQ3669" s="29"/>
      <c r="GR3669" s="29"/>
      <c r="GS3669" s="29"/>
      <c r="GT3669" s="29"/>
      <c r="GU3669" s="29"/>
      <c r="GV3669" s="29"/>
      <c r="GW3669" s="29"/>
      <c r="GX3669" s="29"/>
      <c r="GY3669" s="29"/>
      <c r="GZ3669" s="29"/>
      <c r="HA3669" s="29"/>
      <c r="HB3669" s="29"/>
      <c r="HC3669" s="29"/>
      <c r="HD3669" s="29"/>
      <c r="HE3669" s="29"/>
      <c r="HF3669" s="29"/>
      <c r="HG3669" s="29"/>
      <c r="HH3669" s="29"/>
      <c r="HI3669" s="29"/>
      <c r="HJ3669" s="29"/>
      <c r="HK3669" s="29"/>
      <c r="HL3669" s="29"/>
      <c r="HM3669" s="29"/>
      <c r="HN3669" s="29"/>
      <c r="HO3669" s="29"/>
      <c r="HP3669" s="29"/>
      <c r="HQ3669" s="29"/>
      <c r="HR3669" s="29"/>
      <c r="HS3669" s="29"/>
      <c r="HT3669" s="29"/>
      <c r="HU3669" s="29"/>
      <c r="HV3669" s="29"/>
      <c r="HW3669" s="29"/>
      <c r="HX3669" s="29"/>
      <c r="HY3669" s="29"/>
      <c r="HZ3669" s="29"/>
      <c r="IA3669" s="29"/>
      <c r="IB3669" s="29"/>
      <c r="IC3669" s="29"/>
      <c r="ID3669" s="29"/>
      <c r="IE3669" s="29"/>
      <c r="IF3669" s="29"/>
      <c r="IG3669" s="29"/>
      <c r="IH3669" s="29"/>
      <c r="II3669" s="29"/>
      <c r="IJ3669" s="29"/>
      <c r="IK3669" s="29"/>
      <c r="IL3669" s="29"/>
      <c r="IM3669" s="29"/>
      <c r="IN3669" s="29"/>
      <c r="IO3669" s="29"/>
      <c r="IP3669" s="29"/>
      <c r="IQ3669" s="29"/>
      <c r="IR3669" s="29"/>
      <c r="IS3669" s="29"/>
      <c r="IT3669" s="29"/>
      <c r="IU3669" s="29"/>
      <c r="IV3669" s="29"/>
      <c r="IW3669" s="29"/>
      <c r="IX3669" s="29"/>
      <c r="IY3669" s="29"/>
      <c r="IZ3669" s="29"/>
      <c r="JA3669" s="29"/>
      <c r="JB3669" s="29"/>
    </row>
    <row r="3670" spans="1:262" s="28" customFormat="1">
      <c r="A3670" s="29"/>
      <c r="B3670" s="29"/>
      <c r="C3670" s="29"/>
      <c r="D3670" s="29"/>
      <c r="E3670" s="29"/>
      <c r="F3670" s="29"/>
      <c r="G3670" s="29"/>
      <c r="H3670" s="29"/>
      <c r="I3670" s="29"/>
      <c r="J3670" s="29"/>
      <c r="K3670" s="29"/>
      <c r="L3670" s="29"/>
      <c r="M3670" s="29"/>
      <c r="N3670" s="29"/>
      <c r="O3670" s="29"/>
      <c r="P3670" s="29"/>
      <c r="Q3670" s="29"/>
      <c r="R3670" s="29"/>
      <c r="S3670" s="29"/>
      <c r="T3670" s="29"/>
      <c r="U3670" s="29"/>
      <c r="V3670" s="29"/>
      <c r="GK3670" s="29"/>
      <c r="GL3670" s="29"/>
      <c r="GM3670" s="29"/>
      <c r="GN3670" s="29"/>
      <c r="GO3670" s="29"/>
      <c r="GP3670" s="29"/>
      <c r="GQ3670" s="29"/>
      <c r="GR3670" s="29"/>
      <c r="GS3670" s="29"/>
      <c r="GT3670" s="29"/>
      <c r="GU3670" s="29"/>
      <c r="GV3670" s="29"/>
      <c r="GW3670" s="29"/>
      <c r="GX3670" s="29"/>
      <c r="GY3670" s="29"/>
      <c r="GZ3670" s="29"/>
      <c r="HA3670" s="29"/>
      <c r="HB3670" s="29"/>
      <c r="HC3670" s="29"/>
      <c r="HD3670" s="29"/>
      <c r="HE3670" s="29"/>
      <c r="HF3670" s="29"/>
      <c r="HG3670" s="29"/>
      <c r="HH3670" s="29"/>
      <c r="HI3670" s="29"/>
      <c r="HJ3670" s="29"/>
      <c r="HK3670" s="29"/>
      <c r="HL3670" s="29"/>
      <c r="HM3670" s="29"/>
      <c r="HN3670" s="29"/>
      <c r="HO3670" s="29"/>
      <c r="HP3670" s="29"/>
      <c r="HQ3670" s="29"/>
      <c r="HR3670" s="29"/>
      <c r="HS3670" s="29"/>
      <c r="HT3670" s="29"/>
      <c r="HU3670" s="29"/>
      <c r="HV3670" s="29"/>
      <c r="HW3670" s="29"/>
      <c r="HX3670" s="29"/>
      <c r="HY3670" s="29"/>
      <c r="HZ3670" s="29"/>
      <c r="IA3670" s="29"/>
      <c r="IB3670" s="29"/>
      <c r="IC3670" s="29"/>
      <c r="ID3670" s="29"/>
      <c r="IE3670" s="29"/>
      <c r="IF3670" s="29"/>
      <c r="IG3670" s="29"/>
      <c r="IH3670" s="29"/>
      <c r="II3670" s="29"/>
      <c r="IJ3670" s="29"/>
      <c r="IK3670" s="29"/>
      <c r="IL3670" s="29"/>
      <c r="IM3670" s="29"/>
      <c r="IN3670" s="29"/>
      <c r="IO3670" s="29"/>
      <c r="IP3670" s="29"/>
      <c r="IQ3670" s="29"/>
      <c r="IR3670" s="29"/>
      <c r="IS3670" s="29"/>
      <c r="IT3670" s="29"/>
      <c r="IU3670" s="29"/>
      <c r="IV3670" s="29"/>
      <c r="IW3670" s="29"/>
      <c r="IX3670" s="29"/>
      <c r="IY3670" s="29"/>
      <c r="IZ3670" s="29"/>
      <c r="JA3670" s="29"/>
      <c r="JB3670" s="29"/>
    </row>
    <row r="3671" spans="1:262" s="28" customFormat="1">
      <c r="A3671" s="29"/>
      <c r="B3671" s="29"/>
      <c r="C3671" s="29"/>
      <c r="D3671" s="29"/>
      <c r="E3671" s="29"/>
      <c r="F3671" s="29"/>
      <c r="G3671" s="29"/>
      <c r="H3671" s="29"/>
      <c r="I3671" s="29"/>
      <c r="J3671" s="29"/>
      <c r="K3671" s="29"/>
      <c r="L3671" s="29"/>
      <c r="M3671" s="29"/>
      <c r="N3671" s="29"/>
      <c r="O3671" s="29"/>
      <c r="P3671" s="29"/>
      <c r="Q3671" s="29"/>
      <c r="R3671" s="29"/>
      <c r="S3671" s="29"/>
      <c r="T3671" s="29"/>
      <c r="U3671" s="29"/>
      <c r="V3671" s="29"/>
      <c r="GK3671" s="29"/>
      <c r="GL3671" s="29"/>
      <c r="GM3671" s="29"/>
      <c r="GN3671" s="29"/>
      <c r="GO3671" s="29"/>
      <c r="GP3671" s="29"/>
      <c r="GQ3671" s="29"/>
      <c r="GR3671" s="29"/>
      <c r="GS3671" s="29"/>
      <c r="GT3671" s="29"/>
      <c r="GU3671" s="29"/>
      <c r="GV3671" s="29"/>
      <c r="GW3671" s="29"/>
      <c r="GX3671" s="29"/>
      <c r="GY3671" s="29"/>
      <c r="GZ3671" s="29"/>
      <c r="HA3671" s="29"/>
      <c r="HB3671" s="29"/>
      <c r="HC3671" s="29"/>
      <c r="HD3671" s="29"/>
      <c r="HE3671" s="29"/>
      <c r="HF3671" s="29"/>
      <c r="HG3671" s="29"/>
      <c r="HH3671" s="29"/>
      <c r="HI3671" s="29"/>
      <c r="HJ3671" s="29"/>
      <c r="HK3671" s="29"/>
      <c r="HL3671" s="29"/>
      <c r="HM3671" s="29"/>
      <c r="HN3671" s="29"/>
      <c r="HO3671" s="29"/>
      <c r="HP3671" s="29"/>
      <c r="HQ3671" s="29"/>
      <c r="HR3671" s="29"/>
      <c r="HS3671" s="29"/>
      <c r="HT3671" s="29"/>
      <c r="HU3671" s="29"/>
      <c r="HV3671" s="29"/>
      <c r="HW3671" s="29"/>
      <c r="HX3671" s="29"/>
      <c r="HY3671" s="29"/>
      <c r="HZ3671" s="29"/>
      <c r="IA3671" s="29"/>
      <c r="IB3671" s="29"/>
      <c r="IC3671" s="29"/>
      <c r="ID3671" s="29"/>
      <c r="IE3671" s="29"/>
      <c r="IF3671" s="29"/>
      <c r="IG3671" s="29"/>
      <c r="IH3671" s="29"/>
      <c r="II3671" s="29"/>
      <c r="IJ3671" s="29"/>
      <c r="IK3671" s="29"/>
      <c r="IL3671" s="29"/>
      <c r="IM3671" s="29"/>
      <c r="IN3671" s="29"/>
      <c r="IO3671" s="29"/>
      <c r="IP3671" s="29"/>
      <c r="IQ3671" s="29"/>
      <c r="IR3671" s="29"/>
      <c r="IS3671" s="29"/>
      <c r="IT3671" s="29"/>
      <c r="IU3671" s="29"/>
      <c r="IV3671" s="29"/>
      <c r="IW3671" s="29"/>
      <c r="IX3671" s="29"/>
      <c r="IY3671" s="29"/>
      <c r="IZ3671" s="29"/>
      <c r="JA3671" s="29"/>
      <c r="JB3671" s="29"/>
    </row>
    <row r="3672" spans="1:262" s="28" customFormat="1">
      <c r="A3672" s="29"/>
      <c r="B3672" s="29"/>
      <c r="C3672" s="29"/>
      <c r="D3672" s="29"/>
      <c r="E3672" s="29"/>
      <c r="F3672" s="29"/>
      <c r="G3672" s="29"/>
      <c r="H3672" s="29"/>
      <c r="I3672" s="29"/>
      <c r="J3672" s="29"/>
      <c r="K3672" s="29"/>
      <c r="L3672" s="29"/>
      <c r="M3672" s="29"/>
      <c r="N3672" s="29"/>
      <c r="O3672" s="29"/>
      <c r="P3672" s="29"/>
      <c r="Q3672" s="29"/>
      <c r="R3672" s="29"/>
      <c r="S3672" s="29"/>
      <c r="T3672" s="29"/>
      <c r="U3672" s="29"/>
      <c r="V3672" s="29"/>
      <c r="GK3672" s="29"/>
      <c r="GL3672" s="29"/>
      <c r="GM3672" s="29"/>
      <c r="GN3672" s="29"/>
      <c r="GO3672" s="29"/>
      <c r="GP3672" s="29"/>
      <c r="GQ3672" s="29"/>
      <c r="GR3672" s="29"/>
      <c r="GS3672" s="29"/>
      <c r="GT3672" s="29"/>
      <c r="GU3672" s="29"/>
      <c r="GV3672" s="29"/>
      <c r="GW3672" s="29"/>
      <c r="GX3672" s="29"/>
      <c r="GY3672" s="29"/>
      <c r="GZ3672" s="29"/>
      <c r="HA3672" s="29"/>
      <c r="HB3672" s="29"/>
      <c r="HC3672" s="29"/>
      <c r="HD3672" s="29"/>
      <c r="HE3672" s="29"/>
      <c r="HF3672" s="29"/>
      <c r="HG3672" s="29"/>
      <c r="HH3672" s="29"/>
      <c r="HI3672" s="29"/>
      <c r="HJ3672" s="29"/>
      <c r="HK3672" s="29"/>
      <c r="HL3672" s="29"/>
      <c r="HM3672" s="29"/>
      <c r="HN3672" s="29"/>
      <c r="HO3672" s="29"/>
      <c r="HP3672" s="29"/>
      <c r="HQ3672" s="29"/>
      <c r="HR3672" s="29"/>
      <c r="HS3672" s="29"/>
      <c r="HT3672" s="29"/>
      <c r="HU3672" s="29"/>
      <c r="HV3672" s="29"/>
      <c r="HW3672" s="29"/>
      <c r="HX3672" s="29"/>
      <c r="HY3672" s="29"/>
      <c r="HZ3672" s="29"/>
      <c r="IA3672" s="29"/>
      <c r="IB3672" s="29"/>
      <c r="IC3672" s="29"/>
      <c r="ID3672" s="29"/>
      <c r="IE3672" s="29"/>
      <c r="IF3672" s="29"/>
      <c r="IG3672" s="29"/>
      <c r="IH3672" s="29"/>
      <c r="II3672" s="29"/>
      <c r="IJ3672" s="29"/>
      <c r="IK3672" s="29"/>
      <c r="IL3672" s="29"/>
      <c r="IM3672" s="29"/>
      <c r="IN3672" s="29"/>
      <c r="IO3672" s="29"/>
      <c r="IP3672" s="29"/>
      <c r="IQ3672" s="29"/>
      <c r="IR3672" s="29"/>
      <c r="IS3672" s="29"/>
      <c r="IT3672" s="29"/>
      <c r="IU3672" s="29"/>
      <c r="IV3672" s="29"/>
      <c r="IW3672" s="29"/>
      <c r="IX3672" s="29"/>
      <c r="IY3672" s="29"/>
      <c r="IZ3672" s="29"/>
      <c r="JA3672" s="29"/>
      <c r="JB3672" s="29"/>
    </row>
    <row r="3673" spans="1:262" s="28" customFormat="1">
      <c r="A3673" s="29"/>
      <c r="B3673" s="29"/>
      <c r="C3673" s="29"/>
      <c r="D3673" s="29"/>
      <c r="E3673" s="29"/>
      <c r="F3673" s="29"/>
      <c r="G3673" s="29"/>
      <c r="H3673" s="29"/>
      <c r="I3673" s="29"/>
      <c r="J3673" s="29"/>
      <c r="K3673" s="29"/>
      <c r="L3673" s="29"/>
      <c r="M3673" s="29"/>
      <c r="N3673" s="29"/>
      <c r="O3673" s="29"/>
      <c r="P3673" s="29"/>
      <c r="Q3673" s="29"/>
      <c r="R3673" s="29"/>
      <c r="S3673" s="29"/>
      <c r="T3673" s="29"/>
      <c r="U3673" s="29"/>
      <c r="V3673" s="29"/>
      <c r="GK3673" s="29"/>
      <c r="GL3673" s="29"/>
      <c r="GM3673" s="29"/>
      <c r="GN3673" s="29"/>
      <c r="GO3673" s="29"/>
      <c r="GP3673" s="29"/>
      <c r="GQ3673" s="29"/>
      <c r="GR3673" s="29"/>
      <c r="GS3673" s="29"/>
      <c r="GT3673" s="29"/>
      <c r="GU3673" s="29"/>
      <c r="GV3673" s="29"/>
      <c r="GW3673" s="29"/>
      <c r="GX3673" s="29"/>
      <c r="GY3673" s="29"/>
      <c r="GZ3673" s="29"/>
      <c r="HA3673" s="29"/>
      <c r="HB3673" s="29"/>
      <c r="HC3673" s="29"/>
      <c r="HD3673" s="29"/>
      <c r="HE3673" s="29"/>
      <c r="HF3673" s="29"/>
      <c r="HG3673" s="29"/>
      <c r="HH3673" s="29"/>
      <c r="HI3673" s="29"/>
      <c r="HJ3673" s="29"/>
      <c r="HK3673" s="29"/>
      <c r="HL3673" s="29"/>
      <c r="HM3673" s="29"/>
      <c r="HN3673" s="29"/>
      <c r="HO3673" s="29"/>
      <c r="HP3673" s="29"/>
      <c r="HQ3673" s="29"/>
      <c r="HR3673" s="29"/>
      <c r="HS3673" s="29"/>
      <c r="HT3673" s="29"/>
      <c r="HU3673" s="29"/>
      <c r="HV3673" s="29"/>
      <c r="HW3673" s="29"/>
      <c r="HX3673" s="29"/>
      <c r="HY3673" s="29"/>
      <c r="HZ3673" s="29"/>
      <c r="IA3673" s="29"/>
      <c r="IB3673" s="29"/>
      <c r="IC3673" s="29"/>
      <c r="ID3673" s="29"/>
      <c r="IE3673" s="29"/>
      <c r="IF3673" s="29"/>
      <c r="IG3673" s="29"/>
      <c r="IH3673" s="29"/>
      <c r="II3673" s="29"/>
      <c r="IJ3673" s="29"/>
      <c r="IK3673" s="29"/>
      <c r="IL3673" s="29"/>
      <c r="IM3673" s="29"/>
      <c r="IN3673" s="29"/>
      <c r="IO3673" s="29"/>
      <c r="IP3673" s="29"/>
      <c r="IQ3673" s="29"/>
      <c r="IR3673" s="29"/>
      <c r="IS3673" s="29"/>
      <c r="IT3673" s="29"/>
      <c r="IU3673" s="29"/>
      <c r="IV3673" s="29"/>
      <c r="IW3673" s="29"/>
      <c r="IX3673" s="29"/>
      <c r="IY3673" s="29"/>
      <c r="IZ3673" s="29"/>
      <c r="JA3673" s="29"/>
      <c r="JB3673" s="29"/>
    </row>
    <row r="3674" spans="1:262" s="28" customFormat="1">
      <c r="A3674" s="29"/>
      <c r="B3674" s="29"/>
      <c r="C3674" s="29"/>
      <c r="D3674" s="29"/>
      <c r="E3674" s="29"/>
      <c r="F3674" s="29"/>
      <c r="G3674" s="29"/>
      <c r="H3674" s="29"/>
      <c r="I3674" s="29"/>
      <c r="J3674" s="29"/>
      <c r="K3674" s="29"/>
      <c r="L3674" s="29"/>
      <c r="M3674" s="29"/>
      <c r="N3674" s="29"/>
      <c r="O3674" s="29"/>
      <c r="P3674" s="29"/>
      <c r="Q3674" s="29"/>
      <c r="R3674" s="29"/>
      <c r="S3674" s="29"/>
      <c r="T3674" s="29"/>
      <c r="U3674" s="29"/>
      <c r="V3674" s="29"/>
      <c r="GK3674" s="29"/>
      <c r="GL3674" s="29"/>
      <c r="GM3674" s="29"/>
      <c r="GN3674" s="29"/>
      <c r="GO3674" s="29"/>
      <c r="GP3674" s="29"/>
      <c r="GQ3674" s="29"/>
      <c r="GR3674" s="29"/>
      <c r="GS3674" s="29"/>
      <c r="GT3674" s="29"/>
      <c r="GU3674" s="29"/>
      <c r="GV3674" s="29"/>
      <c r="GW3674" s="29"/>
      <c r="GX3674" s="29"/>
      <c r="GY3674" s="29"/>
      <c r="GZ3674" s="29"/>
      <c r="HA3674" s="29"/>
      <c r="HB3674" s="29"/>
      <c r="HC3674" s="29"/>
      <c r="HD3674" s="29"/>
      <c r="HE3674" s="29"/>
      <c r="HF3674" s="29"/>
      <c r="HG3674" s="29"/>
      <c r="HH3674" s="29"/>
      <c r="HI3674" s="29"/>
      <c r="HJ3674" s="29"/>
      <c r="HK3674" s="29"/>
      <c r="HL3674" s="29"/>
      <c r="HM3674" s="29"/>
      <c r="HN3674" s="29"/>
      <c r="HO3674" s="29"/>
      <c r="HP3674" s="29"/>
      <c r="HQ3674" s="29"/>
      <c r="HR3674" s="29"/>
      <c r="HS3674" s="29"/>
      <c r="HT3674" s="29"/>
      <c r="HU3674" s="29"/>
      <c r="HV3674" s="29"/>
      <c r="HW3674" s="29"/>
      <c r="HX3674" s="29"/>
      <c r="HY3674" s="29"/>
      <c r="HZ3674" s="29"/>
      <c r="IA3674" s="29"/>
      <c r="IB3674" s="29"/>
      <c r="IC3674" s="29"/>
      <c r="ID3674" s="29"/>
      <c r="IE3674" s="29"/>
      <c r="IF3674" s="29"/>
      <c r="IG3674" s="29"/>
      <c r="IH3674" s="29"/>
      <c r="II3674" s="29"/>
      <c r="IJ3674" s="29"/>
      <c r="IK3674" s="29"/>
      <c r="IL3674" s="29"/>
      <c r="IM3674" s="29"/>
      <c r="IN3674" s="29"/>
      <c r="IO3674" s="29"/>
      <c r="IP3674" s="29"/>
      <c r="IQ3674" s="29"/>
      <c r="IR3674" s="29"/>
      <c r="IS3674" s="29"/>
      <c r="IT3674" s="29"/>
      <c r="IU3674" s="29"/>
      <c r="IV3674" s="29"/>
      <c r="IW3674" s="29"/>
      <c r="IX3674" s="29"/>
      <c r="IY3674" s="29"/>
      <c r="IZ3674" s="29"/>
      <c r="JA3674" s="29"/>
      <c r="JB3674" s="29"/>
    </row>
    <row r="3675" spans="1:262" s="28" customFormat="1">
      <c r="A3675" s="29"/>
      <c r="B3675" s="29"/>
      <c r="C3675" s="29"/>
      <c r="D3675" s="29"/>
      <c r="E3675" s="29"/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29"/>
      <c r="Q3675" s="29"/>
      <c r="R3675" s="29"/>
      <c r="S3675" s="29"/>
      <c r="T3675" s="29"/>
      <c r="U3675" s="29"/>
      <c r="V3675" s="29"/>
      <c r="GK3675" s="29"/>
      <c r="GL3675" s="29"/>
      <c r="GM3675" s="29"/>
      <c r="GN3675" s="29"/>
      <c r="GO3675" s="29"/>
      <c r="GP3675" s="29"/>
      <c r="GQ3675" s="29"/>
      <c r="GR3675" s="29"/>
      <c r="GS3675" s="29"/>
      <c r="GT3675" s="29"/>
      <c r="GU3675" s="29"/>
      <c r="GV3675" s="29"/>
      <c r="GW3675" s="29"/>
      <c r="GX3675" s="29"/>
      <c r="GY3675" s="29"/>
      <c r="GZ3675" s="29"/>
      <c r="HA3675" s="29"/>
      <c r="HB3675" s="29"/>
      <c r="HC3675" s="29"/>
      <c r="HD3675" s="29"/>
      <c r="HE3675" s="29"/>
      <c r="HF3675" s="29"/>
      <c r="HG3675" s="29"/>
      <c r="HH3675" s="29"/>
      <c r="HI3675" s="29"/>
      <c r="HJ3675" s="29"/>
      <c r="HK3675" s="29"/>
      <c r="HL3675" s="29"/>
      <c r="HM3675" s="29"/>
      <c r="HN3675" s="29"/>
      <c r="HO3675" s="29"/>
      <c r="HP3675" s="29"/>
      <c r="HQ3675" s="29"/>
      <c r="HR3675" s="29"/>
      <c r="HS3675" s="29"/>
      <c r="HT3675" s="29"/>
      <c r="HU3675" s="29"/>
      <c r="HV3675" s="29"/>
      <c r="HW3675" s="29"/>
      <c r="HX3675" s="29"/>
      <c r="HY3675" s="29"/>
      <c r="HZ3675" s="29"/>
      <c r="IA3675" s="29"/>
      <c r="IB3675" s="29"/>
      <c r="IC3675" s="29"/>
      <c r="ID3675" s="29"/>
      <c r="IE3675" s="29"/>
      <c r="IF3675" s="29"/>
      <c r="IG3675" s="29"/>
      <c r="IH3675" s="29"/>
      <c r="II3675" s="29"/>
      <c r="IJ3675" s="29"/>
      <c r="IK3675" s="29"/>
      <c r="IL3675" s="29"/>
      <c r="IM3675" s="29"/>
      <c r="IN3675" s="29"/>
      <c r="IO3675" s="29"/>
      <c r="IP3675" s="29"/>
      <c r="IQ3675" s="29"/>
      <c r="IR3675" s="29"/>
      <c r="IS3675" s="29"/>
      <c r="IT3675" s="29"/>
      <c r="IU3675" s="29"/>
      <c r="IV3675" s="29"/>
      <c r="IW3675" s="29"/>
      <c r="IX3675" s="29"/>
      <c r="IY3675" s="29"/>
      <c r="IZ3675" s="29"/>
      <c r="JA3675" s="29"/>
      <c r="JB3675" s="29"/>
    </row>
    <row r="3676" spans="1:262" s="28" customFormat="1">
      <c r="A3676" s="29"/>
      <c r="B3676" s="29"/>
      <c r="C3676" s="29"/>
      <c r="D3676" s="29"/>
      <c r="E3676" s="29"/>
      <c r="F3676" s="29"/>
      <c r="G3676" s="29"/>
      <c r="H3676" s="29"/>
      <c r="I3676" s="29"/>
      <c r="J3676" s="29"/>
      <c r="K3676" s="29"/>
      <c r="L3676" s="29"/>
      <c r="M3676" s="29"/>
      <c r="N3676" s="29"/>
      <c r="O3676" s="29"/>
      <c r="P3676" s="29"/>
      <c r="Q3676" s="29"/>
      <c r="R3676" s="29"/>
      <c r="S3676" s="29"/>
      <c r="T3676" s="29"/>
      <c r="U3676" s="29"/>
      <c r="V3676" s="29"/>
      <c r="GK3676" s="29"/>
      <c r="GL3676" s="29"/>
      <c r="GM3676" s="29"/>
      <c r="GN3676" s="29"/>
      <c r="GO3676" s="29"/>
      <c r="GP3676" s="29"/>
      <c r="GQ3676" s="29"/>
      <c r="GR3676" s="29"/>
      <c r="GS3676" s="29"/>
      <c r="GT3676" s="29"/>
      <c r="GU3676" s="29"/>
      <c r="GV3676" s="29"/>
      <c r="GW3676" s="29"/>
      <c r="GX3676" s="29"/>
      <c r="GY3676" s="29"/>
      <c r="GZ3676" s="29"/>
      <c r="HA3676" s="29"/>
      <c r="HB3676" s="29"/>
      <c r="HC3676" s="29"/>
      <c r="HD3676" s="29"/>
      <c r="HE3676" s="29"/>
      <c r="HF3676" s="29"/>
      <c r="HG3676" s="29"/>
      <c r="HH3676" s="29"/>
      <c r="HI3676" s="29"/>
      <c r="HJ3676" s="29"/>
      <c r="HK3676" s="29"/>
      <c r="HL3676" s="29"/>
      <c r="HM3676" s="29"/>
      <c r="HN3676" s="29"/>
      <c r="HO3676" s="29"/>
      <c r="HP3676" s="29"/>
      <c r="HQ3676" s="29"/>
      <c r="HR3676" s="29"/>
      <c r="HS3676" s="29"/>
      <c r="HT3676" s="29"/>
      <c r="HU3676" s="29"/>
      <c r="HV3676" s="29"/>
      <c r="HW3676" s="29"/>
      <c r="HX3676" s="29"/>
      <c r="HY3676" s="29"/>
      <c r="HZ3676" s="29"/>
      <c r="IA3676" s="29"/>
      <c r="IB3676" s="29"/>
      <c r="IC3676" s="29"/>
      <c r="ID3676" s="29"/>
      <c r="IE3676" s="29"/>
      <c r="IF3676" s="29"/>
      <c r="IG3676" s="29"/>
      <c r="IH3676" s="29"/>
      <c r="II3676" s="29"/>
      <c r="IJ3676" s="29"/>
      <c r="IK3676" s="29"/>
      <c r="IL3676" s="29"/>
      <c r="IM3676" s="29"/>
      <c r="IN3676" s="29"/>
      <c r="IO3676" s="29"/>
      <c r="IP3676" s="29"/>
      <c r="IQ3676" s="29"/>
      <c r="IR3676" s="29"/>
      <c r="IS3676" s="29"/>
      <c r="IT3676" s="29"/>
      <c r="IU3676" s="29"/>
      <c r="IV3676" s="29"/>
      <c r="IW3676" s="29"/>
      <c r="IX3676" s="29"/>
      <c r="IY3676" s="29"/>
      <c r="IZ3676" s="29"/>
      <c r="JA3676" s="29"/>
      <c r="JB3676" s="29"/>
    </row>
    <row r="3677" spans="1:262" s="28" customFormat="1">
      <c r="A3677" s="29"/>
      <c r="B3677" s="29"/>
      <c r="C3677" s="29"/>
      <c r="D3677" s="29"/>
      <c r="E3677" s="29"/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/>
      <c r="GK3677" s="29"/>
      <c r="GL3677" s="29"/>
      <c r="GM3677" s="29"/>
      <c r="GN3677" s="29"/>
      <c r="GO3677" s="29"/>
      <c r="GP3677" s="29"/>
      <c r="GQ3677" s="29"/>
      <c r="GR3677" s="29"/>
      <c r="GS3677" s="29"/>
      <c r="GT3677" s="29"/>
      <c r="GU3677" s="29"/>
      <c r="GV3677" s="29"/>
      <c r="GW3677" s="29"/>
      <c r="GX3677" s="29"/>
      <c r="GY3677" s="29"/>
      <c r="GZ3677" s="29"/>
      <c r="HA3677" s="29"/>
      <c r="HB3677" s="29"/>
      <c r="HC3677" s="29"/>
      <c r="HD3677" s="29"/>
      <c r="HE3677" s="29"/>
      <c r="HF3677" s="29"/>
      <c r="HG3677" s="29"/>
      <c r="HH3677" s="29"/>
      <c r="HI3677" s="29"/>
      <c r="HJ3677" s="29"/>
      <c r="HK3677" s="29"/>
      <c r="HL3677" s="29"/>
      <c r="HM3677" s="29"/>
      <c r="HN3677" s="29"/>
      <c r="HO3677" s="29"/>
      <c r="HP3677" s="29"/>
      <c r="HQ3677" s="29"/>
      <c r="HR3677" s="29"/>
      <c r="HS3677" s="29"/>
      <c r="HT3677" s="29"/>
      <c r="HU3677" s="29"/>
      <c r="HV3677" s="29"/>
      <c r="HW3677" s="29"/>
      <c r="HX3677" s="29"/>
      <c r="HY3677" s="29"/>
      <c r="HZ3677" s="29"/>
      <c r="IA3677" s="29"/>
      <c r="IB3677" s="29"/>
      <c r="IC3677" s="29"/>
      <c r="ID3677" s="29"/>
      <c r="IE3677" s="29"/>
      <c r="IF3677" s="29"/>
      <c r="IG3677" s="29"/>
      <c r="IH3677" s="29"/>
      <c r="II3677" s="29"/>
      <c r="IJ3677" s="29"/>
      <c r="IK3677" s="29"/>
      <c r="IL3677" s="29"/>
      <c r="IM3677" s="29"/>
      <c r="IN3677" s="29"/>
      <c r="IO3677" s="29"/>
      <c r="IP3677" s="29"/>
      <c r="IQ3677" s="29"/>
      <c r="IR3677" s="29"/>
      <c r="IS3677" s="29"/>
      <c r="IT3677" s="29"/>
      <c r="IU3677" s="29"/>
      <c r="IV3677" s="29"/>
      <c r="IW3677" s="29"/>
      <c r="IX3677" s="29"/>
      <c r="IY3677" s="29"/>
      <c r="IZ3677" s="29"/>
      <c r="JA3677" s="29"/>
      <c r="JB3677" s="29"/>
    </row>
    <row r="3678" spans="1:262" s="28" customFormat="1">
      <c r="A3678" s="29"/>
      <c r="B3678" s="29"/>
      <c r="C3678" s="29"/>
      <c r="D3678" s="29"/>
      <c r="E3678" s="29"/>
      <c r="F3678" s="29"/>
      <c r="G3678" s="29"/>
      <c r="H3678" s="29"/>
      <c r="I3678" s="29"/>
      <c r="J3678" s="29"/>
      <c r="K3678" s="29"/>
      <c r="L3678" s="29"/>
      <c r="M3678" s="29"/>
      <c r="N3678" s="29"/>
      <c r="O3678" s="29"/>
      <c r="P3678" s="29"/>
      <c r="Q3678" s="29"/>
      <c r="R3678" s="29"/>
      <c r="S3678" s="29"/>
      <c r="T3678" s="29"/>
      <c r="U3678" s="29"/>
      <c r="V3678" s="29"/>
      <c r="GK3678" s="29"/>
      <c r="GL3678" s="29"/>
      <c r="GM3678" s="29"/>
      <c r="GN3678" s="29"/>
      <c r="GO3678" s="29"/>
      <c r="GP3678" s="29"/>
      <c r="GQ3678" s="29"/>
      <c r="GR3678" s="29"/>
      <c r="GS3678" s="29"/>
      <c r="GT3678" s="29"/>
      <c r="GU3678" s="29"/>
      <c r="GV3678" s="29"/>
      <c r="GW3678" s="29"/>
      <c r="GX3678" s="29"/>
      <c r="GY3678" s="29"/>
      <c r="GZ3678" s="29"/>
      <c r="HA3678" s="29"/>
      <c r="HB3678" s="29"/>
      <c r="HC3678" s="29"/>
      <c r="HD3678" s="29"/>
      <c r="HE3678" s="29"/>
      <c r="HF3678" s="29"/>
      <c r="HG3678" s="29"/>
      <c r="HH3678" s="29"/>
      <c r="HI3678" s="29"/>
      <c r="HJ3678" s="29"/>
      <c r="HK3678" s="29"/>
      <c r="HL3678" s="29"/>
      <c r="HM3678" s="29"/>
      <c r="HN3678" s="29"/>
      <c r="HO3678" s="29"/>
      <c r="HP3678" s="29"/>
      <c r="HQ3678" s="29"/>
      <c r="HR3678" s="29"/>
      <c r="HS3678" s="29"/>
      <c r="HT3678" s="29"/>
      <c r="HU3678" s="29"/>
      <c r="HV3678" s="29"/>
      <c r="HW3678" s="29"/>
      <c r="HX3678" s="29"/>
      <c r="HY3678" s="29"/>
      <c r="HZ3678" s="29"/>
      <c r="IA3678" s="29"/>
      <c r="IB3678" s="29"/>
      <c r="IC3678" s="29"/>
      <c r="ID3678" s="29"/>
      <c r="IE3678" s="29"/>
      <c r="IF3678" s="29"/>
      <c r="IG3678" s="29"/>
      <c r="IH3678" s="29"/>
      <c r="II3678" s="29"/>
      <c r="IJ3678" s="29"/>
      <c r="IK3678" s="29"/>
      <c r="IL3678" s="29"/>
      <c r="IM3678" s="29"/>
      <c r="IN3678" s="29"/>
      <c r="IO3678" s="29"/>
      <c r="IP3678" s="29"/>
      <c r="IQ3678" s="29"/>
      <c r="IR3678" s="29"/>
      <c r="IS3678" s="29"/>
      <c r="IT3678" s="29"/>
      <c r="IU3678" s="29"/>
      <c r="IV3678" s="29"/>
      <c r="IW3678" s="29"/>
      <c r="IX3678" s="29"/>
      <c r="IY3678" s="29"/>
      <c r="IZ3678" s="29"/>
      <c r="JA3678" s="29"/>
      <c r="JB3678" s="29"/>
    </row>
    <row r="3679" spans="1:262" s="28" customFormat="1">
      <c r="A3679" s="29"/>
      <c r="B3679" s="29"/>
      <c r="C3679" s="29"/>
      <c r="D3679" s="29"/>
      <c r="E3679" s="29"/>
      <c r="F3679" s="29"/>
      <c r="G3679" s="29"/>
      <c r="H3679" s="29"/>
      <c r="I3679" s="29"/>
      <c r="J3679" s="29"/>
      <c r="K3679" s="29"/>
      <c r="L3679" s="29"/>
      <c r="M3679" s="29"/>
      <c r="N3679" s="29"/>
      <c r="O3679" s="29"/>
      <c r="P3679" s="29"/>
      <c r="Q3679" s="29"/>
      <c r="R3679" s="29"/>
      <c r="S3679" s="29"/>
      <c r="T3679" s="29"/>
      <c r="U3679" s="29"/>
      <c r="V3679" s="29"/>
      <c r="GK3679" s="29"/>
      <c r="GL3679" s="29"/>
      <c r="GM3679" s="29"/>
      <c r="GN3679" s="29"/>
      <c r="GO3679" s="29"/>
      <c r="GP3679" s="29"/>
      <c r="GQ3679" s="29"/>
      <c r="GR3679" s="29"/>
      <c r="GS3679" s="29"/>
      <c r="GT3679" s="29"/>
      <c r="GU3679" s="29"/>
      <c r="GV3679" s="29"/>
      <c r="GW3679" s="29"/>
      <c r="GX3679" s="29"/>
      <c r="GY3679" s="29"/>
      <c r="GZ3679" s="29"/>
      <c r="HA3679" s="29"/>
      <c r="HB3679" s="29"/>
      <c r="HC3679" s="29"/>
      <c r="HD3679" s="29"/>
      <c r="HE3679" s="29"/>
      <c r="HF3679" s="29"/>
      <c r="HG3679" s="29"/>
      <c r="HH3679" s="29"/>
      <c r="HI3679" s="29"/>
      <c r="HJ3679" s="29"/>
      <c r="HK3679" s="29"/>
      <c r="HL3679" s="29"/>
      <c r="HM3679" s="29"/>
      <c r="HN3679" s="29"/>
      <c r="HO3679" s="29"/>
      <c r="HP3679" s="29"/>
      <c r="HQ3679" s="29"/>
      <c r="HR3679" s="29"/>
      <c r="HS3679" s="29"/>
      <c r="HT3679" s="29"/>
      <c r="HU3679" s="29"/>
      <c r="HV3679" s="29"/>
      <c r="HW3679" s="29"/>
      <c r="HX3679" s="29"/>
      <c r="HY3679" s="29"/>
      <c r="HZ3679" s="29"/>
      <c r="IA3679" s="29"/>
      <c r="IB3679" s="29"/>
      <c r="IC3679" s="29"/>
      <c r="ID3679" s="29"/>
      <c r="IE3679" s="29"/>
      <c r="IF3679" s="29"/>
      <c r="IG3679" s="29"/>
      <c r="IH3679" s="29"/>
      <c r="II3679" s="29"/>
      <c r="IJ3679" s="29"/>
      <c r="IK3679" s="29"/>
      <c r="IL3679" s="29"/>
      <c r="IM3679" s="29"/>
      <c r="IN3679" s="29"/>
      <c r="IO3679" s="29"/>
      <c r="IP3679" s="29"/>
      <c r="IQ3679" s="29"/>
      <c r="IR3679" s="29"/>
      <c r="IS3679" s="29"/>
      <c r="IT3679" s="29"/>
      <c r="IU3679" s="29"/>
      <c r="IV3679" s="29"/>
      <c r="IW3679" s="29"/>
      <c r="IX3679" s="29"/>
      <c r="IY3679" s="29"/>
      <c r="IZ3679" s="29"/>
      <c r="JA3679" s="29"/>
      <c r="JB3679" s="29"/>
    </row>
    <row r="3680" spans="1:262" s="28" customFormat="1">
      <c r="A3680" s="29"/>
      <c r="B3680" s="29"/>
      <c r="C3680" s="29"/>
      <c r="D3680" s="29"/>
      <c r="E3680" s="29"/>
      <c r="F3680" s="29"/>
      <c r="G3680" s="29"/>
      <c r="H3680" s="29"/>
      <c r="I3680" s="29"/>
      <c r="J3680" s="29"/>
      <c r="K3680" s="29"/>
      <c r="L3680" s="29"/>
      <c r="M3680" s="29"/>
      <c r="N3680" s="29"/>
      <c r="O3680" s="29"/>
      <c r="P3680" s="29"/>
      <c r="Q3680" s="29"/>
      <c r="R3680" s="29"/>
      <c r="S3680" s="29"/>
      <c r="T3680" s="29"/>
      <c r="U3680" s="29"/>
      <c r="V3680" s="29"/>
      <c r="GK3680" s="29"/>
      <c r="GL3680" s="29"/>
      <c r="GM3680" s="29"/>
      <c r="GN3680" s="29"/>
      <c r="GO3680" s="29"/>
      <c r="GP3680" s="29"/>
      <c r="GQ3680" s="29"/>
      <c r="GR3680" s="29"/>
      <c r="GS3680" s="29"/>
      <c r="GT3680" s="29"/>
      <c r="GU3680" s="29"/>
      <c r="GV3680" s="29"/>
      <c r="GW3680" s="29"/>
      <c r="GX3680" s="29"/>
      <c r="GY3680" s="29"/>
      <c r="GZ3680" s="29"/>
      <c r="HA3680" s="29"/>
      <c r="HB3680" s="29"/>
      <c r="HC3680" s="29"/>
      <c r="HD3680" s="29"/>
      <c r="HE3680" s="29"/>
      <c r="HF3680" s="29"/>
      <c r="HG3680" s="29"/>
      <c r="HH3680" s="29"/>
      <c r="HI3680" s="29"/>
      <c r="HJ3680" s="29"/>
      <c r="HK3680" s="29"/>
      <c r="HL3680" s="29"/>
      <c r="HM3680" s="29"/>
      <c r="HN3680" s="29"/>
      <c r="HO3680" s="29"/>
      <c r="HP3680" s="29"/>
      <c r="HQ3680" s="29"/>
      <c r="HR3680" s="29"/>
      <c r="HS3680" s="29"/>
      <c r="HT3680" s="29"/>
      <c r="HU3680" s="29"/>
      <c r="HV3680" s="29"/>
      <c r="HW3680" s="29"/>
      <c r="HX3680" s="29"/>
      <c r="HY3680" s="29"/>
      <c r="HZ3680" s="29"/>
      <c r="IA3680" s="29"/>
      <c r="IB3680" s="29"/>
      <c r="IC3680" s="29"/>
      <c r="ID3680" s="29"/>
      <c r="IE3680" s="29"/>
      <c r="IF3680" s="29"/>
      <c r="IG3680" s="29"/>
      <c r="IH3680" s="29"/>
      <c r="II3680" s="29"/>
      <c r="IJ3680" s="29"/>
      <c r="IK3680" s="29"/>
      <c r="IL3680" s="29"/>
      <c r="IM3680" s="29"/>
      <c r="IN3680" s="29"/>
      <c r="IO3680" s="29"/>
      <c r="IP3680" s="29"/>
      <c r="IQ3680" s="29"/>
      <c r="IR3680" s="29"/>
      <c r="IS3680" s="29"/>
      <c r="IT3680" s="29"/>
      <c r="IU3680" s="29"/>
      <c r="IV3680" s="29"/>
      <c r="IW3680" s="29"/>
      <c r="IX3680" s="29"/>
      <c r="IY3680" s="29"/>
      <c r="IZ3680" s="29"/>
      <c r="JA3680" s="29"/>
      <c r="JB3680" s="29"/>
    </row>
    <row r="3681" spans="1:262" s="28" customFormat="1">
      <c r="A3681" s="29"/>
      <c r="B3681" s="29"/>
      <c r="C3681" s="29"/>
      <c r="D3681" s="29"/>
      <c r="E3681" s="29"/>
      <c r="F3681" s="29"/>
      <c r="G3681" s="29"/>
      <c r="H3681" s="29"/>
      <c r="I3681" s="29"/>
      <c r="J3681" s="29"/>
      <c r="K3681" s="29"/>
      <c r="L3681" s="29"/>
      <c r="M3681" s="29"/>
      <c r="N3681" s="29"/>
      <c r="O3681" s="29"/>
      <c r="P3681" s="29"/>
      <c r="Q3681" s="29"/>
      <c r="R3681" s="29"/>
      <c r="S3681" s="29"/>
      <c r="T3681" s="29"/>
      <c r="U3681" s="29"/>
      <c r="V3681" s="29"/>
      <c r="GK3681" s="29"/>
      <c r="GL3681" s="29"/>
      <c r="GM3681" s="29"/>
      <c r="GN3681" s="29"/>
      <c r="GO3681" s="29"/>
      <c r="GP3681" s="29"/>
      <c r="GQ3681" s="29"/>
      <c r="GR3681" s="29"/>
      <c r="GS3681" s="29"/>
      <c r="GT3681" s="29"/>
      <c r="GU3681" s="29"/>
      <c r="GV3681" s="29"/>
      <c r="GW3681" s="29"/>
      <c r="GX3681" s="29"/>
      <c r="GY3681" s="29"/>
      <c r="GZ3681" s="29"/>
      <c r="HA3681" s="29"/>
      <c r="HB3681" s="29"/>
      <c r="HC3681" s="29"/>
      <c r="HD3681" s="29"/>
      <c r="HE3681" s="29"/>
      <c r="HF3681" s="29"/>
      <c r="HG3681" s="29"/>
      <c r="HH3681" s="29"/>
      <c r="HI3681" s="29"/>
      <c r="HJ3681" s="29"/>
      <c r="HK3681" s="29"/>
      <c r="HL3681" s="29"/>
      <c r="HM3681" s="29"/>
      <c r="HN3681" s="29"/>
      <c r="HO3681" s="29"/>
      <c r="HP3681" s="29"/>
      <c r="HQ3681" s="29"/>
      <c r="HR3681" s="29"/>
      <c r="HS3681" s="29"/>
      <c r="HT3681" s="29"/>
      <c r="HU3681" s="29"/>
      <c r="HV3681" s="29"/>
      <c r="HW3681" s="29"/>
      <c r="HX3681" s="29"/>
      <c r="HY3681" s="29"/>
      <c r="HZ3681" s="29"/>
      <c r="IA3681" s="29"/>
      <c r="IB3681" s="29"/>
      <c r="IC3681" s="29"/>
      <c r="ID3681" s="29"/>
      <c r="IE3681" s="29"/>
      <c r="IF3681" s="29"/>
      <c r="IG3681" s="29"/>
      <c r="IH3681" s="29"/>
      <c r="II3681" s="29"/>
      <c r="IJ3681" s="29"/>
      <c r="IK3681" s="29"/>
      <c r="IL3681" s="29"/>
      <c r="IM3681" s="29"/>
      <c r="IN3681" s="29"/>
      <c r="IO3681" s="29"/>
      <c r="IP3681" s="29"/>
      <c r="IQ3681" s="29"/>
      <c r="IR3681" s="29"/>
      <c r="IS3681" s="29"/>
      <c r="IT3681" s="29"/>
      <c r="IU3681" s="29"/>
      <c r="IV3681" s="29"/>
      <c r="IW3681" s="29"/>
      <c r="IX3681" s="29"/>
      <c r="IY3681" s="29"/>
      <c r="IZ3681" s="29"/>
      <c r="JA3681" s="29"/>
      <c r="JB3681" s="29"/>
    </row>
    <row r="3682" spans="1:262" s="28" customFormat="1">
      <c r="A3682" s="29"/>
      <c r="B3682" s="29"/>
      <c r="C3682" s="29"/>
      <c r="D3682" s="29"/>
      <c r="E3682" s="29"/>
      <c r="F3682" s="29"/>
      <c r="G3682" s="29"/>
      <c r="H3682" s="29"/>
      <c r="I3682" s="29"/>
      <c r="J3682" s="29"/>
      <c r="K3682" s="29"/>
      <c r="L3682" s="29"/>
      <c r="M3682" s="29"/>
      <c r="N3682" s="29"/>
      <c r="O3682" s="29"/>
      <c r="P3682" s="29"/>
      <c r="Q3682" s="29"/>
      <c r="R3682" s="29"/>
      <c r="S3682" s="29"/>
      <c r="T3682" s="29"/>
      <c r="U3682" s="29"/>
      <c r="V3682" s="29"/>
      <c r="GK3682" s="29"/>
      <c r="GL3682" s="29"/>
      <c r="GM3682" s="29"/>
      <c r="GN3682" s="29"/>
      <c r="GO3682" s="29"/>
      <c r="GP3682" s="29"/>
      <c r="GQ3682" s="29"/>
      <c r="GR3682" s="29"/>
      <c r="GS3682" s="29"/>
      <c r="GT3682" s="29"/>
      <c r="GU3682" s="29"/>
      <c r="GV3682" s="29"/>
      <c r="GW3682" s="29"/>
      <c r="GX3682" s="29"/>
      <c r="GY3682" s="29"/>
      <c r="GZ3682" s="29"/>
      <c r="HA3682" s="29"/>
      <c r="HB3682" s="29"/>
      <c r="HC3682" s="29"/>
      <c r="HD3682" s="29"/>
      <c r="HE3682" s="29"/>
      <c r="HF3682" s="29"/>
      <c r="HG3682" s="29"/>
      <c r="HH3682" s="29"/>
      <c r="HI3682" s="29"/>
      <c r="HJ3682" s="29"/>
      <c r="HK3682" s="29"/>
      <c r="HL3682" s="29"/>
      <c r="HM3682" s="29"/>
      <c r="HN3682" s="29"/>
      <c r="HO3682" s="29"/>
      <c r="HP3682" s="29"/>
      <c r="HQ3682" s="29"/>
      <c r="HR3682" s="29"/>
      <c r="HS3682" s="29"/>
      <c r="HT3682" s="29"/>
      <c r="HU3682" s="29"/>
      <c r="HV3682" s="29"/>
      <c r="HW3682" s="29"/>
      <c r="HX3682" s="29"/>
      <c r="HY3682" s="29"/>
      <c r="HZ3682" s="29"/>
      <c r="IA3682" s="29"/>
      <c r="IB3682" s="29"/>
      <c r="IC3682" s="29"/>
      <c r="ID3682" s="29"/>
      <c r="IE3682" s="29"/>
      <c r="IF3682" s="29"/>
      <c r="IG3682" s="29"/>
      <c r="IH3682" s="29"/>
      <c r="II3682" s="29"/>
      <c r="IJ3682" s="29"/>
      <c r="IK3682" s="29"/>
      <c r="IL3682" s="29"/>
      <c r="IM3682" s="29"/>
      <c r="IN3682" s="29"/>
      <c r="IO3682" s="29"/>
      <c r="IP3682" s="29"/>
      <c r="IQ3682" s="29"/>
      <c r="IR3682" s="29"/>
      <c r="IS3682" s="29"/>
      <c r="IT3682" s="29"/>
      <c r="IU3682" s="29"/>
      <c r="IV3682" s="29"/>
      <c r="IW3682" s="29"/>
      <c r="IX3682" s="29"/>
      <c r="IY3682" s="29"/>
      <c r="IZ3682" s="29"/>
      <c r="JA3682" s="29"/>
      <c r="JB3682" s="29"/>
    </row>
    <row r="3683" spans="1:262" s="28" customFormat="1">
      <c r="A3683" s="29"/>
      <c r="B3683" s="29"/>
      <c r="C3683" s="29"/>
      <c r="D3683" s="29"/>
      <c r="E3683" s="29"/>
      <c r="F3683" s="29"/>
      <c r="G3683" s="29"/>
      <c r="H3683" s="29"/>
      <c r="I3683" s="29"/>
      <c r="J3683" s="29"/>
      <c r="K3683" s="29"/>
      <c r="L3683" s="29"/>
      <c r="M3683" s="29"/>
      <c r="N3683" s="29"/>
      <c r="O3683" s="29"/>
      <c r="P3683" s="29"/>
      <c r="Q3683" s="29"/>
      <c r="R3683" s="29"/>
      <c r="S3683" s="29"/>
      <c r="T3683" s="29"/>
      <c r="U3683" s="29"/>
      <c r="V3683" s="29"/>
      <c r="GK3683" s="29"/>
      <c r="GL3683" s="29"/>
      <c r="GM3683" s="29"/>
      <c r="GN3683" s="29"/>
      <c r="GO3683" s="29"/>
      <c r="GP3683" s="29"/>
      <c r="GQ3683" s="29"/>
      <c r="GR3683" s="29"/>
      <c r="GS3683" s="29"/>
      <c r="GT3683" s="29"/>
      <c r="GU3683" s="29"/>
      <c r="GV3683" s="29"/>
      <c r="GW3683" s="29"/>
      <c r="GX3683" s="29"/>
      <c r="GY3683" s="29"/>
      <c r="GZ3683" s="29"/>
      <c r="HA3683" s="29"/>
      <c r="HB3683" s="29"/>
      <c r="HC3683" s="29"/>
      <c r="HD3683" s="29"/>
      <c r="HE3683" s="29"/>
      <c r="HF3683" s="29"/>
      <c r="HG3683" s="29"/>
      <c r="HH3683" s="29"/>
      <c r="HI3683" s="29"/>
      <c r="HJ3683" s="29"/>
      <c r="HK3683" s="29"/>
      <c r="HL3683" s="29"/>
      <c r="HM3683" s="29"/>
      <c r="HN3683" s="29"/>
      <c r="HO3683" s="29"/>
      <c r="HP3683" s="29"/>
      <c r="HQ3683" s="29"/>
      <c r="HR3683" s="29"/>
      <c r="HS3683" s="29"/>
      <c r="HT3683" s="29"/>
      <c r="HU3683" s="29"/>
      <c r="HV3683" s="29"/>
      <c r="HW3683" s="29"/>
      <c r="HX3683" s="29"/>
      <c r="HY3683" s="29"/>
      <c r="HZ3683" s="29"/>
      <c r="IA3683" s="29"/>
      <c r="IB3683" s="29"/>
      <c r="IC3683" s="29"/>
      <c r="ID3683" s="29"/>
      <c r="IE3683" s="29"/>
      <c r="IF3683" s="29"/>
      <c r="IG3683" s="29"/>
      <c r="IH3683" s="29"/>
      <c r="II3683" s="29"/>
      <c r="IJ3683" s="29"/>
      <c r="IK3683" s="29"/>
      <c r="IL3683" s="29"/>
      <c r="IM3683" s="29"/>
      <c r="IN3683" s="29"/>
      <c r="IO3683" s="29"/>
      <c r="IP3683" s="29"/>
      <c r="IQ3683" s="29"/>
      <c r="IR3683" s="29"/>
      <c r="IS3683" s="29"/>
      <c r="IT3683" s="29"/>
      <c r="IU3683" s="29"/>
      <c r="IV3683" s="29"/>
      <c r="IW3683" s="29"/>
      <c r="IX3683" s="29"/>
      <c r="IY3683" s="29"/>
      <c r="IZ3683" s="29"/>
      <c r="JA3683" s="29"/>
      <c r="JB3683" s="29"/>
    </row>
    <row r="3684" spans="1:262" s="28" customFormat="1">
      <c r="A3684" s="29"/>
      <c r="B3684" s="29"/>
      <c r="C3684" s="29"/>
      <c r="D3684" s="29"/>
      <c r="E3684" s="29"/>
      <c r="F3684" s="29"/>
      <c r="G3684" s="29"/>
      <c r="H3684" s="29"/>
      <c r="I3684" s="29"/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GK3684" s="29"/>
      <c r="GL3684" s="29"/>
      <c r="GM3684" s="29"/>
      <c r="GN3684" s="29"/>
      <c r="GO3684" s="29"/>
      <c r="GP3684" s="29"/>
      <c r="GQ3684" s="29"/>
      <c r="GR3684" s="29"/>
      <c r="GS3684" s="29"/>
      <c r="GT3684" s="29"/>
      <c r="GU3684" s="29"/>
      <c r="GV3684" s="29"/>
      <c r="GW3684" s="29"/>
      <c r="GX3684" s="29"/>
      <c r="GY3684" s="29"/>
      <c r="GZ3684" s="29"/>
      <c r="HA3684" s="29"/>
      <c r="HB3684" s="29"/>
      <c r="HC3684" s="29"/>
      <c r="HD3684" s="29"/>
      <c r="HE3684" s="29"/>
      <c r="HF3684" s="29"/>
      <c r="HG3684" s="29"/>
      <c r="HH3684" s="29"/>
      <c r="HI3684" s="29"/>
      <c r="HJ3684" s="29"/>
      <c r="HK3684" s="29"/>
      <c r="HL3684" s="29"/>
      <c r="HM3684" s="29"/>
      <c r="HN3684" s="29"/>
      <c r="HO3684" s="29"/>
      <c r="HP3684" s="29"/>
      <c r="HQ3684" s="29"/>
      <c r="HR3684" s="29"/>
      <c r="HS3684" s="29"/>
      <c r="HT3684" s="29"/>
      <c r="HU3684" s="29"/>
      <c r="HV3684" s="29"/>
      <c r="HW3684" s="29"/>
      <c r="HX3684" s="29"/>
      <c r="HY3684" s="29"/>
      <c r="HZ3684" s="29"/>
      <c r="IA3684" s="29"/>
      <c r="IB3684" s="29"/>
      <c r="IC3684" s="29"/>
      <c r="ID3684" s="29"/>
      <c r="IE3684" s="29"/>
      <c r="IF3684" s="29"/>
      <c r="IG3684" s="29"/>
      <c r="IH3684" s="29"/>
      <c r="II3684" s="29"/>
      <c r="IJ3684" s="29"/>
      <c r="IK3684" s="29"/>
      <c r="IL3684" s="29"/>
      <c r="IM3684" s="29"/>
      <c r="IN3684" s="29"/>
      <c r="IO3684" s="29"/>
      <c r="IP3684" s="29"/>
      <c r="IQ3684" s="29"/>
      <c r="IR3684" s="29"/>
      <c r="IS3684" s="29"/>
      <c r="IT3684" s="29"/>
      <c r="IU3684" s="29"/>
      <c r="IV3684" s="29"/>
      <c r="IW3684" s="29"/>
      <c r="IX3684" s="29"/>
      <c r="IY3684" s="29"/>
      <c r="IZ3684" s="29"/>
      <c r="JA3684" s="29"/>
      <c r="JB3684" s="29"/>
    </row>
    <row r="3685" spans="1:262" s="28" customFormat="1">
      <c r="A3685" s="29"/>
      <c r="B3685" s="29"/>
      <c r="C3685" s="29"/>
      <c r="D3685" s="29"/>
      <c r="E3685" s="29"/>
      <c r="F3685" s="29"/>
      <c r="G3685" s="29"/>
      <c r="H3685" s="29"/>
      <c r="I3685" s="29"/>
      <c r="J3685" s="29"/>
      <c r="K3685" s="29"/>
      <c r="L3685" s="29"/>
      <c r="M3685" s="29"/>
      <c r="N3685" s="29"/>
      <c r="O3685" s="29"/>
      <c r="P3685" s="29"/>
      <c r="Q3685" s="29"/>
      <c r="R3685" s="29"/>
      <c r="S3685" s="29"/>
      <c r="T3685" s="29"/>
      <c r="U3685" s="29"/>
      <c r="V3685" s="29"/>
      <c r="GK3685" s="29"/>
      <c r="GL3685" s="29"/>
      <c r="GM3685" s="29"/>
      <c r="GN3685" s="29"/>
      <c r="GO3685" s="29"/>
      <c r="GP3685" s="29"/>
      <c r="GQ3685" s="29"/>
      <c r="GR3685" s="29"/>
      <c r="GS3685" s="29"/>
      <c r="GT3685" s="29"/>
      <c r="GU3685" s="29"/>
      <c r="GV3685" s="29"/>
      <c r="GW3685" s="29"/>
      <c r="GX3685" s="29"/>
      <c r="GY3685" s="29"/>
      <c r="GZ3685" s="29"/>
      <c r="HA3685" s="29"/>
      <c r="HB3685" s="29"/>
      <c r="HC3685" s="29"/>
      <c r="HD3685" s="29"/>
      <c r="HE3685" s="29"/>
      <c r="HF3685" s="29"/>
      <c r="HG3685" s="29"/>
      <c r="HH3685" s="29"/>
      <c r="HI3685" s="29"/>
      <c r="HJ3685" s="29"/>
      <c r="HK3685" s="29"/>
      <c r="HL3685" s="29"/>
      <c r="HM3685" s="29"/>
      <c r="HN3685" s="29"/>
      <c r="HO3685" s="29"/>
      <c r="HP3685" s="29"/>
      <c r="HQ3685" s="29"/>
      <c r="HR3685" s="29"/>
      <c r="HS3685" s="29"/>
      <c r="HT3685" s="29"/>
      <c r="HU3685" s="29"/>
      <c r="HV3685" s="29"/>
      <c r="HW3685" s="29"/>
      <c r="HX3685" s="29"/>
      <c r="HY3685" s="29"/>
      <c r="HZ3685" s="29"/>
      <c r="IA3685" s="29"/>
      <c r="IB3685" s="29"/>
      <c r="IC3685" s="29"/>
      <c r="ID3685" s="29"/>
      <c r="IE3685" s="29"/>
      <c r="IF3685" s="29"/>
      <c r="IG3685" s="29"/>
      <c r="IH3685" s="29"/>
      <c r="II3685" s="29"/>
      <c r="IJ3685" s="29"/>
      <c r="IK3685" s="29"/>
      <c r="IL3685" s="29"/>
      <c r="IM3685" s="29"/>
      <c r="IN3685" s="29"/>
      <c r="IO3685" s="29"/>
      <c r="IP3685" s="29"/>
      <c r="IQ3685" s="29"/>
      <c r="IR3685" s="29"/>
      <c r="IS3685" s="29"/>
      <c r="IT3685" s="29"/>
      <c r="IU3685" s="29"/>
      <c r="IV3685" s="29"/>
      <c r="IW3685" s="29"/>
      <c r="IX3685" s="29"/>
      <c r="IY3685" s="29"/>
      <c r="IZ3685" s="29"/>
      <c r="JA3685" s="29"/>
      <c r="JB3685" s="29"/>
    </row>
    <row r="3686" spans="1:262" s="28" customFormat="1">
      <c r="A3686" s="29"/>
      <c r="B3686" s="29"/>
      <c r="C3686" s="29"/>
      <c r="D3686" s="29"/>
      <c r="E3686" s="29"/>
      <c r="F3686" s="29"/>
      <c r="G3686" s="29"/>
      <c r="H3686" s="29"/>
      <c r="I3686" s="29"/>
      <c r="J3686" s="29"/>
      <c r="K3686" s="29"/>
      <c r="L3686" s="29"/>
      <c r="M3686" s="29"/>
      <c r="N3686" s="29"/>
      <c r="O3686" s="29"/>
      <c r="P3686" s="29"/>
      <c r="Q3686" s="29"/>
      <c r="R3686" s="29"/>
      <c r="S3686" s="29"/>
      <c r="T3686" s="29"/>
      <c r="U3686" s="29"/>
      <c r="V3686" s="29"/>
      <c r="GK3686" s="29"/>
      <c r="GL3686" s="29"/>
      <c r="GM3686" s="29"/>
      <c r="GN3686" s="29"/>
      <c r="GO3686" s="29"/>
      <c r="GP3686" s="29"/>
      <c r="GQ3686" s="29"/>
      <c r="GR3686" s="29"/>
      <c r="GS3686" s="29"/>
      <c r="GT3686" s="29"/>
      <c r="GU3686" s="29"/>
      <c r="GV3686" s="29"/>
      <c r="GW3686" s="29"/>
      <c r="GX3686" s="29"/>
      <c r="GY3686" s="29"/>
      <c r="GZ3686" s="29"/>
      <c r="HA3686" s="29"/>
      <c r="HB3686" s="29"/>
      <c r="HC3686" s="29"/>
      <c r="HD3686" s="29"/>
      <c r="HE3686" s="29"/>
      <c r="HF3686" s="29"/>
      <c r="HG3686" s="29"/>
      <c r="HH3686" s="29"/>
      <c r="HI3686" s="29"/>
      <c r="HJ3686" s="29"/>
      <c r="HK3686" s="29"/>
      <c r="HL3686" s="29"/>
      <c r="HM3686" s="29"/>
      <c r="HN3686" s="29"/>
      <c r="HO3686" s="29"/>
      <c r="HP3686" s="29"/>
      <c r="HQ3686" s="29"/>
      <c r="HR3686" s="29"/>
      <c r="HS3686" s="29"/>
      <c r="HT3686" s="29"/>
      <c r="HU3686" s="29"/>
      <c r="HV3686" s="29"/>
      <c r="HW3686" s="29"/>
      <c r="HX3686" s="29"/>
      <c r="HY3686" s="29"/>
      <c r="HZ3686" s="29"/>
      <c r="IA3686" s="29"/>
      <c r="IB3686" s="29"/>
      <c r="IC3686" s="29"/>
      <c r="ID3686" s="29"/>
      <c r="IE3686" s="29"/>
      <c r="IF3686" s="29"/>
      <c r="IG3686" s="29"/>
      <c r="IH3686" s="29"/>
      <c r="II3686" s="29"/>
      <c r="IJ3686" s="29"/>
      <c r="IK3686" s="29"/>
      <c r="IL3686" s="29"/>
      <c r="IM3686" s="29"/>
      <c r="IN3686" s="29"/>
      <c r="IO3686" s="29"/>
      <c r="IP3686" s="29"/>
      <c r="IQ3686" s="29"/>
      <c r="IR3686" s="29"/>
      <c r="IS3686" s="29"/>
      <c r="IT3686" s="29"/>
      <c r="IU3686" s="29"/>
      <c r="IV3686" s="29"/>
      <c r="IW3686" s="29"/>
      <c r="IX3686" s="29"/>
      <c r="IY3686" s="29"/>
      <c r="IZ3686" s="29"/>
      <c r="JA3686" s="29"/>
      <c r="JB3686" s="29"/>
    </row>
    <row r="3687" spans="1:262" s="28" customFormat="1">
      <c r="A3687" s="29"/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  <c r="M3687" s="29"/>
      <c r="N3687" s="29"/>
      <c r="O3687" s="29"/>
      <c r="P3687" s="29"/>
      <c r="Q3687" s="29"/>
      <c r="R3687" s="29"/>
      <c r="S3687" s="29"/>
      <c r="T3687" s="29"/>
      <c r="U3687" s="29"/>
      <c r="V3687" s="29"/>
      <c r="GK3687" s="29"/>
      <c r="GL3687" s="29"/>
      <c r="GM3687" s="29"/>
      <c r="GN3687" s="29"/>
      <c r="GO3687" s="29"/>
      <c r="GP3687" s="29"/>
      <c r="GQ3687" s="29"/>
      <c r="GR3687" s="29"/>
      <c r="GS3687" s="29"/>
      <c r="GT3687" s="29"/>
      <c r="GU3687" s="29"/>
      <c r="GV3687" s="29"/>
      <c r="GW3687" s="29"/>
      <c r="GX3687" s="29"/>
      <c r="GY3687" s="29"/>
      <c r="GZ3687" s="29"/>
      <c r="HA3687" s="29"/>
      <c r="HB3687" s="29"/>
      <c r="HC3687" s="29"/>
      <c r="HD3687" s="29"/>
      <c r="HE3687" s="29"/>
      <c r="HF3687" s="29"/>
      <c r="HG3687" s="29"/>
      <c r="HH3687" s="29"/>
      <c r="HI3687" s="29"/>
      <c r="HJ3687" s="29"/>
      <c r="HK3687" s="29"/>
      <c r="HL3687" s="29"/>
      <c r="HM3687" s="29"/>
      <c r="HN3687" s="29"/>
      <c r="HO3687" s="29"/>
      <c r="HP3687" s="29"/>
      <c r="HQ3687" s="29"/>
      <c r="HR3687" s="29"/>
      <c r="HS3687" s="29"/>
      <c r="HT3687" s="29"/>
      <c r="HU3687" s="29"/>
      <c r="HV3687" s="29"/>
      <c r="HW3687" s="29"/>
      <c r="HX3687" s="29"/>
      <c r="HY3687" s="29"/>
      <c r="HZ3687" s="29"/>
      <c r="IA3687" s="29"/>
      <c r="IB3687" s="29"/>
      <c r="IC3687" s="29"/>
      <c r="ID3687" s="29"/>
      <c r="IE3687" s="29"/>
      <c r="IF3687" s="29"/>
      <c r="IG3687" s="29"/>
      <c r="IH3687" s="29"/>
      <c r="II3687" s="29"/>
      <c r="IJ3687" s="29"/>
      <c r="IK3687" s="29"/>
      <c r="IL3687" s="29"/>
      <c r="IM3687" s="29"/>
      <c r="IN3687" s="29"/>
      <c r="IO3687" s="29"/>
      <c r="IP3687" s="29"/>
      <c r="IQ3687" s="29"/>
      <c r="IR3687" s="29"/>
      <c r="IS3687" s="29"/>
      <c r="IT3687" s="29"/>
      <c r="IU3687" s="29"/>
      <c r="IV3687" s="29"/>
      <c r="IW3687" s="29"/>
      <c r="IX3687" s="29"/>
      <c r="IY3687" s="29"/>
      <c r="IZ3687" s="29"/>
      <c r="JA3687" s="29"/>
      <c r="JB3687" s="29"/>
    </row>
    <row r="3688" spans="1:262" s="28" customFormat="1">
      <c r="A3688" s="29"/>
      <c r="B3688" s="29"/>
      <c r="C3688" s="29"/>
      <c r="D3688" s="29"/>
      <c r="E3688" s="29"/>
      <c r="F3688" s="29"/>
      <c r="G3688" s="29"/>
      <c r="H3688" s="29"/>
      <c r="I3688" s="29"/>
      <c r="J3688" s="29"/>
      <c r="K3688" s="29"/>
      <c r="L3688" s="29"/>
      <c r="M3688" s="29"/>
      <c r="N3688" s="29"/>
      <c r="O3688" s="29"/>
      <c r="P3688" s="29"/>
      <c r="Q3688" s="29"/>
      <c r="R3688" s="29"/>
      <c r="S3688" s="29"/>
      <c r="T3688" s="29"/>
      <c r="U3688" s="29"/>
      <c r="V3688" s="29"/>
      <c r="GK3688" s="29"/>
      <c r="GL3688" s="29"/>
      <c r="GM3688" s="29"/>
      <c r="GN3688" s="29"/>
      <c r="GO3688" s="29"/>
      <c r="GP3688" s="29"/>
      <c r="GQ3688" s="29"/>
      <c r="GR3688" s="29"/>
      <c r="GS3688" s="29"/>
      <c r="GT3688" s="29"/>
      <c r="GU3688" s="29"/>
      <c r="GV3688" s="29"/>
      <c r="GW3688" s="29"/>
      <c r="GX3688" s="29"/>
      <c r="GY3688" s="29"/>
      <c r="GZ3688" s="29"/>
      <c r="HA3688" s="29"/>
      <c r="HB3688" s="29"/>
      <c r="HC3688" s="29"/>
      <c r="HD3688" s="29"/>
      <c r="HE3688" s="29"/>
      <c r="HF3688" s="29"/>
      <c r="HG3688" s="29"/>
      <c r="HH3688" s="29"/>
      <c r="HI3688" s="29"/>
      <c r="HJ3688" s="29"/>
      <c r="HK3688" s="29"/>
      <c r="HL3688" s="29"/>
      <c r="HM3688" s="29"/>
      <c r="HN3688" s="29"/>
      <c r="HO3688" s="29"/>
      <c r="HP3688" s="29"/>
      <c r="HQ3688" s="29"/>
      <c r="HR3688" s="29"/>
      <c r="HS3688" s="29"/>
      <c r="HT3688" s="29"/>
      <c r="HU3688" s="29"/>
      <c r="HV3688" s="29"/>
      <c r="HW3688" s="29"/>
      <c r="HX3688" s="29"/>
      <c r="HY3688" s="29"/>
      <c r="HZ3688" s="29"/>
      <c r="IA3688" s="29"/>
      <c r="IB3688" s="29"/>
      <c r="IC3688" s="29"/>
      <c r="ID3688" s="29"/>
      <c r="IE3688" s="29"/>
      <c r="IF3688" s="29"/>
      <c r="IG3688" s="29"/>
      <c r="IH3688" s="29"/>
      <c r="II3688" s="29"/>
      <c r="IJ3688" s="29"/>
      <c r="IK3688" s="29"/>
      <c r="IL3688" s="29"/>
      <c r="IM3688" s="29"/>
      <c r="IN3688" s="29"/>
      <c r="IO3688" s="29"/>
      <c r="IP3688" s="29"/>
      <c r="IQ3688" s="29"/>
      <c r="IR3688" s="29"/>
      <c r="IS3688" s="29"/>
      <c r="IT3688" s="29"/>
      <c r="IU3688" s="29"/>
      <c r="IV3688" s="29"/>
      <c r="IW3688" s="29"/>
      <c r="IX3688" s="29"/>
      <c r="IY3688" s="29"/>
      <c r="IZ3688" s="29"/>
      <c r="JA3688" s="29"/>
      <c r="JB3688" s="29"/>
    </row>
    <row r="3689" spans="1:262" s="28" customFormat="1">
      <c r="A3689" s="29"/>
      <c r="B3689" s="29"/>
      <c r="C3689" s="29"/>
      <c r="D3689" s="29"/>
      <c r="E3689" s="29"/>
      <c r="F3689" s="29"/>
      <c r="G3689" s="29"/>
      <c r="H3689" s="29"/>
      <c r="I3689" s="29"/>
      <c r="J3689" s="29"/>
      <c r="K3689" s="29"/>
      <c r="L3689" s="29"/>
      <c r="M3689" s="29"/>
      <c r="N3689" s="29"/>
      <c r="O3689" s="29"/>
      <c r="P3689" s="29"/>
      <c r="Q3689" s="29"/>
      <c r="R3689" s="29"/>
      <c r="S3689" s="29"/>
      <c r="T3689" s="29"/>
      <c r="U3689" s="29"/>
      <c r="V3689" s="29"/>
      <c r="GK3689" s="29"/>
      <c r="GL3689" s="29"/>
      <c r="GM3689" s="29"/>
      <c r="GN3689" s="29"/>
      <c r="GO3689" s="29"/>
      <c r="GP3689" s="29"/>
      <c r="GQ3689" s="29"/>
      <c r="GR3689" s="29"/>
      <c r="GS3689" s="29"/>
      <c r="GT3689" s="29"/>
      <c r="GU3689" s="29"/>
      <c r="GV3689" s="29"/>
      <c r="GW3689" s="29"/>
      <c r="GX3689" s="29"/>
      <c r="GY3689" s="29"/>
      <c r="GZ3689" s="29"/>
      <c r="HA3689" s="29"/>
      <c r="HB3689" s="29"/>
      <c r="HC3689" s="29"/>
      <c r="HD3689" s="29"/>
      <c r="HE3689" s="29"/>
      <c r="HF3689" s="29"/>
      <c r="HG3689" s="29"/>
      <c r="HH3689" s="29"/>
      <c r="HI3689" s="29"/>
      <c r="HJ3689" s="29"/>
      <c r="HK3689" s="29"/>
      <c r="HL3689" s="29"/>
      <c r="HM3689" s="29"/>
      <c r="HN3689" s="29"/>
      <c r="HO3689" s="29"/>
      <c r="HP3689" s="29"/>
      <c r="HQ3689" s="29"/>
      <c r="HR3689" s="29"/>
      <c r="HS3689" s="29"/>
      <c r="HT3689" s="29"/>
      <c r="HU3689" s="29"/>
      <c r="HV3689" s="29"/>
      <c r="HW3689" s="29"/>
      <c r="HX3689" s="29"/>
      <c r="HY3689" s="29"/>
      <c r="HZ3689" s="29"/>
      <c r="IA3689" s="29"/>
      <c r="IB3689" s="29"/>
      <c r="IC3689" s="29"/>
      <c r="ID3689" s="29"/>
      <c r="IE3689" s="29"/>
      <c r="IF3689" s="29"/>
      <c r="IG3689" s="29"/>
      <c r="IH3689" s="29"/>
      <c r="II3689" s="29"/>
      <c r="IJ3689" s="29"/>
      <c r="IK3689" s="29"/>
      <c r="IL3689" s="29"/>
      <c r="IM3689" s="29"/>
      <c r="IN3689" s="29"/>
      <c r="IO3689" s="29"/>
      <c r="IP3689" s="29"/>
      <c r="IQ3689" s="29"/>
      <c r="IR3689" s="29"/>
      <c r="IS3689" s="29"/>
      <c r="IT3689" s="29"/>
      <c r="IU3689" s="29"/>
      <c r="IV3689" s="29"/>
      <c r="IW3689" s="29"/>
      <c r="IX3689" s="29"/>
      <c r="IY3689" s="29"/>
      <c r="IZ3689" s="29"/>
      <c r="JA3689" s="29"/>
      <c r="JB3689" s="29"/>
    </row>
    <row r="3690" spans="1:262" s="28" customFormat="1">
      <c r="A3690" s="29"/>
      <c r="B3690" s="29"/>
      <c r="C3690" s="29"/>
      <c r="D3690" s="29"/>
      <c r="E3690" s="29"/>
      <c r="F3690" s="29"/>
      <c r="G3690" s="29"/>
      <c r="H3690" s="29"/>
      <c r="I3690" s="29"/>
      <c r="J3690" s="29"/>
      <c r="K3690" s="29"/>
      <c r="L3690" s="29"/>
      <c r="M3690" s="29"/>
      <c r="N3690" s="29"/>
      <c r="O3690" s="29"/>
      <c r="P3690" s="29"/>
      <c r="Q3690" s="29"/>
      <c r="R3690" s="29"/>
      <c r="S3690" s="29"/>
      <c r="T3690" s="29"/>
      <c r="U3690" s="29"/>
      <c r="V3690" s="29"/>
      <c r="GK3690" s="29"/>
      <c r="GL3690" s="29"/>
      <c r="GM3690" s="29"/>
      <c r="GN3690" s="29"/>
      <c r="GO3690" s="29"/>
      <c r="GP3690" s="29"/>
      <c r="GQ3690" s="29"/>
      <c r="GR3690" s="29"/>
      <c r="GS3690" s="29"/>
      <c r="GT3690" s="29"/>
      <c r="GU3690" s="29"/>
      <c r="GV3690" s="29"/>
      <c r="GW3690" s="29"/>
      <c r="GX3690" s="29"/>
      <c r="GY3690" s="29"/>
      <c r="GZ3690" s="29"/>
      <c r="HA3690" s="29"/>
      <c r="HB3690" s="29"/>
      <c r="HC3690" s="29"/>
      <c r="HD3690" s="29"/>
      <c r="HE3690" s="29"/>
      <c r="HF3690" s="29"/>
      <c r="HG3690" s="29"/>
      <c r="HH3690" s="29"/>
      <c r="HI3690" s="29"/>
      <c r="HJ3690" s="29"/>
      <c r="HK3690" s="29"/>
      <c r="HL3690" s="29"/>
      <c r="HM3690" s="29"/>
      <c r="HN3690" s="29"/>
      <c r="HO3690" s="29"/>
      <c r="HP3690" s="29"/>
      <c r="HQ3690" s="29"/>
      <c r="HR3690" s="29"/>
      <c r="HS3690" s="29"/>
      <c r="HT3690" s="29"/>
      <c r="HU3690" s="29"/>
      <c r="HV3690" s="29"/>
      <c r="HW3690" s="29"/>
      <c r="HX3690" s="29"/>
      <c r="HY3690" s="29"/>
      <c r="HZ3690" s="29"/>
      <c r="IA3690" s="29"/>
      <c r="IB3690" s="29"/>
      <c r="IC3690" s="29"/>
      <c r="ID3690" s="29"/>
      <c r="IE3690" s="29"/>
      <c r="IF3690" s="29"/>
      <c r="IG3690" s="29"/>
      <c r="IH3690" s="29"/>
      <c r="II3690" s="29"/>
      <c r="IJ3690" s="29"/>
      <c r="IK3690" s="29"/>
      <c r="IL3690" s="29"/>
      <c r="IM3690" s="29"/>
      <c r="IN3690" s="29"/>
      <c r="IO3690" s="29"/>
      <c r="IP3690" s="29"/>
      <c r="IQ3690" s="29"/>
      <c r="IR3690" s="29"/>
      <c r="IS3690" s="29"/>
      <c r="IT3690" s="29"/>
      <c r="IU3690" s="29"/>
      <c r="IV3690" s="29"/>
      <c r="IW3690" s="29"/>
      <c r="IX3690" s="29"/>
      <c r="IY3690" s="29"/>
      <c r="IZ3690" s="29"/>
      <c r="JA3690" s="29"/>
      <c r="JB3690" s="29"/>
    </row>
    <row r="3691" spans="1:262" s="28" customFormat="1">
      <c r="A3691" s="29"/>
      <c r="B3691" s="29"/>
      <c r="C3691" s="29"/>
      <c r="D3691" s="29"/>
      <c r="E3691" s="29"/>
      <c r="F3691" s="29"/>
      <c r="G3691" s="29"/>
      <c r="H3691" s="29"/>
      <c r="I3691" s="29"/>
      <c r="J3691" s="29"/>
      <c r="K3691" s="29"/>
      <c r="L3691" s="29"/>
      <c r="M3691" s="29"/>
      <c r="N3691" s="29"/>
      <c r="O3691" s="29"/>
      <c r="P3691" s="29"/>
      <c r="Q3691" s="29"/>
      <c r="R3691" s="29"/>
      <c r="S3691" s="29"/>
      <c r="T3691" s="29"/>
      <c r="U3691" s="29"/>
      <c r="V3691" s="29"/>
      <c r="GK3691" s="29"/>
      <c r="GL3691" s="29"/>
      <c r="GM3691" s="29"/>
      <c r="GN3691" s="29"/>
      <c r="GO3691" s="29"/>
      <c r="GP3691" s="29"/>
      <c r="GQ3691" s="29"/>
      <c r="GR3691" s="29"/>
      <c r="GS3691" s="29"/>
      <c r="GT3691" s="29"/>
      <c r="GU3691" s="29"/>
      <c r="GV3691" s="29"/>
      <c r="GW3691" s="29"/>
      <c r="GX3691" s="29"/>
      <c r="GY3691" s="29"/>
      <c r="GZ3691" s="29"/>
      <c r="HA3691" s="29"/>
      <c r="HB3691" s="29"/>
      <c r="HC3691" s="29"/>
      <c r="HD3691" s="29"/>
      <c r="HE3691" s="29"/>
      <c r="HF3691" s="29"/>
      <c r="HG3691" s="29"/>
      <c r="HH3691" s="29"/>
      <c r="HI3691" s="29"/>
      <c r="HJ3691" s="29"/>
      <c r="HK3691" s="29"/>
      <c r="HL3691" s="29"/>
      <c r="HM3691" s="29"/>
      <c r="HN3691" s="29"/>
      <c r="HO3691" s="29"/>
      <c r="HP3691" s="29"/>
      <c r="HQ3691" s="29"/>
      <c r="HR3691" s="29"/>
      <c r="HS3691" s="29"/>
      <c r="HT3691" s="29"/>
      <c r="HU3691" s="29"/>
      <c r="HV3691" s="29"/>
      <c r="HW3691" s="29"/>
      <c r="HX3691" s="29"/>
      <c r="HY3691" s="29"/>
      <c r="HZ3691" s="29"/>
      <c r="IA3691" s="29"/>
      <c r="IB3691" s="29"/>
      <c r="IC3691" s="29"/>
      <c r="ID3691" s="29"/>
      <c r="IE3691" s="29"/>
      <c r="IF3691" s="29"/>
      <c r="IG3691" s="29"/>
      <c r="IH3691" s="29"/>
      <c r="II3691" s="29"/>
      <c r="IJ3691" s="29"/>
      <c r="IK3691" s="29"/>
      <c r="IL3691" s="29"/>
      <c r="IM3691" s="29"/>
      <c r="IN3691" s="29"/>
      <c r="IO3691" s="29"/>
      <c r="IP3691" s="29"/>
      <c r="IQ3691" s="29"/>
      <c r="IR3691" s="29"/>
      <c r="IS3691" s="29"/>
      <c r="IT3691" s="29"/>
      <c r="IU3691" s="29"/>
      <c r="IV3691" s="29"/>
      <c r="IW3691" s="29"/>
      <c r="IX3691" s="29"/>
      <c r="IY3691" s="29"/>
      <c r="IZ3691" s="29"/>
      <c r="JA3691" s="29"/>
      <c r="JB3691" s="29"/>
    </row>
    <row r="3692" spans="1:262" s="28" customFormat="1">
      <c r="A3692" s="29"/>
      <c r="B3692" s="29"/>
      <c r="C3692" s="29"/>
      <c r="D3692" s="29"/>
      <c r="E3692" s="29"/>
      <c r="F3692" s="29"/>
      <c r="G3692" s="29"/>
      <c r="H3692" s="29"/>
      <c r="I3692" s="29"/>
      <c r="J3692" s="29"/>
      <c r="K3692" s="29"/>
      <c r="L3692" s="29"/>
      <c r="M3692" s="29"/>
      <c r="N3692" s="29"/>
      <c r="O3692" s="29"/>
      <c r="P3692" s="29"/>
      <c r="Q3692" s="29"/>
      <c r="R3692" s="29"/>
      <c r="S3692" s="29"/>
      <c r="T3692" s="29"/>
      <c r="U3692" s="29"/>
      <c r="V3692" s="29"/>
      <c r="GK3692" s="29"/>
      <c r="GL3692" s="29"/>
      <c r="GM3692" s="29"/>
      <c r="GN3692" s="29"/>
      <c r="GO3692" s="29"/>
      <c r="GP3692" s="29"/>
      <c r="GQ3692" s="29"/>
      <c r="GR3692" s="29"/>
      <c r="GS3692" s="29"/>
      <c r="GT3692" s="29"/>
      <c r="GU3692" s="29"/>
      <c r="GV3692" s="29"/>
      <c r="GW3692" s="29"/>
      <c r="GX3692" s="29"/>
      <c r="GY3692" s="29"/>
      <c r="GZ3692" s="29"/>
      <c r="HA3692" s="29"/>
      <c r="HB3692" s="29"/>
      <c r="HC3692" s="29"/>
      <c r="HD3692" s="29"/>
      <c r="HE3692" s="29"/>
      <c r="HF3692" s="29"/>
      <c r="HG3692" s="29"/>
      <c r="HH3692" s="29"/>
      <c r="HI3692" s="29"/>
      <c r="HJ3692" s="29"/>
      <c r="HK3692" s="29"/>
      <c r="HL3692" s="29"/>
      <c r="HM3692" s="29"/>
      <c r="HN3692" s="29"/>
      <c r="HO3692" s="29"/>
      <c r="HP3692" s="29"/>
      <c r="HQ3692" s="29"/>
      <c r="HR3692" s="29"/>
      <c r="HS3692" s="29"/>
      <c r="HT3692" s="29"/>
      <c r="HU3692" s="29"/>
      <c r="HV3692" s="29"/>
      <c r="HW3692" s="29"/>
      <c r="HX3692" s="29"/>
      <c r="HY3692" s="29"/>
      <c r="HZ3692" s="29"/>
      <c r="IA3692" s="29"/>
      <c r="IB3692" s="29"/>
      <c r="IC3692" s="29"/>
      <c r="ID3692" s="29"/>
      <c r="IE3692" s="29"/>
      <c r="IF3692" s="29"/>
      <c r="IG3692" s="29"/>
      <c r="IH3692" s="29"/>
      <c r="II3692" s="29"/>
      <c r="IJ3692" s="29"/>
      <c r="IK3692" s="29"/>
      <c r="IL3692" s="29"/>
      <c r="IM3692" s="29"/>
      <c r="IN3692" s="29"/>
      <c r="IO3692" s="29"/>
      <c r="IP3692" s="29"/>
      <c r="IQ3692" s="29"/>
      <c r="IR3692" s="29"/>
      <c r="IS3692" s="29"/>
      <c r="IT3692" s="29"/>
      <c r="IU3692" s="29"/>
      <c r="IV3692" s="29"/>
      <c r="IW3692" s="29"/>
      <c r="IX3692" s="29"/>
      <c r="IY3692" s="29"/>
      <c r="IZ3692" s="29"/>
      <c r="JA3692" s="29"/>
      <c r="JB3692" s="29"/>
    </row>
    <row r="3693" spans="1:262" s="28" customFormat="1">
      <c r="A3693" s="29"/>
      <c r="B3693" s="29"/>
      <c r="C3693" s="29"/>
      <c r="D3693" s="29"/>
      <c r="E3693" s="29"/>
      <c r="F3693" s="29"/>
      <c r="G3693" s="29"/>
      <c r="H3693" s="29"/>
      <c r="I3693" s="29"/>
      <c r="J3693" s="29"/>
      <c r="K3693" s="29"/>
      <c r="L3693" s="29"/>
      <c r="M3693" s="29"/>
      <c r="N3693" s="29"/>
      <c r="O3693" s="29"/>
      <c r="P3693" s="29"/>
      <c r="Q3693" s="29"/>
      <c r="R3693" s="29"/>
      <c r="S3693" s="29"/>
      <c r="T3693" s="29"/>
      <c r="U3693" s="29"/>
      <c r="V3693" s="29"/>
      <c r="GK3693" s="29"/>
      <c r="GL3693" s="29"/>
      <c r="GM3693" s="29"/>
      <c r="GN3693" s="29"/>
      <c r="GO3693" s="29"/>
      <c r="GP3693" s="29"/>
      <c r="GQ3693" s="29"/>
      <c r="GR3693" s="29"/>
      <c r="GS3693" s="29"/>
      <c r="GT3693" s="29"/>
      <c r="GU3693" s="29"/>
      <c r="GV3693" s="29"/>
      <c r="GW3693" s="29"/>
      <c r="GX3693" s="29"/>
      <c r="GY3693" s="29"/>
      <c r="GZ3693" s="29"/>
      <c r="HA3693" s="29"/>
      <c r="HB3693" s="29"/>
      <c r="HC3693" s="29"/>
      <c r="HD3693" s="29"/>
      <c r="HE3693" s="29"/>
      <c r="HF3693" s="29"/>
      <c r="HG3693" s="29"/>
      <c r="HH3693" s="29"/>
      <c r="HI3693" s="29"/>
      <c r="HJ3693" s="29"/>
      <c r="HK3693" s="29"/>
      <c r="HL3693" s="29"/>
      <c r="HM3693" s="29"/>
      <c r="HN3693" s="29"/>
      <c r="HO3693" s="29"/>
      <c r="HP3693" s="29"/>
      <c r="HQ3693" s="29"/>
      <c r="HR3693" s="29"/>
      <c r="HS3693" s="29"/>
      <c r="HT3693" s="29"/>
      <c r="HU3693" s="29"/>
      <c r="HV3693" s="29"/>
      <c r="HW3693" s="29"/>
      <c r="HX3693" s="29"/>
      <c r="HY3693" s="29"/>
      <c r="HZ3693" s="29"/>
      <c r="IA3693" s="29"/>
      <c r="IB3693" s="29"/>
      <c r="IC3693" s="29"/>
      <c r="ID3693" s="29"/>
      <c r="IE3693" s="29"/>
      <c r="IF3693" s="29"/>
      <c r="IG3693" s="29"/>
      <c r="IH3693" s="29"/>
      <c r="II3693" s="29"/>
      <c r="IJ3693" s="29"/>
      <c r="IK3693" s="29"/>
      <c r="IL3693" s="29"/>
      <c r="IM3693" s="29"/>
      <c r="IN3693" s="29"/>
      <c r="IO3693" s="29"/>
      <c r="IP3693" s="29"/>
      <c r="IQ3693" s="29"/>
      <c r="IR3693" s="29"/>
      <c r="IS3693" s="29"/>
      <c r="IT3693" s="29"/>
      <c r="IU3693" s="29"/>
      <c r="IV3693" s="29"/>
      <c r="IW3693" s="29"/>
      <c r="IX3693" s="29"/>
      <c r="IY3693" s="29"/>
      <c r="IZ3693" s="29"/>
      <c r="JA3693" s="29"/>
      <c r="JB3693" s="29"/>
    </row>
    <row r="3694" spans="1:262" s="28" customFormat="1">
      <c r="A3694" s="29"/>
      <c r="B3694" s="29"/>
      <c r="C3694" s="29"/>
      <c r="D3694" s="29"/>
      <c r="E3694" s="29"/>
      <c r="F3694" s="29"/>
      <c r="G3694" s="29"/>
      <c r="H3694" s="29"/>
      <c r="I3694" s="29"/>
      <c r="J3694" s="29"/>
      <c r="K3694" s="29"/>
      <c r="L3694" s="29"/>
      <c r="M3694" s="29"/>
      <c r="N3694" s="29"/>
      <c r="O3694" s="29"/>
      <c r="P3694" s="29"/>
      <c r="Q3694" s="29"/>
      <c r="R3694" s="29"/>
      <c r="S3694" s="29"/>
      <c r="T3694" s="29"/>
      <c r="U3694" s="29"/>
      <c r="V3694" s="29"/>
      <c r="GK3694" s="29"/>
      <c r="GL3694" s="29"/>
      <c r="GM3694" s="29"/>
      <c r="GN3694" s="29"/>
      <c r="GO3694" s="29"/>
      <c r="GP3694" s="29"/>
      <c r="GQ3694" s="29"/>
      <c r="GR3694" s="29"/>
      <c r="GS3694" s="29"/>
      <c r="GT3694" s="29"/>
      <c r="GU3694" s="29"/>
      <c r="GV3694" s="29"/>
      <c r="GW3694" s="29"/>
      <c r="GX3694" s="29"/>
      <c r="GY3694" s="29"/>
      <c r="GZ3694" s="29"/>
      <c r="HA3694" s="29"/>
      <c r="HB3694" s="29"/>
      <c r="HC3694" s="29"/>
      <c r="HD3694" s="29"/>
      <c r="HE3694" s="29"/>
      <c r="HF3694" s="29"/>
      <c r="HG3694" s="29"/>
      <c r="HH3694" s="29"/>
      <c r="HI3694" s="29"/>
      <c r="HJ3694" s="29"/>
      <c r="HK3694" s="29"/>
      <c r="HL3694" s="29"/>
      <c r="HM3694" s="29"/>
      <c r="HN3694" s="29"/>
      <c r="HO3694" s="29"/>
      <c r="HP3694" s="29"/>
      <c r="HQ3694" s="29"/>
      <c r="HR3694" s="29"/>
      <c r="HS3694" s="29"/>
      <c r="HT3694" s="29"/>
      <c r="HU3694" s="29"/>
      <c r="HV3694" s="29"/>
      <c r="HW3694" s="29"/>
      <c r="HX3694" s="29"/>
      <c r="HY3694" s="29"/>
      <c r="HZ3694" s="29"/>
      <c r="IA3694" s="29"/>
      <c r="IB3694" s="29"/>
      <c r="IC3694" s="29"/>
      <c r="ID3694" s="29"/>
      <c r="IE3694" s="29"/>
      <c r="IF3694" s="29"/>
      <c r="IG3694" s="29"/>
      <c r="IH3694" s="29"/>
      <c r="II3694" s="29"/>
      <c r="IJ3694" s="29"/>
      <c r="IK3694" s="29"/>
      <c r="IL3694" s="29"/>
      <c r="IM3694" s="29"/>
      <c r="IN3694" s="29"/>
      <c r="IO3694" s="29"/>
      <c r="IP3694" s="29"/>
      <c r="IQ3694" s="29"/>
      <c r="IR3694" s="29"/>
      <c r="IS3694" s="29"/>
      <c r="IT3694" s="29"/>
      <c r="IU3694" s="29"/>
      <c r="IV3694" s="29"/>
      <c r="IW3694" s="29"/>
      <c r="IX3694" s="29"/>
      <c r="IY3694" s="29"/>
      <c r="IZ3694" s="29"/>
      <c r="JA3694" s="29"/>
      <c r="JB3694" s="29"/>
    </row>
    <row r="3695" spans="1:262" s="28" customFormat="1">
      <c r="A3695" s="29"/>
      <c r="B3695" s="29"/>
      <c r="C3695" s="29"/>
      <c r="D3695" s="29"/>
      <c r="E3695" s="29"/>
      <c r="F3695" s="29"/>
      <c r="G3695" s="29"/>
      <c r="H3695" s="29"/>
      <c r="I3695" s="29"/>
      <c r="J3695" s="29"/>
      <c r="K3695" s="29"/>
      <c r="L3695" s="29"/>
      <c r="M3695" s="29"/>
      <c r="N3695" s="29"/>
      <c r="O3695" s="29"/>
      <c r="P3695" s="29"/>
      <c r="Q3695" s="29"/>
      <c r="R3695" s="29"/>
      <c r="S3695" s="29"/>
      <c r="T3695" s="29"/>
      <c r="U3695" s="29"/>
      <c r="V3695" s="29"/>
      <c r="GK3695" s="29"/>
      <c r="GL3695" s="29"/>
      <c r="GM3695" s="29"/>
      <c r="GN3695" s="29"/>
      <c r="GO3695" s="29"/>
      <c r="GP3695" s="29"/>
      <c r="GQ3695" s="29"/>
      <c r="GR3695" s="29"/>
      <c r="GS3695" s="29"/>
      <c r="GT3695" s="29"/>
      <c r="GU3695" s="29"/>
      <c r="GV3695" s="29"/>
      <c r="GW3695" s="29"/>
      <c r="GX3695" s="29"/>
      <c r="GY3695" s="29"/>
      <c r="GZ3695" s="29"/>
      <c r="HA3695" s="29"/>
      <c r="HB3695" s="29"/>
      <c r="HC3695" s="29"/>
      <c r="HD3695" s="29"/>
      <c r="HE3695" s="29"/>
      <c r="HF3695" s="29"/>
      <c r="HG3695" s="29"/>
      <c r="HH3695" s="29"/>
      <c r="HI3695" s="29"/>
      <c r="HJ3695" s="29"/>
      <c r="HK3695" s="29"/>
      <c r="HL3695" s="29"/>
      <c r="HM3695" s="29"/>
      <c r="HN3695" s="29"/>
      <c r="HO3695" s="29"/>
      <c r="HP3695" s="29"/>
      <c r="HQ3695" s="29"/>
      <c r="HR3695" s="29"/>
      <c r="HS3695" s="29"/>
      <c r="HT3695" s="29"/>
      <c r="HU3695" s="29"/>
      <c r="HV3695" s="29"/>
      <c r="HW3695" s="29"/>
      <c r="HX3695" s="29"/>
      <c r="HY3695" s="29"/>
      <c r="HZ3695" s="29"/>
      <c r="IA3695" s="29"/>
      <c r="IB3695" s="29"/>
      <c r="IC3695" s="29"/>
      <c r="ID3695" s="29"/>
      <c r="IE3695" s="29"/>
      <c r="IF3695" s="29"/>
      <c r="IG3695" s="29"/>
      <c r="IH3695" s="29"/>
      <c r="II3695" s="29"/>
      <c r="IJ3695" s="29"/>
      <c r="IK3695" s="29"/>
      <c r="IL3695" s="29"/>
      <c r="IM3695" s="29"/>
      <c r="IN3695" s="29"/>
      <c r="IO3695" s="29"/>
      <c r="IP3695" s="29"/>
      <c r="IQ3695" s="29"/>
      <c r="IR3695" s="29"/>
      <c r="IS3695" s="29"/>
      <c r="IT3695" s="29"/>
      <c r="IU3695" s="29"/>
      <c r="IV3695" s="29"/>
      <c r="IW3695" s="29"/>
      <c r="IX3695" s="29"/>
      <c r="IY3695" s="29"/>
      <c r="IZ3695" s="29"/>
      <c r="JA3695" s="29"/>
      <c r="JB3695" s="29"/>
    </row>
    <row r="3696" spans="1:262" s="28" customFormat="1">
      <c r="A3696" s="29"/>
      <c r="B3696" s="29"/>
      <c r="C3696" s="29"/>
      <c r="D3696" s="29"/>
      <c r="E3696" s="29"/>
      <c r="F3696" s="29"/>
      <c r="G3696" s="29"/>
      <c r="H3696" s="29"/>
      <c r="I3696" s="29"/>
      <c r="J3696" s="29"/>
      <c r="K3696" s="29"/>
      <c r="L3696" s="29"/>
      <c r="M3696" s="29"/>
      <c r="N3696" s="29"/>
      <c r="O3696" s="29"/>
      <c r="P3696" s="29"/>
      <c r="Q3696" s="29"/>
      <c r="R3696" s="29"/>
      <c r="S3696" s="29"/>
      <c r="T3696" s="29"/>
      <c r="U3696" s="29"/>
      <c r="V3696" s="29"/>
      <c r="GK3696" s="29"/>
      <c r="GL3696" s="29"/>
      <c r="GM3696" s="29"/>
      <c r="GN3696" s="29"/>
      <c r="GO3696" s="29"/>
      <c r="GP3696" s="29"/>
      <c r="GQ3696" s="29"/>
      <c r="GR3696" s="29"/>
      <c r="GS3696" s="29"/>
      <c r="GT3696" s="29"/>
      <c r="GU3696" s="29"/>
      <c r="GV3696" s="29"/>
      <c r="GW3696" s="29"/>
      <c r="GX3696" s="29"/>
      <c r="GY3696" s="29"/>
      <c r="GZ3696" s="29"/>
      <c r="HA3696" s="29"/>
      <c r="HB3696" s="29"/>
      <c r="HC3696" s="29"/>
      <c r="HD3696" s="29"/>
      <c r="HE3696" s="29"/>
      <c r="HF3696" s="29"/>
      <c r="HG3696" s="29"/>
      <c r="HH3696" s="29"/>
      <c r="HI3696" s="29"/>
      <c r="HJ3696" s="29"/>
      <c r="HK3696" s="29"/>
      <c r="HL3696" s="29"/>
      <c r="HM3696" s="29"/>
      <c r="HN3696" s="29"/>
      <c r="HO3696" s="29"/>
      <c r="HP3696" s="29"/>
      <c r="HQ3696" s="29"/>
      <c r="HR3696" s="29"/>
      <c r="HS3696" s="29"/>
      <c r="HT3696" s="29"/>
      <c r="HU3696" s="29"/>
      <c r="HV3696" s="29"/>
      <c r="HW3696" s="29"/>
      <c r="HX3696" s="29"/>
      <c r="HY3696" s="29"/>
      <c r="HZ3696" s="29"/>
      <c r="IA3696" s="29"/>
      <c r="IB3696" s="29"/>
      <c r="IC3696" s="29"/>
      <c r="ID3696" s="29"/>
      <c r="IE3696" s="29"/>
      <c r="IF3696" s="29"/>
      <c r="IG3696" s="29"/>
      <c r="IH3696" s="29"/>
      <c r="II3696" s="29"/>
      <c r="IJ3696" s="29"/>
      <c r="IK3696" s="29"/>
      <c r="IL3696" s="29"/>
      <c r="IM3696" s="29"/>
      <c r="IN3696" s="29"/>
      <c r="IO3696" s="29"/>
      <c r="IP3696" s="29"/>
      <c r="IQ3696" s="29"/>
      <c r="IR3696" s="29"/>
      <c r="IS3696" s="29"/>
      <c r="IT3696" s="29"/>
      <c r="IU3696" s="29"/>
      <c r="IV3696" s="29"/>
      <c r="IW3696" s="29"/>
      <c r="IX3696" s="29"/>
      <c r="IY3696" s="29"/>
      <c r="IZ3696" s="29"/>
      <c r="JA3696" s="29"/>
      <c r="JB3696" s="29"/>
    </row>
    <row r="3697" spans="1:262" s="28" customFormat="1">
      <c r="A3697" s="29"/>
      <c r="B3697" s="29"/>
      <c r="C3697" s="29"/>
      <c r="D3697" s="29"/>
      <c r="E3697" s="29"/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GK3697" s="29"/>
      <c r="GL3697" s="29"/>
      <c r="GM3697" s="29"/>
      <c r="GN3697" s="29"/>
      <c r="GO3697" s="29"/>
      <c r="GP3697" s="29"/>
      <c r="GQ3697" s="29"/>
      <c r="GR3697" s="29"/>
      <c r="GS3697" s="29"/>
      <c r="GT3697" s="29"/>
      <c r="GU3697" s="29"/>
      <c r="GV3697" s="29"/>
      <c r="GW3697" s="29"/>
      <c r="GX3697" s="29"/>
      <c r="GY3697" s="29"/>
      <c r="GZ3697" s="29"/>
      <c r="HA3697" s="29"/>
      <c r="HB3697" s="29"/>
      <c r="HC3697" s="29"/>
      <c r="HD3697" s="29"/>
      <c r="HE3697" s="29"/>
      <c r="HF3697" s="29"/>
      <c r="HG3697" s="29"/>
      <c r="HH3697" s="29"/>
      <c r="HI3697" s="29"/>
      <c r="HJ3697" s="29"/>
      <c r="HK3697" s="29"/>
      <c r="HL3697" s="29"/>
      <c r="HM3697" s="29"/>
      <c r="HN3697" s="29"/>
      <c r="HO3697" s="29"/>
      <c r="HP3697" s="29"/>
      <c r="HQ3697" s="29"/>
      <c r="HR3697" s="29"/>
      <c r="HS3697" s="29"/>
      <c r="HT3697" s="29"/>
      <c r="HU3697" s="29"/>
      <c r="HV3697" s="29"/>
      <c r="HW3697" s="29"/>
      <c r="HX3697" s="29"/>
      <c r="HY3697" s="29"/>
      <c r="HZ3697" s="29"/>
      <c r="IA3697" s="29"/>
      <c r="IB3697" s="29"/>
      <c r="IC3697" s="29"/>
      <c r="ID3697" s="29"/>
      <c r="IE3697" s="29"/>
      <c r="IF3697" s="29"/>
      <c r="IG3697" s="29"/>
      <c r="IH3697" s="29"/>
      <c r="II3697" s="29"/>
      <c r="IJ3697" s="29"/>
      <c r="IK3697" s="29"/>
      <c r="IL3697" s="29"/>
      <c r="IM3697" s="29"/>
      <c r="IN3697" s="29"/>
      <c r="IO3697" s="29"/>
      <c r="IP3697" s="29"/>
      <c r="IQ3697" s="29"/>
      <c r="IR3697" s="29"/>
      <c r="IS3697" s="29"/>
      <c r="IT3697" s="29"/>
      <c r="IU3697" s="29"/>
      <c r="IV3697" s="29"/>
      <c r="IW3697" s="29"/>
      <c r="IX3697" s="29"/>
      <c r="IY3697" s="29"/>
      <c r="IZ3697" s="29"/>
      <c r="JA3697" s="29"/>
      <c r="JB3697" s="29"/>
    </row>
    <row r="3698" spans="1:262" s="28" customFormat="1">
      <c r="A3698" s="29"/>
      <c r="B3698" s="29"/>
      <c r="C3698" s="29"/>
      <c r="D3698" s="29"/>
      <c r="E3698" s="29"/>
      <c r="F3698" s="29"/>
      <c r="G3698" s="29"/>
      <c r="H3698" s="29"/>
      <c r="I3698" s="29"/>
      <c r="J3698" s="29"/>
      <c r="K3698" s="29"/>
      <c r="L3698" s="29"/>
      <c r="M3698" s="29"/>
      <c r="N3698" s="29"/>
      <c r="O3698" s="29"/>
      <c r="P3698" s="29"/>
      <c r="Q3698" s="29"/>
      <c r="R3698" s="29"/>
      <c r="S3698" s="29"/>
      <c r="T3698" s="29"/>
      <c r="U3698" s="29"/>
      <c r="V3698" s="29"/>
      <c r="GK3698" s="29"/>
      <c r="GL3698" s="29"/>
      <c r="GM3698" s="29"/>
      <c r="GN3698" s="29"/>
      <c r="GO3698" s="29"/>
      <c r="GP3698" s="29"/>
      <c r="GQ3698" s="29"/>
      <c r="GR3698" s="29"/>
      <c r="GS3698" s="29"/>
      <c r="GT3698" s="29"/>
      <c r="GU3698" s="29"/>
      <c r="GV3698" s="29"/>
      <c r="GW3698" s="29"/>
      <c r="GX3698" s="29"/>
      <c r="GY3698" s="29"/>
      <c r="GZ3698" s="29"/>
      <c r="HA3698" s="29"/>
      <c r="HB3698" s="29"/>
      <c r="HC3698" s="29"/>
      <c r="HD3698" s="29"/>
      <c r="HE3698" s="29"/>
      <c r="HF3698" s="29"/>
      <c r="HG3698" s="29"/>
      <c r="HH3698" s="29"/>
      <c r="HI3698" s="29"/>
      <c r="HJ3698" s="29"/>
      <c r="HK3698" s="29"/>
      <c r="HL3698" s="29"/>
      <c r="HM3698" s="29"/>
      <c r="HN3698" s="29"/>
      <c r="HO3698" s="29"/>
      <c r="HP3698" s="29"/>
      <c r="HQ3698" s="29"/>
      <c r="HR3698" s="29"/>
      <c r="HS3698" s="29"/>
      <c r="HT3698" s="29"/>
      <c r="HU3698" s="29"/>
      <c r="HV3698" s="29"/>
      <c r="HW3698" s="29"/>
      <c r="HX3698" s="29"/>
      <c r="HY3698" s="29"/>
      <c r="HZ3698" s="29"/>
      <c r="IA3698" s="29"/>
      <c r="IB3698" s="29"/>
      <c r="IC3698" s="29"/>
      <c r="ID3698" s="29"/>
      <c r="IE3698" s="29"/>
      <c r="IF3698" s="29"/>
      <c r="IG3698" s="29"/>
      <c r="IH3698" s="29"/>
      <c r="II3698" s="29"/>
      <c r="IJ3698" s="29"/>
      <c r="IK3698" s="29"/>
      <c r="IL3698" s="29"/>
      <c r="IM3698" s="29"/>
      <c r="IN3698" s="29"/>
      <c r="IO3698" s="29"/>
      <c r="IP3698" s="29"/>
      <c r="IQ3698" s="29"/>
      <c r="IR3698" s="29"/>
      <c r="IS3698" s="29"/>
      <c r="IT3698" s="29"/>
      <c r="IU3698" s="29"/>
      <c r="IV3698" s="29"/>
      <c r="IW3698" s="29"/>
      <c r="IX3698" s="29"/>
      <c r="IY3698" s="29"/>
      <c r="IZ3698" s="29"/>
      <c r="JA3698" s="29"/>
      <c r="JB3698" s="29"/>
    </row>
    <row r="3699" spans="1:262" s="28" customFormat="1">
      <c r="A3699" s="29"/>
      <c r="B3699" s="29"/>
      <c r="C3699" s="29"/>
      <c r="D3699" s="29"/>
      <c r="E3699" s="29"/>
      <c r="F3699" s="29"/>
      <c r="G3699" s="29"/>
      <c r="H3699" s="29"/>
      <c r="I3699" s="29"/>
      <c r="J3699" s="29"/>
      <c r="K3699" s="29"/>
      <c r="L3699" s="29"/>
      <c r="M3699" s="29"/>
      <c r="N3699" s="29"/>
      <c r="O3699" s="29"/>
      <c r="P3699" s="29"/>
      <c r="Q3699" s="29"/>
      <c r="R3699" s="29"/>
      <c r="S3699" s="29"/>
      <c r="T3699" s="29"/>
      <c r="U3699" s="29"/>
      <c r="V3699" s="29"/>
      <c r="GK3699" s="29"/>
      <c r="GL3699" s="29"/>
      <c r="GM3699" s="29"/>
      <c r="GN3699" s="29"/>
      <c r="GO3699" s="29"/>
      <c r="GP3699" s="29"/>
      <c r="GQ3699" s="29"/>
      <c r="GR3699" s="29"/>
      <c r="GS3699" s="29"/>
      <c r="GT3699" s="29"/>
      <c r="GU3699" s="29"/>
      <c r="GV3699" s="29"/>
      <c r="GW3699" s="29"/>
      <c r="GX3699" s="29"/>
      <c r="GY3699" s="29"/>
      <c r="GZ3699" s="29"/>
      <c r="HA3699" s="29"/>
      <c r="HB3699" s="29"/>
      <c r="HC3699" s="29"/>
      <c r="HD3699" s="29"/>
      <c r="HE3699" s="29"/>
      <c r="HF3699" s="29"/>
      <c r="HG3699" s="29"/>
      <c r="HH3699" s="29"/>
      <c r="HI3699" s="29"/>
      <c r="HJ3699" s="29"/>
      <c r="HK3699" s="29"/>
      <c r="HL3699" s="29"/>
      <c r="HM3699" s="29"/>
      <c r="HN3699" s="29"/>
      <c r="HO3699" s="29"/>
      <c r="HP3699" s="29"/>
      <c r="HQ3699" s="29"/>
      <c r="HR3699" s="29"/>
      <c r="HS3699" s="29"/>
      <c r="HT3699" s="29"/>
      <c r="HU3699" s="29"/>
      <c r="HV3699" s="29"/>
      <c r="HW3699" s="29"/>
      <c r="HX3699" s="29"/>
      <c r="HY3699" s="29"/>
      <c r="HZ3699" s="29"/>
      <c r="IA3699" s="29"/>
      <c r="IB3699" s="29"/>
      <c r="IC3699" s="29"/>
      <c r="ID3699" s="29"/>
      <c r="IE3699" s="29"/>
      <c r="IF3699" s="29"/>
      <c r="IG3699" s="29"/>
      <c r="IH3699" s="29"/>
      <c r="II3699" s="29"/>
      <c r="IJ3699" s="29"/>
      <c r="IK3699" s="29"/>
      <c r="IL3699" s="29"/>
      <c r="IM3699" s="29"/>
      <c r="IN3699" s="29"/>
      <c r="IO3699" s="29"/>
      <c r="IP3699" s="29"/>
      <c r="IQ3699" s="29"/>
      <c r="IR3699" s="29"/>
      <c r="IS3699" s="29"/>
      <c r="IT3699" s="29"/>
      <c r="IU3699" s="29"/>
      <c r="IV3699" s="29"/>
      <c r="IW3699" s="29"/>
      <c r="IX3699" s="29"/>
      <c r="IY3699" s="29"/>
      <c r="IZ3699" s="29"/>
      <c r="JA3699" s="29"/>
      <c r="JB3699" s="29"/>
    </row>
    <row r="3700" spans="1:262" s="28" customFormat="1">
      <c r="A3700" s="29"/>
      <c r="B3700" s="29"/>
      <c r="C3700" s="29"/>
      <c r="D3700" s="29"/>
      <c r="E3700" s="29"/>
      <c r="F3700" s="29"/>
      <c r="G3700" s="29"/>
      <c r="H3700" s="29"/>
      <c r="I3700" s="29"/>
      <c r="J3700" s="29"/>
      <c r="K3700" s="29"/>
      <c r="L3700" s="29"/>
      <c r="M3700" s="29"/>
      <c r="N3700" s="29"/>
      <c r="O3700" s="29"/>
      <c r="P3700" s="29"/>
      <c r="Q3700" s="29"/>
      <c r="R3700" s="29"/>
      <c r="S3700" s="29"/>
      <c r="T3700" s="29"/>
      <c r="U3700" s="29"/>
      <c r="V3700" s="29"/>
      <c r="GK3700" s="29"/>
      <c r="GL3700" s="29"/>
      <c r="GM3700" s="29"/>
      <c r="GN3700" s="29"/>
      <c r="GO3700" s="29"/>
      <c r="GP3700" s="29"/>
      <c r="GQ3700" s="29"/>
      <c r="GR3700" s="29"/>
      <c r="GS3700" s="29"/>
      <c r="GT3700" s="29"/>
      <c r="GU3700" s="29"/>
      <c r="GV3700" s="29"/>
      <c r="GW3700" s="29"/>
      <c r="GX3700" s="29"/>
      <c r="GY3700" s="29"/>
      <c r="GZ3700" s="29"/>
      <c r="HA3700" s="29"/>
      <c r="HB3700" s="29"/>
      <c r="HC3700" s="29"/>
      <c r="HD3700" s="29"/>
      <c r="HE3700" s="29"/>
      <c r="HF3700" s="29"/>
      <c r="HG3700" s="29"/>
      <c r="HH3700" s="29"/>
      <c r="HI3700" s="29"/>
      <c r="HJ3700" s="29"/>
      <c r="HK3700" s="29"/>
      <c r="HL3700" s="29"/>
      <c r="HM3700" s="29"/>
      <c r="HN3700" s="29"/>
      <c r="HO3700" s="29"/>
      <c r="HP3700" s="29"/>
      <c r="HQ3700" s="29"/>
      <c r="HR3700" s="29"/>
      <c r="HS3700" s="29"/>
      <c r="HT3700" s="29"/>
      <c r="HU3700" s="29"/>
      <c r="HV3700" s="29"/>
      <c r="HW3700" s="29"/>
      <c r="HX3700" s="29"/>
      <c r="HY3700" s="29"/>
      <c r="HZ3700" s="29"/>
      <c r="IA3700" s="29"/>
      <c r="IB3700" s="29"/>
      <c r="IC3700" s="29"/>
      <c r="ID3700" s="29"/>
      <c r="IE3700" s="29"/>
      <c r="IF3700" s="29"/>
      <c r="IG3700" s="29"/>
      <c r="IH3700" s="29"/>
      <c r="II3700" s="29"/>
      <c r="IJ3700" s="29"/>
      <c r="IK3700" s="29"/>
      <c r="IL3700" s="29"/>
      <c r="IM3700" s="29"/>
      <c r="IN3700" s="29"/>
      <c r="IO3700" s="29"/>
      <c r="IP3700" s="29"/>
      <c r="IQ3700" s="29"/>
      <c r="IR3700" s="29"/>
      <c r="IS3700" s="29"/>
      <c r="IT3700" s="29"/>
      <c r="IU3700" s="29"/>
      <c r="IV3700" s="29"/>
      <c r="IW3700" s="29"/>
      <c r="IX3700" s="29"/>
      <c r="IY3700" s="29"/>
      <c r="IZ3700" s="29"/>
      <c r="JA3700" s="29"/>
      <c r="JB3700" s="29"/>
    </row>
    <row r="3701" spans="1:262" s="28" customFormat="1">
      <c r="A3701" s="29"/>
      <c r="B3701" s="29"/>
      <c r="C3701" s="29"/>
      <c r="D3701" s="29"/>
      <c r="E3701" s="29"/>
      <c r="F3701" s="29"/>
      <c r="G3701" s="29"/>
      <c r="H3701" s="29"/>
      <c r="I3701" s="29"/>
      <c r="J3701" s="29"/>
      <c r="K3701" s="29"/>
      <c r="L3701" s="29"/>
      <c r="M3701" s="29"/>
      <c r="N3701" s="29"/>
      <c r="O3701" s="29"/>
      <c r="P3701" s="29"/>
      <c r="Q3701" s="29"/>
      <c r="R3701" s="29"/>
      <c r="S3701" s="29"/>
      <c r="T3701" s="29"/>
      <c r="U3701" s="29"/>
      <c r="V3701" s="29"/>
      <c r="GK3701" s="29"/>
      <c r="GL3701" s="29"/>
      <c r="GM3701" s="29"/>
      <c r="GN3701" s="29"/>
      <c r="GO3701" s="29"/>
      <c r="GP3701" s="29"/>
      <c r="GQ3701" s="29"/>
      <c r="GR3701" s="29"/>
      <c r="GS3701" s="29"/>
      <c r="GT3701" s="29"/>
      <c r="GU3701" s="29"/>
      <c r="GV3701" s="29"/>
      <c r="GW3701" s="29"/>
      <c r="GX3701" s="29"/>
      <c r="GY3701" s="29"/>
      <c r="GZ3701" s="29"/>
      <c r="HA3701" s="29"/>
      <c r="HB3701" s="29"/>
      <c r="HC3701" s="29"/>
      <c r="HD3701" s="29"/>
      <c r="HE3701" s="29"/>
      <c r="HF3701" s="29"/>
      <c r="HG3701" s="29"/>
      <c r="HH3701" s="29"/>
      <c r="HI3701" s="29"/>
      <c r="HJ3701" s="29"/>
      <c r="HK3701" s="29"/>
      <c r="HL3701" s="29"/>
      <c r="HM3701" s="29"/>
      <c r="HN3701" s="29"/>
      <c r="HO3701" s="29"/>
      <c r="HP3701" s="29"/>
      <c r="HQ3701" s="29"/>
      <c r="HR3701" s="29"/>
      <c r="HS3701" s="29"/>
      <c r="HT3701" s="29"/>
      <c r="HU3701" s="29"/>
      <c r="HV3701" s="29"/>
      <c r="HW3701" s="29"/>
      <c r="HX3701" s="29"/>
      <c r="HY3701" s="29"/>
      <c r="HZ3701" s="29"/>
      <c r="IA3701" s="29"/>
      <c r="IB3701" s="29"/>
      <c r="IC3701" s="29"/>
      <c r="ID3701" s="29"/>
      <c r="IE3701" s="29"/>
      <c r="IF3701" s="29"/>
      <c r="IG3701" s="29"/>
      <c r="IH3701" s="29"/>
      <c r="II3701" s="29"/>
      <c r="IJ3701" s="29"/>
      <c r="IK3701" s="29"/>
      <c r="IL3701" s="29"/>
      <c r="IM3701" s="29"/>
      <c r="IN3701" s="29"/>
      <c r="IO3701" s="29"/>
      <c r="IP3701" s="29"/>
      <c r="IQ3701" s="29"/>
      <c r="IR3701" s="29"/>
      <c r="IS3701" s="29"/>
      <c r="IT3701" s="29"/>
      <c r="IU3701" s="29"/>
      <c r="IV3701" s="29"/>
      <c r="IW3701" s="29"/>
      <c r="IX3701" s="29"/>
      <c r="IY3701" s="29"/>
      <c r="IZ3701" s="29"/>
      <c r="JA3701" s="29"/>
      <c r="JB3701" s="29"/>
    </row>
    <row r="3702" spans="1:262" s="28" customFormat="1">
      <c r="A3702" s="29"/>
      <c r="B3702" s="29"/>
      <c r="C3702" s="29"/>
      <c r="D3702" s="29"/>
      <c r="E3702" s="29"/>
      <c r="F3702" s="29"/>
      <c r="G3702" s="29"/>
      <c r="H3702" s="29"/>
      <c r="I3702" s="29"/>
      <c r="J3702" s="29"/>
      <c r="K3702" s="29"/>
      <c r="L3702" s="29"/>
      <c r="M3702" s="29"/>
      <c r="N3702" s="29"/>
      <c r="O3702" s="29"/>
      <c r="P3702" s="29"/>
      <c r="Q3702" s="29"/>
      <c r="R3702" s="29"/>
      <c r="S3702" s="29"/>
      <c r="T3702" s="29"/>
      <c r="U3702" s="29"/>
      <c r="V3702" s="29"/>
      <c r="GK3702" s="29"/>
      <c r="GL3702" s="29"/>
      <c r="GM3702" s="29"/>
      <c r="GN3702" s="29"/>
      <c r="GO3702" s="29"/>
      <c r="GP3702" s="29"/>
      <c r="GQ3702" s="29"/>
      <c r="GR3702" s="29"/>
      <c r="GS3702" s="29"/>
      <c r="GT3702" s="29"/>
      <c r="GU3702" s="29"/>
      <c r="GV3702" s="29"/>
      <c r="GW3702" s="29"/>
      <c r="GX3702" s="29"/>
      <c r="GY3702" s="29"/>
      <c r="GZ3702" s="29"/>
      <c r="HA3702" s="29"/>
      <c r="HB3702" s="29"/>
      <c r="HC3702" s="29"/>
      <c r="HD3702" s="29"/>
      <c r="HE3702" s="29"/>
      <c r="HF3702" s="29"/>
      <c r="HG3702" s="29"/>
      <c r="HH3702" s="29"/>
      <c r="HI3702" s="29"/>
      <c r="HJ3702" s="29"/>
      <c r="HK3702" s="29"/>
      <c r="HL3702" s="29"/>
      <c r="HM3702" s="29"/>
      <c r="HN3702" s="29"/>
      <c r="HO3702" s="29"/>
      <c r="HP3702" s="29"/>
      <c r="HQ3702" s="29"/>
      <c r="HR3702" s="29"/>
      <c r="HS3702" s="29"/>
      <c r="HT3702" s="29"/>
      <c r="HU3702" s="29"/>
      <c r="HV3702" s="29"/>
      <c r="HW3702" s="29"/>
      <c r="HX3702" s="29"/>
      <c r="HY3702" s="29"/>
      <c r="HZ3702" s="29"/>
      <c r="IA3702" s="29"/>
      <c r="IB3702" s="29"/>
      <c r="IC3702" s="29"/>
      <c r="ID3702" s="29"/>
      <c r="IE3702" s="29"/>
      <c r="IF3702" s="29"/>
      <c r="IG3702" s="29"/>
      <c r="IH3702" s="29"/>
      <c r="II3702" s="29"/>
      <c r="IJ3702" s="29"/>
      <c r="IK3702" s="29"/>
      <c r="IL3702" s="29"/>
      <c r="IM3702" s="29"/>
      <c r="IN3702" s="29"/>
      <c r="IO3702" s="29"/>
      <c r="IP3702" s="29"/>
      <c r="IQ3702" s="29"/>
      <c r="IR3702" s="29"/>
      <c r="IS3702" s="29"/>
      <c r="IT3702" s="29"/>
      <c r="IU3702" s="29"/>
      <c r="IV3702" s="29"/>
      <c r="IW3702" s="29"/>
      <c r="IX3702" s="29"/>
      <c r="IY3702" s="29"/>
      <c r="IZ3702" s="29"/>
      <c r="JA3702" s="29"/>
      <c r="JB3702" s="29"/>
    </row>
    <row r="3703" spans="1:262" s="28" customFormat="1">
      <c r="A3703" s="29"/>
      <c r="B3703" s="29"/>
      <c r="C3703" s="29"/>
      <c r="D3703" s="29"/>
      <c r="E3703" s="29"/>
      <c r="F3703" s="29"/>
      <c r="G3703" s="29"/>
      <c r="H3703" s="29"/>
      <c r="I3703" s="29"/>
      <c r="J3703" s="29"/>
      <c r="K3703" s="29"/>
      <c r="L3703" s="29"/>
      <c r="M3703" s="29"/>
      <c r="N3703" s="29"/>
      <c r="O3703" s="29"/>
      <c r="P3703" s="29"/>
      <c r="Q3703" s="29"/>
      <c r="R3703" s="29"/>
      <c r="S3703" s="29"/>
      <c r="T3703" s="29"/>
      <c r="U3703" s="29"/>
      <c r="V3703" s="29"/>
      <c r="GK3703" s="29"/>
      <c r="GL3703" s="29"/>
      <c r="GM3703" s="29"/>
      <c r="GN3703" s="29"/>
      <c r="GO3703" s="29"/>
      <c r="GP3703" s="29"/>
      <c r="GQ3703" s="29"/>
      <c r="GR3703" s="29"/>
      <c r="GS3703" s="29"/>
      <c r="GT3703" s="29"/>
      <c r="GU3703" s="29"/>
      <c r="GV3703" s="29"/>
      <c r="GW3703" s="29"/>
      <c r="GX3703" s="29"/>
      <c r="GY3703" s="29"/>
      <c r="GZ3703" s="29"/>
      <c r="HA3703" s="29"/>
      <c r="HB3703" s="29"/>
      <c r="HC3703" s="29"/>
      <c r="HD3703" s="29"/>
      <c r="HE3703" s="29"/>
      <c r="HF3703" s="29"/>
      <c r="HG3703" s="29"/>
      <c r="HH3703" s="29"/>
      <c r="HI3703" s="29"/>
      <c r="HJ3703" s="29"/>
      <c r="HK3703" s="29"/>
      <c r="HL3703" s="29"/>
      <c r="HM3703" s="29"/>
      <c r="HN3703" s="29"/>
      <c r="HO3703" s="29"/>
      <c r="HP3703" s="29"/>
      <c r="HQ3703" s="29"/>
      <c r="HR3703" s="29"/>
      <c r="HS3703" s="29"/>
      <c r="HT3703" s="29"/>
      <c r="HU3703" s="29"/>
      <c r="HV3703" s="29"/>
      <c r="HW3703" s="29"/>
      <c r="HX3703" s="29"/>
      <c r="HY3703" s="29"/>
      <c r="HZ3703" s="29"/>
      <c r="IA3703" s="29"/>
      <c r="IB3703" s="29"/>
      <c r="IC3703" s="29"/>
      <c r="ID3703" s="29"/>
      <c r="IE3703" s="29"/>
      <c r="IF3703" s="29"/>
      <c r="IG3703" s="29"/>
      <c r="IH3703" s="29"/>
      <c r="II3703" s="29"/>
      <c r="IJ3703" s="29"/>
      <c r="IK3703" s="29"/>
      <c r="IL3703" s="29"/>
      <c r="IM3703" s="29"/>
      <c r="IN3703" s="29"/>
      <c r="IO3703" s="29"/>
      <c r="IP3703" s="29"/>
      <c r="IQ3703" s="29"/>
      <c r="IR3703" s="29"/>
      <c r="IS3703" s="29"/>
      <c r="IT3703" s="29"/>
      <c r="IU3703" s="29"/>
      <c r="IV3703" s="29"/>
      <c r="IW3703" s="29"/>
      <c r="IX3703" s="29"/>
      <c r="IY3703" s="29"/>
      <c r="IZ3703" s="29"/>
      <c r="JA3703" s="29"/>
      <c r="JB3703" s="29"/>
    </row>
    <row r="3704" spans="1:262" s="28" customFormat="1">
      <c r="A3704" s="29"/>
      <c r="B3704" s="29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9"/>
      <c r="N3704" s="29"/>
      <c r="O3704" s="29"/>
      <c r="P3704" s="29"/>
      <c r="Q3704" s="29"/>
      <c r="R3704" s="29"/>
      <c r="S3704" s="29"/>
      <c r="T3704" s="29"/>
      <c r="U3704" s="29"/>
      <c r="V3704" s="29"/>
      <c r="GK3704" s="29"/>
      <c r="GL3704" s="29"/>
      <c r="GM3704" s="29"/>
      <c r="GN3704" s="29"/>
      <c r="GO3704" s="29"/>
      <c r="GP3704" s="29"/>
      <c r="GQ3704" s="29"/>
      <c r="GR3704" s="29"/>
      <c r="GS3704" s="29"/>
      <c r="GT3704" s="29"/>
      <c r="GU3704" s="29"/>
      <c r="GV3704" s="29"/>
      <c r="GW3704" s="29"/>
      <c r="GX3704" s="29"/>
      <c r="GY3704" s="29"/>
      <c r="GZ3704" s="29"/>
      <c r="HA3704" s="29"/>
      <c r="HB3704" s="29"/>
      <c r="HC3704" s="29"/>
      <c r="HD3704" s="29"/>
      <c r="HE3704" s="29"/>
      <c r="HF3704" s="29"/>
      <c r="HG3704" s="29"/>
      <c r="HH3704" s="29"/>
      <c r="HI3704" s="29"/>
      <c r="HJ3704" s="29"/>
      <c r="HK3704" s="29"/>
      <c r="HL3704" s="29"/>
      <c r="HM3704" s="29"/>
      <c r="HN3704" s="29"/>
      <c r="HO3704" s="29"/>
      <c r="HP3704" s="29"/>
      <c r="HQ3704" s="29"/>
      <c r="HR3704" s="29"/>
      <c r="HS3704" s="29"/>
      <c r="HT3704" s="29"/>
      <c r="HU3704" s="29"/>
      <c r="HV3704" s="29"/>
      <c r="HW3704" s="29"/>
      <c r="HX3704" s="29"/>
      <c r="HY3704" s="29"/>
      <c r="HZ3704" s="29"/>
      <c r="IA3704" s="29"/>
      <c r="IB3704" s="29"/>
      <c r="IC3704" s="29"/>
      <c r="ID3704" s="29"/>
      <c r="IE3704" s="29"/>
      <c r="IF3704" s="29"/>
      <c r="IG3704" s="29"/>
      <c r="IH3704" s="29"/>
      <c r="II3704" s="29"/>
      <c r="IJ3704" s="29"/>
      <c r="IK3704" s="29"/>
      <c r="IL3704" s="29"/>
      <c r="IM3704" s="29"/>
      <c r="IN3704" s="29"/>
      <c r="IO3704" s="29"/>
      <c r="IP3704" s="29"/>
      <c r="IQ3704" s="29"/>
      <c r="IR3704" s="29"/>
      <c r="IS3704" s="29"/>
      <c r="IT3704" s="29"/>
      <c r="IU3704" s="29"/>
      <c r="IV3704" s="29"/>
      <c r="IW3704" s="29"/>
      <c r="IX3704" s="29"/>
      <c r="IY3704" s="29"/>
      <c r="IZ3704" s="29"/>
      <c r="JA3704" s="29"/>
      <c r="JB3704" s="29"/>
    </row>
    <row r="3705" spans="1:262" s="28" customFormat="1">
      <c r="A3705" s="29"/>
      <c r="B3705" s="29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N3705" s="29"/>
      <c r="O3705" s="29"/>
      <c r="P3705" s="29"/>
      <c r="Q3705" s="29"/>
      <c r="R3705" s="29"/>
      <c r="S3705" s="29"/>
      <c r="T3705" s="29"/>
      <c r="U3705" s="29"/>
      <c r="V3705" s="29"/>
      <c r="GK3705" s="29"/>
      <c r="GL3705" s="29"/>
      <c r="GM3705" s="29"/>
      <c r="GN3705" s="29"/>
      <c r="GO3705" s="29"/>
      <c r="GP3705" s="29"/>
      <c r="GQ3705" s="29"/>
      <c r="GR3705" s="29"/>
      <c r="GS3705" s="29"/>
      <c r="GT3705" s="29"/>
      <c r="GU3705" s="29"/>
      <c r="GV3705" s="29"/>
      <c r="GW3705" s="29"/>
      <c r="GX3705" s="29"/>
      <c r="GY3705" s="29"/>
      <c r="GZ3705" s="29"/>
      <c r="HA3705" s="29"/>
      <c r="HB3705" s="29"/>
      <c r="HC3705" s="29"/>
      <c r="HD3705" s="29"/>
      <c r="HE3705" s="29"/>
      <c r="HF3705" s="29"/>
      <c r="HG3705" s="29"/>
      <c r="HH3705" s="29"/>
      <c r="HI3705" s="29"/>
      <c r="HJ3705" s="29"/>
      <c r="HK3705" s="29"/>
      <c r="HL3705" s="29"/>
      <c r="HM3705" s="29"/>
      <c r="HN3705" s="29"/>
      <c r="HO3705" s="29"/>
      <c r="HP3705" s="29"/>
      <c r="HQ3705" s="29"/>
      <c r="HR3705" s="29"/>
      <c r="HS3705" s="29"/>
      <c r="HT3705" s="29"/>
      <c r="HU3705" s="29"/>
      <c r="HV3705" s="29"/>
      <c r="HW3705" s="29"/>
      <c r="HX3705" s="29"/>
      <c r="HY3705" s="29"/>
      <c r="HZ3705" s="29"/>
      <c r="IA3705" s="29"/>
      <c r="IB3705" s="29"/>
      <c r="IC3705" s="29"/>
      <c r="ID3705" s="29"/>
      <c r="IE3705" s="29"/>
      <c r="IF3705" s="29"/>
      <c r="IG3705" s="29"/>
      <c r="IH3705" s="29"/>
      <c r="II3705" s="29"/>
      <c r="IJ3705" s="29"/>
      <c r="IK3705" s="29"/>
      <c r="IL3705" s="29"/>
      <c r="IM3705" s="29"/>
      <c r="IN3705" s="29"/>
      <c r="IO3705" s="29"/>
      <c r="IP3705" s="29"/>
      <c r="IQ3705" s="29"/>
      <c r="IR3705" s="29"/>
      <c r="IS3705" s="29"/>
      <c r="IT3705" s="29"/>
      <c r="IU3705" s="29"/>
      <c r="IV3705" s="29"/>
      <c r="IW3705" s="29"/>
      <c r="IX3705" s="29"/>
      <c r="IY3705" s="29"/>
      <c r="IZ3705" s="29"/>
      <c r="JA3705" s="29"/>
      <c r="JB3705" s="29"/>
    </row>
    <row r="3706" spans="1:262" s="28" customFormat="1">
      <c r="A3706" s="29"/>
      <c r="B3706" s="29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GK3706" s="29"/>
      <c r="GL3706" s="29"/>
      <c r="GM3706" s="29"/>
      <c r="GN3706" s="29"/>
      <c r="GO3706" s="29"/>
      <c r="GP3706" s="29"/>
      <c r="GQ3706" s="29"/>
      <c r="GR3706" s="29"/>
      <c r="GS3706" s="29"/>
      <c r="GT3706" s="29"/>
      <c r="GU3706" s="29"/>
      <c r="GV3706" s="29"/>
      <c r="GW3706" s="29"/>
      <c r="GX3706" s="29"/>
      <c r="GY3706" s="29"/>
      <c r="GZ3706" s="29"/>
      <c r="HA3706" s="29"/>
      <c r="HB3706" s="29"/>
      <c r="HC3706" s="29"/>
      <c r="HD3706" s="29"/>
      <c r="HE3706" s="29"/>
      <c r="HF3706" s="29"/>
      <c r="HG3706" s="29"/>
      <c r="HH3706" s="29"/>
      <c r="HI3706" s="29"/>
      <c r="HJ3706" s="29"/>
      <c r="HK3706" s="29"/>
      <c r="HL3706" s="29"/>
      <c r="HM3706" s="29"/>
      <c r="HN3706" s="29"/>
      <c r="HO3706" s="29"/>
      <c r="HP3706" s="29"/>
      <c r="HQ3706" s="29"/>
      <c r="HR3706" s="29"/>
      <c r="HS3706" s="29"/>
      <c r="HT3706" s="29"/>
      <c r="HU3706" s="29"/>
      <c r="HV3706" s="29"/>
      <c r="HW3706" s="29"/>
      <c r="HX3706" s="29"/>
      <c r="HY3706" s="29"/>
      <c r="HZ3706" s="29"/>
      <c r="IA3706" s="29"/>
      <c r="IB3706" s="29"/>
      <c r="IC3706" s="29"/>
      <c r="ID3706" s="29"/>
      <c r="IE3706" s="29"/>
      <c r="IF3706" s="29"/>
      <c r="IG3706" s="29"/>
      <c r="IH3706" s="29"/>
      <c r="II3706" s="29"/>
      <c r="IJ3706" s="29"/>
      <c r="IK3706" s="29"/>
      <c r="IL3706" s="29"/>
      <c r="IM3706" s="29"/>
      <c r="IN3706" s="29"/>
      <c r="IO3706" s="29"/>
      <c r="IP3706" s="29"/>
      <c r="IQ3706" s="29"/>
      <c r="IR3706" s="29"/>
      <c r="IS3706" s="29"/>
      <c r="IT3706" s="29"/>
      <c r="IU3706" s="29"/>
      <c r="IV3706" s="29"/>
      <c r="IW3706" s="29"/>
      <c r="IX3706" s="29"/>
      <c r="IY3706" s="29"/>
      <c r="IZ3706" s="29"/>
      <c r="JA3706" s="29"/>
      <c r="JB3706" s="29"/>
    </row>
    <row r="3707" spans="1:262" s="28" customFormat="1">
      <c r="A3707" s="29"/>
      <c r="B3707" s="29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9"/>
      <c r="N3707" s="29"/>
      <c r="O3707" s="29"/>
      <c r="P3707" s="29"/>
      <c r="Q3707" s="29"/>
      <c r="R3707" s="29"/>
      <c r="S3707" s="29"/>
      <c r="T3707" s="29"/>
      <c r="U3707" s="29"/>
      <c r="V3707" s="29"/>
      <c r="GK3707" s="29"/>
      <c r="GL3707" s="29"/>
      <c r="GM3707" s="29"/>
      <c r="GN3707" s="29"/>
      <c r="GO3707" s="29"/>
      <c r="GP3707" s="29"/>
      <c r="GQ3707" s="29"/>
      <c r="GR3707" s="29"/>
      <c r="GS3707" s="29"/>
      <c r="GT3707" s="29"/>
      <c r="GU3707" s="29"/>
      <c r="GV3707" s="29"/>
      <c r="GW3707" s="29"/>
      <c r="GX3707" s="29"/>
      <c r="GY3707" s="29"/>
      <c r="GZ3707" s="29"/>
      <c r="HA3707" s="29"/>
      <c r="HB3707" s="29"/>
      <c r="HC3707" s="29"/>
      <c r="HD3707" s="29"/>
      <c r="HE3707" s="29"/>
      <c r="HF3707" s="29"/>
      <c r="HG3707" s="29"/>
      <c r="HH3707" s="29"/>
      <c r="HI3707" s="29"/>
      <c r="HJ3707" s="29"/>
      <c r="HK3707" s="29"/>
      <c r="HL3707" s="29"/>
      <c r="HM3707" s="29"/>
      <c r="HN3707" s="29"/>
      <c r="HO3707" s="29"/>
      <c r="HP3707" s="29"/>
      <c r="HQ3707" s="29"/>
      <c r="HR3707" s="29"/>
      <c r="HS3707" s="29"/>
      <c r="HT3707" s="29"/>
      <c r="HU3707" s="29"/>
      <c r="HV3707" s="29"/>
      <c r="HW3707" s="29"/>
      <c r="HX3707" s="29"/>
      <c r="HY3707" s="29"/>
      <c r="HZ3707" s="29"/>
      <c r="IA3707" s="29"/>
      <c r="IB3707" s="29"/>
      <c r="IC3707" s="29"/>
      <c r="ID3707" s="29"/>
      <c r="IE3707" s="29"/>
      <c r="IF3707" s="29"/>
      <c r="IG3707" s="29"/>
      <c r="IH3707" s="29"/>
      <c r="II3707" s="29"/>
      <c r="IJ3707" s="29"/>
      <c r="IK3707" s="29"/>
      <c r="IL3707" s="29"/>
      <c r="IM3707" s="29"/>
      <c r="IN3707" s="29"/>
      <c r="IO3707" s="29"/>
      <c r="IP3707" s="29"/>
      <c r="IQ3707" s="29"/>
      <c r="IR3707" s="29"/>
      <c r="IS3707" s="29"/>
      <c r="IT3707" s="29"/>
      <c r="IU3707" s="29"/>
      <c r="IV3707" s="29"/>
      <c r="IW3707" s="29"/>
      <c r="IX3707" s="29"/>
      <c r="IY3707" s="29"/>
      <c r="IZ3707" s="29"/>
      <c r="JA3707" s="29"/>
      <c r="JB3707" s="29"/>
    </row>
    <row r="3708" spans="1:262" s="28" customFormat="1">
      <c r="A3708" s="29"/>
      <c r="B3708" s="29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GK3708" s="29"/>
      <c r="GL3708" s="29"/>
      <c r="GM3708" s="29"/>
      <c r="GN3708" s="29"/>
      <c r="GO3708" s="29"/>
      <c r="GP3708" s="29"/>
      <c r="GQ3708" s="29"/>
      <c r="GR3708" s="29"/>
      <c r="GS3708" s="29"/>
      <c r="GT3708" s="29"/>
      <c r="GU3708" s="29"/>
      <c r="GV3708" s="29"/>
      <c r="GW3708" s="29"/>
      <c r="GX3708" s="29"/>
      <c r="GY3708" s="29"/>
      <c r="GZ3708" s="29"/>
      <c r="HA3708" s="29"/>
      <c r="HB3708" s="29"/>
      <c r="HC3708" s="29"/>
      <c r="HD3708" s="29"/>
      <c r="HE3708" s="29"/>
      <c r="HF3708" s="29"/>
      <c r="HG3708" s="29"/>
      <c r="HH3708" s="29"/>
      <c r="HI3708" s="29"/>
      <c r="HJ3708" s="29"/>
      <c r="HK3708" s="29"/>
      <c r="HL3708" s="29"/>
      <c r="HM3708" s="29"/>
      <c r="HN3708" s="29"/>
      <c r="HO3708" s="29"/>
      <c r="HP3708" s="29"/>
      <c r="HQ3708" s="29"/>
      <c r="HR3708" s="29"/>
      <c r="HS3708" s="29"/>
      <c r="HT3708" s="29"/>
      <c r="HU3708" s="29"/>
      <c r="HV3708" s="29"/>
      <c r="HW3708" s="29"/>
      <c r="HX3708" s="29"/>
      <c r="HY3708" s="29"/>
      <c r="HZ3708" s="29"/>
      <c r="IA3708" s="29"/>
      <c r="IB3708" s="29"/>
      <c r="IC3708" s="29"/>
      <c r="ID3708" s="29"/>
      <c r="IE3708" s="29"/>
      <c r="IF3708" s="29"/>
      <c r="IG3708" s="29"/>
      <c r="IH3708" s="29"/>
      <c r="II3708" s="29"/>
      <c r="IJ3708" s="29"/>
      <c r="IK3708" s="29"/>
      <c r="IL3708" s="29"/>
      <c r="IM3708" s="29"/>
      <c r="IN3708" s="29"/>
      <c r="IO3708" s="29"/>
      <c r="IP3708" s="29"/>
      <c r="IQ3708" s="29"/>
      <c r="IR3708" s="29"/>
      <c r="IS3708" s="29"/>
      <c r="IT3708" s="29"/>
      <c r="IU3708" s="29"/>
      <c r="IV3708" s="29"/>
      <c r="IW3708" s="29"/>
      <c r="IX3708" s="29"/>
      <c r="IY3708" s="29"/>
      <c r="IZ3708" s="29"/>
      <c r="JA3708" s="29"/>
      <c r="JB3708" s="29"/>
    </row>
    <row r="3709" spans="1:262" s="28" customFormat="1">
      <c r="A3709" s="29"/>
      <c r="B3709" s="29"/>
      <c r="C3709" s="29"/>
      <c r="D3709" s="29"/>
      <c r="E3709" s="29"/>
      <c r="F3709" s="29"/>
      <c r="G3709" s="29"/>
      <c r="H3709" s="29"/>
      <c r="I3709" s="29"/>
      <c r="J3709" s="29"/>
      <c r="K3709" s="29"/>
      <c r="L3709" s="29"/>
      <c r="M3709" s="29"/>
      <c r="N3709" s="29"/>
      <c r="O3709" s="29"/>
      <c r="P3709" s="29"/>
      <c r="Q3709" s="29"/>
      <c r="R3709" s="29"/>
      <c r="S3709" s="29"/>
      <c r="T3709" s="29"/>
      <c r="U3709" s="29"/>
      <c r="V3709" s="29"/>
      <c r="GK3709" s="29"/>
      <c r="GL3709" s="29"/>
      <c r="GM3709" s="29"/>
      <c r="GN3709" s="29"/>
      <c r="GO3709" s="29"/>
      <c r="GP3709" s="29"/>
      <c r="GQ3709" s="29"/>
      <c r="GR3709" s="29"/>
      <c r="GS3709" s="29"/>
      <c r="GT3709" s="29"/>
      <c r="GU3709" s="29"/>
      <c r="GV3709" s="29"/>
      <c r="GW3709" s="29"/>
      <c r="GX3709" s="29"/>
      <c r="GY3709" s="29"/>
      <c r="GZ3709" s="29"/>
      <c r="HA3709" s="29"/>
      <c r="HB3709" s="29"/>
      <c r="HC3709" s="29"/>
      <c r="HD3709" s="29"/>
      <c r="HE3709" s="29"/>
      <c r="HF3709" s="29"/>
      <c r="HG3709" s="29"/>
      <c r="HH3709" s="29"/>
      <c r="HI3709" s="29"/>
      <c r="HJ3709" s="29"/>
      <c r="HK3709" s="29"/>
      <c r="HL3709" s="29"/>
      <c r="HM3709" s="29"/>
      <c r="HN3709" s="29"/>
      <c r="HO3709" s="29"/>
      <c r="HP3709" s="29"/>
      <c r="HQ3709" s="29"/>
      <c r="HR3709" s="29"/>
      <c r="HS3709" s="29"/>
      <c r="HT3709" s="29"/>
      <c r="HU3709" s="29"/>
      <c r="HV3709" s="29"/>
      <c r="HW3709" s="29"/>
      <c r="HX3709" s="29"/>
      <c r="HY3709" s="29"/>
      <c r="HZ3709" s="29"/>
      <c r="IA3709" s="29"/>
      <c r="IB3709" s="29"/>
      <c r="IC3709" s="29"/>
      <c r="ID3709" s="29"/>
      <c r="IE3709" s="29"/>
      <c r="IF3709" s="29"/>
      <c r="IG3709" s="29"/>
      <c r="IH3709" s="29"/>
      <c r="II3709" s="29"/>
      <c r="IJ3709" s="29"/>
      <c r="IK3709" s="29"/>
      <c r="IL3709" s="29"/>
      <c r="IM3709" s="29"/>
      <c r="IN3709" s="29"/>
      <c r="IO3709" s="29"/>
      <c r="IP3709" s="29"/>
      <c r="IQ3709" s="29"/>
      <c r="IR3709" s="29"/>
      <c r="IS3709" s="29"/>
      <c r="IT3709" s="29"/>
      <c r="IU3709" s="29"/>
      <c r="IV3709" s="29"/>
      <c r="IW3709" s="29"/>
      <c r="IX3709" s="29"/>
      <c r="IY3709" s="29"/>
      <c r="IZ3709" s="29"/>
      <c r="JA3709" s="29"/>
      <c r="JB3709" s="29"/>
    </row>
    <row r="3710" spans="1:262" s="28" customFormat="1">
      <c r="A3710" s="29"/>
      <c r="B3710" s="29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GK3710" s="29"/>
      <c r="GL3710" s="29"/>
      <c r="GM3710" s="29"/>
      <c r="GN3710" s="29"/>
      <c r="GO3710" s="29"/>
      <c r="GP3710" s="29"/>
      <c r="GQ3710" s="29"/>
      <c r="GR3710" s="29"/>
      <c r="GS3710" s="29"/>
      <c r="GT3710" s="29"/>
      <c r="GU3710" s="29"/>
      <c r="GV3710" s="29"/>
      <c r="GW3710" s="29"/>
      <c r="GX3710" s="29"/>
      <c r="GY3710" s="29"/>
      <c r="GZ3710" s="29"/>
      <c r="HA3710" s="29"/>
      <c r="HB3710" s="29"/>
      <c r="HC3710" s="29"/>
      <c r="HD3710" s="29"/>
      <c r="HE3710" s="29"/>
      <c r="HF3710" s="29"/>
      <c r="HG3710" s="29"/>
      <c r="HH3710" s="29"/>
      <c r="HI3710" s="29"/>
      <c r="HJ3710" s="29"/>
      <c r="HK3710" s="29"/>
      <c r="HL3710" s="29"/>
      <c r="HM3710" s="29"/>
      <c r="HN3710" s="29"/>
      <c r="HO3710" s="29"/>
      <c r="HP3710" s="29"/>
      <c r="HQ3710" s="29"/>
      <c r="HR3710" s="29"/>
      <c r="HS3710" s="29"/>
      <c r="HT3710" s="29"/>
      <c r="HU3710" s="29"/>
      <c r="HV3710" s="29"/>
      <c r="HW3710" s="29"/>
      <c r="HX3710" s="29"/>
      <c r="HY3710" s="29"/>
      <c r="HZ3710" s="29"/>
      <c r="IA3710" s="29"/>
      <c r="IB3710" s="29"/>
      <c r="IC3710" s="29"/>
      <c r="ID3710" s="29"/>
      <c r="IE3710" s="29"/>
      <c r="IF3710" s="29"/>
      <c r="IG3710" s="29"/>
      <c r="IH3710" s="29"/>
      <c r="II3710" s="29"/>
      <c r="IJ3710" s="29"/>
      <c r="IK3710" s="29"/>
      <c r="IL3710" s="29"/>
      <c r="IM3710" s="29"/>
      <c r="IN3710" s="29"/>
      <c r="IO3710" s="29"/>
      <c r="IP3710" s="29"/>
      <c r="IQ3710" s="29"/>
      <c r="IR3710" s="29"/>
      <c r="IS3710" s="29"/>
      <c r="IT3710" s="29"/>
      <c r="IU3710" s="29"/>
      <c r="IV3710" s="29"/>
      <c r="IW3710" s="29"/>
      <c r="IX3710" s="29"/>
      <c r="IY3710" s="29"/>
      <c r="IZ3710" s="29"/>
      <c r="JA3710" s="29"/>
      <c r="JB3710" s="29"/>
    </row>
    <row r="3711" spans="1:262" s="28" customFormat="1">
      <c r="A3711" s="29"/>
      <c r="B3711" s="29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9"/>
      <c r="N3711" s="29"/>
      <c r="O3711" s="29"/>
      <c r="P3711" s="29"/>
      <c r="Q3711" s="29"/>
      <c r="R3711" s="29"/>
      <c r="S3711" s="29"/>
      <c r="T3711" s="29"/>
      <c r="U3711" s="29"/>
      <c r="V3711" s="29"/>
      <c r="GK3711" s="29"/>
      <c r="GL3711" s="29"/>
      <c r="GM3711" s="29"/>
      <c r="GN3711" s="29"/>
      <c r="GO3711" s="29"/>
      <c r="GP3711" s="29"/>
      <c r="GQ3711" s="29"/>
      <c r="GR3711" s="29"/>
      <c r="GS3711" s="29"/>
      <c r="GT3711" s="29"/>
      <c r="GU3711" s="29"/>
      <c r="GV3711" s="29"/>
      <c r="GW3711" s="29"/>
      <c r="GX3711" s="29"/>
      <c r="GY3711" s="29"/>
      <c r="GZ3711" s="29"/>
      <c r="HA3711" s="29"/>
      <c r="HB3711" s="29"/>
      <c r="HC3711" s="29"/>
      <c r="HD3711" s="29"/>
      <c r="HE3711" s="29"/>
      <c r="HF3711" s="29"/>
      <c r="HG3711" s="29"/>
      <c r="HH3711" s="29"/>
      <c r="HI3711" s="29"/>
      <c r="HJ3711" s="29"/>
      <c r="HK3711" s="29"/>
      <c r="HL3711" s="29"/>
      <c r="HM3711" s="29"/>
      <c r="HN3711" s="29"/>
      <c r="HO3711" s="29"/>
      <c r="HP3711" s="29"/>
      <c r="HQ3711" s="29"/>
      <c r="HR3711" s="29"/>
      <c r="HS3711" s="29"/>
      <c r="HT3711" s="29"/>
      <c r="HU3711" s="29"/>
      <c r="HV3711" s="29"/>
      <c r="HW3711" s="29"/>
      <c r="HX3711" s="29"/>
      <c r="HY3711" s="29"/>
      <c r="HZ3711" s="29"/>
      <c r="IA3711" s="29"/>
      <c r="IB3711" s="29"/>
      <c r="IC3711" s="29"/>
      <c r="ID3711" s="29"/>
      <c r="IE3711" s="29"/>
      <c r="IF3711" s="29"/>
      <c r="IG3711" s="29"/>
      <c r="IH3711" s="29"/>
      <c r="II3711" s="29"/>
      <c r="IJ3711" s="29"/>
      <c r="IK3711" s="29"/>
      <c r="IL3711" s="29"/>
      <c r="IM3711" s="29"/>
      <c r="IN3711" s="29"/>
      <c r="IO3711" s="29"/>
      <c r="IP3711" s="29"/>
      <c r="IQ3711" s="29"/>
      <c r="IR3711" s="29"/>
      <c r="IS3711" s="29"/>
      <c r="IT3711" s="29"/>
      <c r="IU3711" s="29"/>
      <c r="IV3711" s="29"/>
      <c r="IW3711" s="29"/>
      <c r="IX3711" s="29"/>
      <c r="IY3711" s="29"/>
      <c r="IZ3711" s="29"/>
      <c r="JA3711" s="29"/>
      <c r="JB3711" s="29"/>
    </row>
    <row r="3712" spans="1:262" s="28" customFormat="1">
      <c r="A3712" s="29"/>
      <c r="B3712" s="29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9"/>
      <c r="N3712" s="29"/>
      <c r="O3712" s="29"/>
      <c r="P3712" s="29"/>
      <c r="Q3712" s="29"/>
      <c r="R3712" s="29"/>
      <c r="S3712" s="29"/>
      <c r="T3712" s="29"/>
      <c r="U3712" s="29"/>
      <c r="V3712" s="29"/>
      <c r="GK3712" s="29"/>
      <c r="GL3712" s="29"/>
      <c r="GM3712" s="29"/>
      <c r="GN3712" s="29"/>
      <c r="GO3712" s="29"/>
      <c r="GP3712" s="29"/>
      <c r="GQ3712" s="29"/>
      <c r="GR3712" s="29"/>
      <c r="GS3712" s="29"/>
      <c r="GT3712" s="29"/>
      <c r="GU3712" s="29"/>
      <c r="GV3712" s="29"/>
      <c r="GW3712" s="29"/>
      <c r="GX3712" s="29"/>
      <c r="GY3712" s="29"/>
      <c r="GZ3712" s="29"/>
      <c r="HA3712" s="29"/>
      <c r="HB3712" s="29"/>
      <c r="HC3712" s="29"/>
      <c r="HD3712" s="29"/>
      <c r="HE3712" s="29"/>
      <c r="HF3712" s="29"/>
      <c r="HG3712" s="29"/>
      <c r="HH3712" s="29"/>
      <c r="HI3712" s="29"/>
      <c r="HJ3712" s="29"/>
      <c r="HK3712" s="29"/>
      <c r="HL3712" s="29"/>
      <c r="HM3712" s="29"/>
      <c r="HN3712" s="29"/>
      <c r="HO3712" s="29"/>
      <c r="HP3712" s="29"/>
      <c r="HQ3712" s="29"/>
      <c r="HR3712" s="29"/>
      <c r="HS3712" s="29"/>
      <c r="HT3712" s="29"/>
      <c r="HU3712" s="29"/>
      <c r="HV3712" s="29"/>
      <c r="HW3712" s="29"/>
      <c r="HX3712" s="29"/>
      <c r="HY3712" s="29"/>
      <c r="HZ3712" s="29"/>
      <c r="IA3712" s="29"/>
      <c r="IB3712" s="29"/>
      <c r="IC3712" s="29"/>
      <c r="ID3712" s="29"/>
      <c r="IE3712" s="29"/>
      <c r="IF3712" s="29"/>
      <c r="IG3712" s="29"/>
      <c r="IH3712" s="29"/>
      <c r="II3712" s="29"/>
      <c r="IJ3712" s="29"/>
      <c r="IK3712" s="29"/>
      <c r="IL3712" s="29"/>
      <c r="IM3712" s="29"/>
      <c r="IN3712" s="29"/>
      <c r="IO3712" s="29"/>
      <c r="IP3712" s="29"/>
      <c r="IQ3712" s="29"/>
      <c r="IR3712" s="29"/>
      <c r="IS3712" s="29"/>
      <c r="IT3712" s="29"/>
      <c r="IU3712" s="29"/>
      <c r="IV3712" s="29"/>
      <c r="IW3712" s="29"/>
      <c r="IX3712" s="29"/>
      <c r="IY3712" s="29"/>
      <c r="IZ3712" s="29"/>
      <c r="JA3712" s="29"/>
      <c r="JB3712" s="29"/>
    </row>
    <row r="3713" spans="1:262" s="28" customFormat="1">
      <c r="A3713" s="29"/>
      <c r="B3713" s="29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9"/>
      <c r="N3713" s="29"/>
      <c r="O3713" s="29"/>
      <c r="P3713" s="29"/>
      <c r="Q3713" s="29"/>
      <c r="R3713" s="29"/>
      <c r="S3713" s="29"/>
      <c r="T3713" s="29"/>
      <c r="U3713" s="29"/>
      <c r="V3713" s="29"/>
      <c r="GK3713" s="29"/>
      <c r="GL3713" s="29"/>
      <c r="GM3713" s="29"/>
      <c r="GN3713" s="29"/>
      <c r="GO3713" s="29"/>
      <c r="GP3713" s="29"/>
      <c r="GQ3713" s="29"/>
      <c r="GR3713" s="29"/>
      <c r="GS3713" s="29"/>
      <c r="GT3713" s="29"/>
      <c r="GU3713" s="29"/>
      <c r="GV3713" s="29"/>
      <c r="GW3713" s="29"/>
      <c r="GX3713" s="29"/>
      <c r="GY3713" s="29"/>
      <c r="GZ3713" s="29"/>
      <c r="HA3713" s="29"/>
      <c r="HB3713" s="29"/>
      <c r="HC3713" s="29"/>
      <c r="HD3713" s="29"/>
      <c r="HE3713" s="29"/>
      <c r="HF3713" s="29"/>
      <c r="HG3713" s="29"/>
      <c r="HH3713" s="29"/>
      <c r="HI3713" s="29"/>
      <c r="HJ3713" s="29"/>
      <c r="HK3713" s="29"/>
      <c r="HL3713" s="29"/>
      <c r="HM3713" s="29"/>
      <c r="HN3713" s="29"/>
      <c r="HO3713" s="29"/>
      <c r="HP3713" s="29"/>
      <c r="HQ3713" s="29"/>
      <c r="HR3713" s="29"/>
      <c r="HS3713" s="29"/>
      <c r="HT3713" s="29"/>
      <c r="HU3713" s="29"/>
      <c r="HV3713" s="29"/>
      <c r="HW3713" s="29"/>
      <c r="HX3713" s="29"/>
      <c r="HY3713" s="29"/>
      <c r="HZ3713" s="29"/>
      <c r="IA3713" s="29"/>
      <c r="IB3713" s="29"/>
      <c r="IC3713" s="29"/>
      <c r="ID3713" s="29"/>
      <c r="IE3713" s="29"/>
      <c r="IF3713" s="29"/>
      <c r="IG3713" s="29"/>
      <c r="IH3713" s="29"/>
      <c r="II3713" s="29"/>
      <c r="IJ3713" s="29"/>
      <c r="IK3713" s="29"/>
      <c r="IL3713" s="29"/>
      <c r="IM3713" s="29"/>
      <c r="IN3713" s="29"/>
      <c r="IO3713" s="29"/>
      <c r="IP3713" s="29"/>
      <c r="IQ3713" s="29"/>
      <c r="IR3713" s="29"/>
      <c r="IS3713" s="29"/>
      <c r="IT3713" s="29"/>
      <c r="IU3713" s="29"/>
      <c r="IV3713" s="29"/>
      <c r="IW3713" s="29"/>
      <c r="IX3713" s="29"/>
      <c r="IY3713" s="29"/>
      <c r="IZ3713" s="29"/>
      <c r="JA3713" s="29"/>
      <c r="JB3713" s="29"/>
    </row>
    <row r="3714" spans="1:262" s="28" customFormat="1">
      <c r="A3714" s="29"/>
      <c r="B3714" s="29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9"/>
      <c r="N3714" s="29"/>
      <c r="O3714" s="29"/>
      <c r="P3714" s="29"/>
      <c r="Q3714" s="29"/>
      <c r="R3714" s="29"/>
      <c r="S3714" s="29"/>
      <c r="T3714" s="29"/>
      <c r="U3714" s="29"/>
      <c r="V3714" s="29"/>
      <c r="GK3714" s="29"/>
      <c r="GL3714" s="29"/>
      <c r="GM3714" s="29"/>
      <c r="GN3714" s="29"/>
      <c r="GO3714" s="29"/>
      <c r="GP3714" s="29"/>
      <c r="GQ3714" s="29"/>
      <c r="GR3714" s="29"/>
      <c r="GS3714" s="29"/>
      <c r="GT3714" s="29"/>
      <c r="GU3714" s="29"/>
      <c r="GV3714" s="29"/>
      <c r="GW3714" s="29"/>
      <c r="GX3714" s="29"/>
      <c r="GY3714" s="29"/>
      <c r="GZ3714" s="29"/>
      <c r="HA3714" s="29"/>
      <c r="HB3714" s="29"/>
      <c r="HC3714" s="29"/>
      <c r="HD3714" s="29"/>
      <c r="HE3714" s="29"/>
      <c r="HF3714" s="29"/>
      <c r="HG3714" s="29"/>
      <c r="HH3714" s="29"/>
      <c r="HI3714" s="29"/>
      <c r="HJ3714" s="29"/>
      <c r="HK3714" s="29"/>
      <c r="HL3714" s="29"/>
      <c r="HM3714" s="29"/>
      <c r="HN3714" s="29"/>
      <c r="HO3714" s="29"/>
      <c r="HP3714" s="29"/>
      <c r="HQ3714" s="29"/>
      <c r="HR3714" s="29"/>
      <c r="HS3714" s="29"/>
      <c r="HT3714" s="29"/>
      <c r="HU3714" s="29"/>
      <c r="HV3714" s="29"/>
      <c r="HW3714" s="29"/>
      <c r="HX3714" s="29"/>
      <c r="HY3714" s="29"/>
      <c r="HZ3714" s="29"/>
      <c r="IA3714" s="29"/>
      <c r="IB3714" s="29"/>
      <c r="IC3714" s="29"/>
      <c r="ID3714" s="29"/>
      <c r="IE3714" s="29"/>
      <c r="IF3714" s="29"/>
      <c r="IG3714" s="29"/>
      <c r="IH3714" s="29"/>
      <c r="II3714" s="29"/>
      <c r="IJ3714" s="29"/>
      <c r="IK3714" s="29"/>
      <c r="IL3714" s="29"/>
      <c r="IM3714" s="29"/>
      <c r="IN3714" s="29"/>
      <c r="IO3714" s="29"/>
      <c r="IP3714" s="29"/>
      <c r="IQ3714" s="29"/>
      <c r="IR3714" s="29"/>
      <c r="IS3714" s="29"/>
      <c r="IT3714" s="29"/>
      <c r="IU3714" s="29"/>
      <c r="IV3714" s="29"/>
      <c r="IW3714" s="29"/>
      <c r="IX3714" s="29"/>
      <c r="IY3714" s="29"/>
      <c r="IZ3714" s="29"/>
      <c r="JA3714" s="29"/>
      <c r="JB3714" s="29"/>
    </row>
    <row r="3715" spans="1:262" s="28" customFormat="1">
      <c r="A3715" s="29"/>
      <c r="B3715" s="29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9"/>
      <c r="N3715" s="29"/>
      <c r="O3715" s="29"/>
      <c r="P3715" s="29"/>
      <c r="Q3715" s="29"/>
      <c r="R3715" s="29"/>
      <c r="S3715" s="29"/>
      <c r="T3715" s="29"/>
      <c r="U3715" s="29"/>
      <c r="V3715" s="29"/>
      <c r="GK3715" s="29"/>
      <c r="GL3715" s="29"/>
      <c r="GM3715" s="29"/>
      <c r="GN3715" s="29"/>
      <c r="GO3715" s="29"/>
      <c r="GP3715" s="29"/>
      <c r="GQ3715" s="29"/>
      <c r="GR3715" s="29"/>
      <c r="GS3715" s="29"/>
      <c r="GT3715" s="29"/>
      <c r="GU3715" s="29"/>
      <c r="GV3715" s="29"/>
      <c r="GW3715" s="29"/>
      <c r="GX3715" s="29"/>
      <c r="GY3715" s="29"/>
      <c r="GZ3715" s="29"/>
      <c r="HA3715" s="29"/>
      <c r="HB3715" s="29"/>
      <c r="HC3715" s="29"/>
      <c r="HD3715" s="29"/>
      <c r="HE3715" s="29"/>
      <c r="HF3715" s="29"/>
      <c r="HG3715" s="29"/>
      <c r="HH3715" s="29"/>
      <c r="HI3715" s="29"/>
      <c r="HJ3715" s="29"/>
      <c r="HK3715" s="29"/>
      <c r="HL3715" s="29"/>
      <c r="HM3715" s="29"/>
      <c r="HN3715" s="29"/>
      <c r="HO3715" s="29"/>
      <c r="HP3715" s="29"/>
      <c r="HQ3715" s="29"/>
      <c r="HR3715" s="29"/>
      <c r="HS3715" s="29"/>
      <c r="HT3715" s="29"/>
      <c r="HU3715" s="29"/>
      <c r="HV3715" s="29"/>
      <c r="HW3715" s="29"/>
      <c r="HX3715" s="29"/>
      <c r="HY3715" s="29"/>
      <c r="HZ3715" s="29"/>
      <c r="IA3715" s="29"/>
      <c r="IB3715" s="29"/>
      <c r="IC3715" s="29"/>
      <c r="ID3715" s="29"/>
      <c r="IE3715" s="29"/>
      <c r="IF3715" s="29"/>
      <c r="IG3715" s="29"/>
      <c r="IH3715" s="29"/>
      <c r="II3715" s="29"/>
      <c r="IJ3715" s="29"/>
      <c r="IK3715" s="29"/>
      <c r="IL3715" s="29"/>
      <c r="IM3715" s="29"/>
      <c r="IN3715" s="29"/>
      <c r="IO3715" s="29"/>
      <c r="IP3715" s="29"/>
      <c r="IQ3715" s="29"/>
      <c r="IR3715" s="29"/>
      <c r="IS3715" s="29"/>
      <c r="IT3715" s="29"/>
      <c r="IU3715" s="29"/>
      <c r="IV3715" s="29"/>
      <c r="IW3715" s="29"/>
      <c r="IX3715" s="29"/>
      <c r="IY3715" s="29"/>
      <c r="IZ3715" s="29"/>
      <c r="JA3715" s="29"/>
      <c r="JB3715" s="29"/>
    </row>
    <row r="3716" spans="1:262" s="28" customFormat="1">
      <c r="A3716" s="29"/>
      <c r="B3716" s="29"/>
      <c r="C3716" s="29"/>
      <c r="D3716" s="29"/>
      <c r="E3716" s="29"/>
      <c r="F3716" s="29"/>
      <c r="G3716" s="29"/>
      <c r="H3716" s="29"/>
      <c r="I3716" s="29"/>
      <c r="J3716" s="29"/>
      <c r="K3716" s="29"/>
      <c r="L3716" s="29"/>
      <c r="M3716" s="29"/>
      <c r="N3716" s="29"/>
      <c r="O3716" s="29"/>
      <c r="P3716" s="29"/>
      <c r="Q3716" s="29"/>
      <c r="R3716" s="29"/>
      <c r="S3716" s="29"/>
      <c r="T3716" s="29"/>
      <c r="U3716" s="29"/>
      <c r="V3716" s="29"/>
      <c r="GK3716" s="29"/>
      <c r="GL3716" s="29"/>
      <c r="GM3716" s="29"/>
      <c r="GN3716" s="29"/>
      <c r="GO3716" s="29"/>
      <c r="GP3716" s="29"/>
      <c r="GQ3716" s="29"/>
      <c r="GR3716" s="29"/>
      <c r="GS3716" s="29"/>
      <c r="GT3716" s="29"/>
      <c r="GU3716" s="29"/>
      <c r="GV3716" s="29"/>
      <c r="GW3716" s="29"/>
      <c r="GX3716" s="29"/>
      <c r="GY3716" s="29"/>
      <c r="GZ3716" s="29"/>
      <c r="HA3716" s="29"/>
      <c r="HB3716" s="29"/>
      <c r="HC3716" s="29"/>
      <c r="HD3716" s="29"/>
      <c r="HE3716" s="29"/>
      <c r="HF3716" s="29"/>
      <c r="HG3716" s="29"/>
      <c r="HH3716" s="29"/>
      <c r="HI3716" s="29"/>
      <c r="HJ3716" s="29"/>
      <c r="HK3716" s="29"/>
      <c r="HL3716" s="29"/>
      <c r="HM3716" s="29"/>
      <c r="HN3716" s="29"/>
      <c r="HO3716" s="29"/>
      <c r="HP3716" s="29"/>
      <c r="HQ3716" s="29"/>
      <c r="HR3716" s="29"/>
      <c r="HS3716" s="29"/>
      <c r="HT3716" s="29"/>
      <c r="HU3716" s="29"/>
      <c r="HV3716" s="29"/>
      <c r="HW3716" s="29"/>
      <c r="HX3716" s="29"/>
      <c r="HY3716" s="29"/>
      <c r="HZ3716" s="29"/>
      <c r="IA3716" s="29"/>
      <c r="IB3716" s="29"/>
      <c r="IC3716" s="29"/>
      <c r="ID3716" s="29"/>
      <c r="IE3716" s="29"/>
      <c r="IF3716" s="29"/>
      <c r="IG3716" s="29"/>
      <c r="IH3716" s="29"/>
      <c r="II3716" s="29"/>
      <c r="IJ3716" s="29"/>
      <c r="IK3716" s="29"/>
      <c r="IL3716" s="29"/>
      <c r="IM3716" s="29"/>
      <c r="IN3716" s="29"/>
      <c r="IO3716" s="29"/>
      <c r="IP3716" s="29"/>
      <c r="IQ3716" s="29"/>
      <c r="IR3716" s="29"/>
      <c r="IS3716" s="29"/>
      <c r="IT3716" s="29"/>
      <c r="IU3716" s="29"/>
      <c r="IV3716" s="29"/>
      <c r="IW3716" s="29"/>
      <c r="IX3716" s="29"/>
      <c r="IY3716" s="29"/>
      <c r="IZ3716" s="29"/>
      <c r="JA3716" s="29"/>
      <c r="JB3716" s="29"/>
    </row>
    <row r="3717" spans="1:262" s="28" customFormat="1">
      <c r="A3717" s="29"/>
      <c r="B3717" s="29"/>
      <c r="C3717" s="29"/>
      <c r="D3717" s="29"/>
      <c r="E3717" s="29"/>
      <c r="F3717" s="29"/>
      <c r="G3717" s="29"/>
      <c r="H3717" s="29"/>
      <c r="I3717" s="29"/>
      <c r="J3717" s="29"/>
      <c r="K3717" s="29"/>
      <c r="L3717" s="29"/>
      <c r="M3717" s="29"/>
      <c r="N3717" s="29"/>
      <c r="O3717" s="29"/>
      <c r="P3717" s="29"/>
      <c r="Q3717" s="29"/>
      <c r="R3717" s="29"/>
      <c r="S3717" s="29"/>
      <c r="T3717" s="29"/>
      <c r="U3717" s="29"/>
      <c r="V3717" s="29"/>
      <c r="GK3717" s="29"/>
      <c r="GL3717" s="29"/>
      <c r="GM3717" s="29"/>
      <c r="GN3717" s="29"/>
      <c r="GO3717" s="29"/>
      <c r="GP3717" s="29"/>
      <c r="GQ3717" s="29"/>
      <c r="GR3717" s="29"/>
      <c r="GS3717" s="29"/>
      <c r="GT3717" s="29"/>
      <c r="GU3717" s="29"/>
      <c r="GV3717" s="29"/>
      <c r="GW3717" s="29"/>
      <c r="GX3717" s="29"/>
      <c r="GY3717" s="29"/>
      <c r="GZ3717" s="29"/>
      <c r="HA3717" s="29"/>
      <c r="HB3717" s="29"/>
      <c r="HC3717" s="29"/>
      <c r="HD3717" s="29"/>
      <c r="HE3717" s="29"/>
      <c r="HF3717" s="29"/>
      <c r="HG3717" s="29"/>
      <c r="HH3717" s="29"/>
      <c r="HI3717" s="29"/>
      <c r="HJ3717" s="29"/>
      <c r="HK3717" s="29"/>
      <c r="HL3717" s="29"/>
      <c r="HM3717" s="29"/>
      <c r="HN3717" s="29"/>
      <c r="HO3717" s="29"/>
      <c r="HP3717" s="29"/>
      <c r="HQ3717" s="29"/>
      <c r="HR3717" s="29"/>
      <c r="HS3717" s="29"/>
      <c r="HT3717" s="29"/>
      <c r="HU3717" s="29"/>
      <c r="HV3717" s="29"/>
      <c r="HW3717" s="29"/>
      <c r="HX3717" s="29"/>
      <c r="HY3717" s="29"/>
      <c r="HZ3717" s="29"/>
      <c r="IA3717" s="29"/>
      <c r="IB3717" s="29"/>
      <c r="IC3717" s="29"/>
      <c r="ID3717" s="29"/>
      <c r="IE3717" s="29"/>
      <c r="IF3717" s="29"/>
      <c r="IG3717" s="29"/>
      <c r="IH3717" s="29"/>
      <c r="II3717" s="29"/>
      <c r="IJ3717" s="29"/>
      <c r="IK3717" s="29"/>
      <c r="IL3717" s="29"/>
      <c r="IM3717" s="29"/>
      <c r="IN3717" s="29"/>
      <c r="IO3717" s="29"/>
      <c r="IP3717" s="29"/>
      <c r="IQ3717" s="29"/>
      <c r="IR3717" s="29"/>
      <c r="IS3717" s="29"/>
      <c r="IT3717" s="29"/>
      <c r="IU3717" s="29"/>
      <c r="IV3717" s="29"/>
      <c r="IW3717" s="29"/>
      <c r="IX3717" s="29"/>
      <c r="IY3717" s="29"/>
      <c r="IZ3717" s="29"/>
      <c r="JA3717" s="29"/>
      <c r="JB3717" s="29"/>
    </row>
    <row r="3718" spans="1:262" s="28" customFormat="1">
      <c r="A3718" s="29"/>
      <c r="B3718" s="29"/>
      <c r="C3718" s="29"/>
      <c r="D3718" s="29"/>
      <c r="E3718" s="29"/>
      <c r="F3718" s="29"/>
      <c r="G3718" s="29"/>
      <c r="H3718" s="29"/>
      <c r="I3718" s="29"/>
      <c r="J3718" s="29"/>
      <c r="K3718" s="29"/>
      <c r="L3718" s="29"/>
      <c r="M3718" s="29"/>
      <c r="N3718" s="29"/>
      <c r="O3718" s="29"/>
      <c r="P3718" s="29"/>
      <c r="Q3718" s="29"/>
      <c r="R3718" s="29"/>
      <c r="S3718" s="29"/>
      <c r="T3718" s="29"/>
      <c r="U3718" s="29"/>
      <c r="V3718" s="29"/>
      <c r="GK3718" s="29"/>
      <c r="GL3718" s="29"/>
      <c r="GM3718" s="29"/>
      <c r="GN3718" s="29"/>
      <c r="GO3718" s="29"/>
      <c r="GP3718" s="29"/>
      <c r="GQ3718" s="29"/>
      <c r="GR3718" s="29"/>
      <c r="GS3718" s="29"/>
      <c r="GT3718" s="29"/>
      <c r="GU3718" s="29"/>
      <c r="GV3718" s="29"/>
      <c r="GW3718" s="29"/>
      <c r="GX3718" s="29"/>
      <c r="GY3718" s="29"/>
      <c r="GZ3718" s="29"/>
      <c r="HA3718" s="29"/>
      <c r="HB3718" s="29"/>
      <c r="HC3718" s="29"/>
      <c r="HD3718" s="29"/>
      <c r="HE3718" s="29"/>
      <c r="HF3718" s="29"/>
      <c r="HG3718" s="29"/>
      <c r="HH3718" s="29"/>
      <c r="HI3718" s="29"/>
      <c r="HJ3718" s="29"/>
      <c r="HK3718" s="29"/>
      <c r="HL3718" s="29"/>
      <c r="HM3718" s="29"/>
      <c r="HN3718" s="29"/>
      <c r="HO3718" s="29"/>
      <c r="HP3718" s="29"/>
      <c r="HQ3718" s="29"/>
      <c r="HR3718" s="29"/>
      <c r="HS3718" s="29"/>
      <c r="HT3718" s="29"/>
      <c r="HU3718" s="29"/>
      <c r="HV3718" s="29"/>
      <c r="HW3718" s="29"/>
      <c r="HX3718" s="29"/>
      <c r="HY3718" s="29"/>
      <c r="HZ3718" s="29"/>
      <c r="IA3718" s="29"/>
      <c r="IB3718" s="29"/>
      <c r="IC3718" s="29"/>
      <c r="ID3718" s="29"/>
      <c r="IE3718" s="29"/>
      <c r="IF3718" s="29"/>
      <c r="IG3718" s="29"/>
      <c r="IH3718" s="29"/>
      <c r="II3718" s="29"/>
      <c r="IJ3718" s="29"/>
      <c r="IK3718" s="29"/>
      <c r="IL3718" s="29"/>
      <c r="IM3718" s="29"/>
      <c r="IN3718" s="29"/>
      <c r="IO3718" s="29"/>
      <c r="IP3718" s="29"/>
      <c r="IQ3718" s="29"/>
      <c r="IR3718" s="29"/>
      <c r="IS3718" s="29"/>
      <c r="IT3718" s="29"/>
      <c r="IU3718" s="29"/>
      <c r="IV3718" s="29"/>
      <c r="IW3718" s="29"/>
      <c r="IX3718" s="29"/>
      <c r="IY3718" s="29"/>
      <c r="IZ3718" s="29"/>
      <c r="JA3718" s="29"/>
      <c r="JB3718" s="29"/>
    </row>
    <row r="3719" spans="1:262" s="28" customFormat="1">
      <c r="A3719" s="29"/>
      <c r="B3719" s="29"/>
      <c r="C3719" s="29"/>
      <c r="D3719" s="29"/>
      <c r="E3719" s="29"/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29"/>
      <c r="Q3719" s="29"/>
      <c r="R3719" s="29"/>
      <c r="S3719" s="29"/>
      <c r="T3719" s="29"/>
      <c r="U3719" s="29"/>
      <c r="V3719" s="29"/>
      <c r="GK3719" s="29"/>
      <c r="GL3719" s="29"/>
      <c r="GM3719" s="29"/>
      <c r="GN3719" s="29"/>
      <c r="GO3719" s="29"/>
      <c r="GP3719" s="29"/>
      <c r="GQ3719" s="29"/>
      <c r="GR3719" s="29"/>
      <c r="GS3719" s="29"/>
      <c r="GT3719" s="29"/>
      <c r="GU3719" s="29"/>
      <c r="GV3719" s="29"/>
      <c r="GW3719" s="29"/>
      <c r="GX3719" s="29"/>
      <c r="GY3719" s="29"/>
      <c r="GZ3719" s="29"/>
      <c r="HA3719" s="29"/>
      <c r="HB3719" s="29"/>
      <c r="HC3719" s="29"/>
      <c r="HD3719" s="29"/>
      <c r="HE3719" s="29"/>
      <c r="HF3719" s="29"/>
      <c r="HG3719" s="29"/>
      <c r="HH3719" s="29"/>
      <c r="HI3719" s="29"/>
      <c r="HJ3719" s="29"/>
      <c r="HK3719" s="29"/>
      <c r="HL3719" s="29"/>
      <c r="HM3719" s="29"/>
      <c r="HN3719" s="29"/>
      <c r="HO3719" s="29"/>
      <c r="HP3719" s="29"/>
      <c r="HQ3719" s="29"/>
      <c r="HR3719" s="29"/>
      <c r="HS3719" s="29"/>
      <c r="HT3719" s="29"/>
      <c r="HU3719" s="29"/>
      <c r="HV3719" s="29"/>
      <c r="HW3719" s="29"/>
      <c r="HX3719" s="29"/>
      <c r="HY3719" s="29"/>
      <c r="HZ3719" s="29"/>
      <c r="IA3719" s="29"/>
      <c r="IB3719" s="29"/>
      <c r="IC3719" s="29"/>
      <c r="ID3719" s="29"/>
      <c r="IE3719" s="29"/>
      <c r="IF3719" s="29"/>
      <c r="IG3719" s="29"/>
      <c r="IH3719" s="29"/>
      <c r="II3719" s="29"/>
      <c r="IJ3719" s="29"/>
      <c r="IK3719" s="29"/>
      <c r="IL3719" s="29"/>
      <c r="IM3719" s="29"/>
      <c r="IN3719" s="29"/>
      <c r="IO3719" s="29"/>
      <c r="IP3719" s="29"/>
      <c r="IQ3719" s="29"/>
      <c r="IR3719" s="29"/>
      <c r="IS3719" s="29"/>
      <c r="IT3719" s="29"/>
      <c r="IU3719" s="29"/>
      <c r="IV3719" s="29"/>
      <c r="IW3719" s="29"/>
      <c r="IX3719" s="29"/>
      <c r="IY3719" s="29"/>
      <c r="IZ3719" s="29"/>
      <c r="JA3719" s="29"/>
      <c r="JB3719" s="29"/>
    </row>
    <row r="3720" spans="1:262" s="28" customFormat="1">
      <c r="A3720" s="29"/>
      <c r="B3720" s="29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N3720" s="29"/>
      <c r="O3720" s="29"/>
      <c r="P3720" s="29"/>
      <c r="Q3720" s="29"/>
      <c r="R3720" s="29"/>
      <c r="S3720" s="29"/>
      <c r="T3720" s="29"/>
      <c r="U3720" s="29"/>
      <c r="V3720" s="29"/>
      <c r="GK3720" s="29"/>
      <c r="GL3720" s="29"/>
      <c r="GM3720" s="29"/>
      <c r="GN3720" s="29"/>
      <c r="GO3720" s="29"/>
      <c r="GP3720" s="29"/>
      <c r="GQ3720" s="29"/>
      <c r="GR3720" s="29"/>
      <c r="GS3720" s="29"/>
      <c r="GT3720" s="29"/>
      <c r="GU3720" s="29"/>
      <c r="GV3720" s="29"/>
      <c r="GW3720" s="29"/>
      <c r="GX3720" s="29"/>
      <c r="GY3720" s="29"/>
      <c r="GZ3720" s="29"/>
      <c r="HA3720" s="29"/>
      <c r="HB3720" s="29"/>
      <c r="HC3720" s="29"/>
      <c r="HD3720" s="29"/>
      <c r="HE3720" s="29"/>
      <c r="HF3720" s="29"/>
      <c r="HG3720" s="29"/>
      <c r="HH3720" s="29"/>
      <c r="HI3720" s="29"/>
      <c r="HJ3720" s="29"/>
      <c r="HK3720" s="29"/>
      <c r="HL3720" s="29"/>
      <c r="HM3720" s="29"/>
      <c r="HN3720" s="29"/>
      <c r="HO3720" s="29"/>
      <c r="HP3720" s="29"/>
      <c r="HQ3720" s="29"/>
      <c r="HR3720" s="29"/>
      <c r="HS3720" s="29"/>
      <c r="HT3720" s="29"/>
      <c r="HU3720" s="29"/>
      <c r="HV3720" s="29"/>
      <c r="HW3720" s="29"/>
      <c r="HX3720" s="29"/>
      <c r="HY3720" s="29"/>
      <c r="HZ3720" s="29"/>
      <c r="IA3720" s="29"/>
      <c r="IB3720" s="29"/>
      <c r="IC3720" s="29"/>
      <c r="ID3720" s="29"/>
      <c r="IE3720" s="29"/>
      <c r="IF3720" s="29"/>
      <c r="IG3720" s="29"/>
      <c r="IH3720" s="29"/>
      <c r="II3720" s="29"/>
      <c r="IJ3720" s="29"/>
      <c r="IK3720" s="29"/>
      <c r="IL3720" s="29"/>
      <c r="IM3720" s="29"/>
      <c r="IN3720" s="29"/>
      <c r="IO3720" s="29"/>
      <c r="IP3720" s="29"/>
      <c r="IQ3720" s="29"/>
      <c r="IR3720" s="29"/>
      <c r="IS3720" s="29"/>
      <c r="IT3720" s="29"/>
      <c r="IU3720" s="29"/>
      <c r="IV3720" s="29"/>
      <c r="IW3720" s="29"/>
      <c r="IX3720" s="29"/>
      <c r="IY3720" s="29"/>
      <c r="IZ3720" s="29"/>
      <c r="JA3720" s="29"/>
      <c r="JB3720" s="29"/>
    </row>
    <row r="3721" spans="1:262" s="28" customFormat="1">
      <c r="A3721" s="29"/>
      <c r="B3721" s="29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9"/>
      <c r="N3721" s="29"/>
      <c r="O3721" s="29"/>
      <c r="P3721" s="29"/>
      <c r="Q3721" s="29"/>
      <c r="R3721" s="29"/>
      <c r="S3721" s="29"/>
      <c r="T3721" s="29"/>
      <c r="U3721" s="29"/>
      <c r="V3721" s="29"/>
      <c r="GK3721" s="29"/>
      <c r="GL3721" s="29"/>
      <c r="GM3721" s="29"/>
      <c r="GN3721" s="29"/>
      <c r="GO3721" s="29"/>
      <c r="GP3721" s="29"/>
      <c r="GQ3721" s="29"/>
      <c r="GR3721" s="29"/>
      <c r="GS3721" s="29"/>
      <c r="GT3721" s="29"/>
      <c r="GU3721" s="29"/>
      <c r="GV3721" s="29"/>
      <c r="GW3721" s="29"/>
      <c r="GX3721" s="29"/>
      <c r="GY3721" s="29"/>
      <c r="GZ3721" s="29"/>
      <c r="HA3721" s="29"/>
      <c r="HB3721" s="29"/>
      <c r="HC3721" s="29"/>
      <c r="HD3721" s="29"/>
      <c r="HE3721" s="29"/>
      <c r="HF3721" s="29"/>
      <c r="HG3721" s="29"/>
      <c r="HH3721" s="29"/>
      <c r="HI3721" s="29"/>
      <c r="HJ3721" s="29"/>
      <c r="HK3721" s="29"/>
      <c r="HL3721" s="29"/>
      <c r="HM3721" s="29"/>
      <c r="HN3721" s="29"/>
      <c r="HO3721" s="29"/>
      <c r="HP3721" s="29"/>
      <c r="HQ3721" s="29"/>
      <c r="HR3721" s="29"/>
      <c r="HS3721" s="29"/>
      <c r="HT3721" s="29"/>
      <c r="HU3721" s="29"/>
      <c r="HV3721" s="29"/>
      <c r="HW3721" s="29"/>
      <c r="HX3721" s="29"/>
      <c r="HY3721" s="29"/>
      <c r="HZ3721" s="29"/>
      <c r="IA3721" s="29"/>
      <c r="IB3721" s="29"/>
      <c r="IC3721" s="29"/>
      <c r="ID3721" s="29"/>
      <c r="IE3721" s="29"/>
      <c r="IF3721" s="29"/>
      <c r="IG3721" s="29"/>
      <c r="IH3721" s="29"/>
      <c r="II3721" s="29"/>
      <c r="IJ3721" s="29"/>
      <c r="IK3721" s="29"/>
      <c r="IL3721" s="29"/>
      <c r="IM3721" s="29"/>
      <c r="IN3721" s="29"/>
      <c r="IO3721" s="29"/>
      <c r="IP3721" s="29"/>
      <c r="IQ3721" s="29"/>
      <c r="IR3721" s="29"/>
      <c r="IS3721" s="29"/>
      <c r="IT3721" s="29"/>
      <c r="IU3721" s="29"/>
      <c r="IV3721" s="29"/>
      <c r="IW3721" s="29"/>
      <c r="IX3721" s="29"/>
      <c r="IY3721" s="29"/>
      <c r="IZ3721" s="29"/>
      <c r="JA3721" s="29"/>
      <c r="JB3721" s="29"/>
    </row>
    <row r="3722" spans="1:262" s="28" customFormat="1">
      <c r="A3722" s="29"/>
      <c r="B3722" s="29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9"/>
      <c r="N3722" s="29"/>
      <c r="O3722" s="29"/>
      <c r="P3722" s="29"/>
      <c r="Q3722" s="29"/>
      <c r="R3722" s="29"/>
      <c r="S3722" s="29"/>
      <c r="T3722" s="29"/>
      <c r="U3722" s="29"/>
      <c r="V3722" s="29"/>
      <c r="GK3722" s="29"/>
      <c r="GL3722" s="29"/>
      <c r="GM3722" s="29"/>
      <c r="GN3722" s="29"/>
      <c r="GO3722" s="29"/>
      <c r="GP3722" s="29"/>
      <c r="GQ3722" s="29"/>
      <c r="GR3722" s="29"/>
      <c r="GS3722" s="29"/>
      <c r="GT3722" s="29"/>
      <c r="GU3722" s="29"/>
      <c r="GV3722" s="29"/>
      <c r="GW3722" s="29"/>
      <c r="GX3722" s="29"/>
      <c r="GY3722" s="29"/>
      <c r="GZ3722" s="29"/>
      <c r="HA3722" s="29"/>
      <c r="HB3722" s="29"/>
      <c r="HC3722" s="29"/>
      <c r="HD3722" s="29"/>
      <c r="HE3722" s="29"/>
      <c r="HF3722" s="29"/>
      <c r="HG3722" s="29"/>
      <c r="HH3722" s="29"/>
      <c r="HI3722" s="29"/>
      <c r="HJ3722" s="29"/>
      <c r="HK3722" s="29"/>
      <c r="HL3722" s="29"/>
      <c r="HM3722" s="29"/>
      <c r="HN3722" s="29"/>
      <c r="HO3722" s="29"/>
      <c r="HP3722" s="29"/>
      <c r="HQ3722" s="29"/>
      <c r="HR3722" s="29"/>
      <c r="HS3722" s="29"/>
      <c r="HT3722" s="29"/>
      <c r="HU3722" s="29"/>
      <c r="HV3722" s="29"/>
      <c r="HW3722" s="29"/>
      <c r="HX3722" s="29"/>
      <c r="HY3722" s="29"/>
      <c r="HZ3722" s="29"/>
      <c r="IA3722" s="29"/>
      <c r="IB3722" s="29"/>
      <c r="IC3722" s="29"/>
      <c r="ID3722" s="29"/>
      <c r="IE3722" s="29"/>
      <c r="IF3722" s="29"/>
      <c r="IG3722" s="29"/>
      <c r="IH3722" s="29"/>
      <c r="II3722" s="29"/>
      <c r="IJ3722" s="29"/>
      <c r="IK3722" s="29"/>
      <c r="IL3722" s="29"/>
      <c r="IM3722" s="29"/>
      <c r="IN3722" s="29"/>
      <c r="IO3722" s="29"/>
      <c r="IP3722" s="29"/>
      <c r="IQ3722" s="29"/>
      <c r="IR3722" s="29"/>
      <c r="IS3722" s="29"/>
      <c r="IT3722" s="29"/>
      <c r="IU3722" s="29"/>
      <c r="IV3722" s="29"/>
      <c r="IW3722" s="29"/>
      <c r="IX3722" s="29"/>
      <c r="IY3722" s="29"/>
      <c r="IZ3722" s="29"/>
      <c r="JA3722" s="29"/>
      <c r="JB3722" s="29"/>
    </row>
    <row r="3723" spans="1:262" s="28" customFormat="1">
      <c r="A3723" s="29"/>
      <c r="B3723" s="29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9"/>
      <c r="N3723" s="29"/>
      <c r="O3723" s="29"/>
      <c r="P3723" s="29"/>
      <c r="Q3723" s="29"/>
      <c r="R3723" s="29"/>
      <c r="S3723" s="29"/>
      <c r="T3723" s="29"/>
      <c r="U3723" s="29"/>
      <c r="V3723" s="29"/>
      <c r="GK3723" s="29"/>
      <c r="GL3723" s="29"/>
      <c r="GM3723" s="29"/>
      <c r="GN3723" s="29"/>
      <c r="GO3723" s="29"/>
      <c r="GP3723" s="29"/>
      <c r="GQ3723" s="29"/>
      <c r="GR3723" s="29"/>
      <c r="GS3723" s="29"/>
      <c r="GT3723" s="29"/>
      <c r="GU3723" s="29"/>
      <c r="GV3723" s="29"/>
      <c r="GW3723" s="29"/>
      <c r="GX3723" s="29"/>
      <c r="GY3723" s="29"/>
      <c r="GZ3723" s="29"/>
      <c r="HA3723" s="29"/>
      <c r="HB3723" s="29"/>
      <c r="HC3723" s="29"/>
      <c r="HD3723" s="29"/>
      <c r="HE3723" s="29"/>
      <c r="HF3723" s="29"/>
      <c r="HG3723" s="29"/>
      <c r="HH3723" s="29"/>
      <c r="HI3723" s="29"/>
      <c r="HJ3723" s="29"/>
      <c r="HK3723" s="29"/>
      <c r="HL3723" s="29"/>
      <c r="HM3723" s="29"/>
      <c r="HN3723" s="29"/>
      <c r="HO3723" s="29"/>
      <c r="HP3723" s="29"/>
      <c r="HQ3723" s="29"/>
      <c r="HR3723" s="29"/>
      <c r="HS3723" s="29"/>
      <c r="HT3723" s="29"/>
      <c r="HU3723" s="29"/>
      <c r="HV3723" s="29"/>
      <c r="HW3723" s="29"/>
      <c r="HX3723" s="29"/>
      <c r="HY3723" s="29"/>
      <c r="HZ3723" s="29"/>
      <c r="IA3723" s="29"/>
      <c r="IB3723" s="29"/>
      <c r="IC3723" s="29"/>
      <c r="ID3723" s="29"/>
      <c r="IE3723" s="29"/>
      <c r="IF3723" s="29"/>
      <c r="IG3723" s="29"/>
      <c r="IH3723" s="29"/>
      <c r="II3723" s="29"/>
      <c r="IJ3723" s="29"/>
      <c r="IK3723" s="29"/>
      <c r="IL3723" s="29"/>
      <c r="IM3723" s="29"/>
      <c r="IN3723" s="29"/>
      <c r="IO3723" s="29"/>
      <c r="IP3723" s="29"/>
      <c r="IQ3723" s="29"/>
      <c r="IR3723" s="29"/>
      <c r="IS3723" s="29"/>
      <c r="IT3723" s="29"/>
      <c r="IU3723" s="29"/>
      <c r="IV3723" s="29"/>
      <c r="IW3723" s="29"/>
      <c r="IX3723" s="29"/>
      <c r="IY3723" s="29"/>
      <c r="IZ3723" s="29"/>
      <c r="JA3723" s="29"/>
      <c r="JB3723" s="29"/>
    </row>
    <row r="3724" spans="1:262" s="28" customFormat="1">
      <c r="A3724" s="29"/>
      <c r="B3724" s="29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N3724" s="29"/>
      <c r="O3724" s="29"/>
      <c r="P3724" s="29"/>
      <c r="Q3724" s="29"/>
      <c r="R3724" s="29"/>
      <c r="S3724" s="29"/>
      <c r="T3724" s="29"/>
      <c r="U3724" s="29"/>
      <c r="V3724" s="29"/>
      <c r="GK3724" s="29"/>
      <c r="GL3724" s="29"/>
      <c r="GM3724" s="29"/>
      <c r="GN3724" s="29"/>
      <c r="GO3724" s="29"/>
      <c r="GP3724" s="29"/>
      <c r="GQ3724" s="29"/>
      <c r="GR3724" s="29"/>
      <c r="GS3724" s="29"/>
      <c r="GT3724" s="29"/>
      <c r="GU3724" s="29"/>
      <c r="GV3724" s="29"/>
      <c r="GW3724" s="29"/>
      <c r="GX3724" s="29"/>
      <c r="GY3724" s="29"/>
      <c r="GZ3724" s="29"/>
      <c r="HA3724" s="29"/>
      <c r="HB3724" s="29"/>
      <c r="HC3724" s="29"/>
      <c r="HD3724" s="29"/>
      <c r="HE3724" s="29"/>
      <c r="HF3724" s="29"/>
      <c r="HG3724" s="29"/>
      <c r="HH3724" s="29"/>
      <c r="HI3724" s="29"/>
      <c r="HJ3724" s="29"/>
      <c r="HK3724" s="29"/>
      <c r="HL3724" s="29"/>
      <c r="HM3724" s="29"/>
      <c r="HN3724" s="29"/>
      <c r="HO3724" s="29"/>
      <c r="HP3724" s="29"/>
      <c r="HQ3724" s="29"/>
      <c r="HR3724" s="29"/>
      <c r="HS3724" s="29"/>
      <c r="HT3724" s="29"/>
      <c r="HU3724" s="29"/>
      <c r="HV3724" s="29"/>
      <c r="HW3724" s="29"/>
      <c r="HX3724" s="29"/>
      <c r="HY3724" s="29"/>
      <c r="HZ3724" s="29"/>
      <c r="IA3724" s="29"/>
      <c r="IB3724" s="29"/>
      <c r="IC3724" s="29"/>
      <c r="ID3724" s="29"/>
      <c r="IE3724" s="29"/>
      <c r="IF3724" s="29"/>
      <c r="IG3724" s="29"/>
      <c r="IH3724" s="29"/>
      <c r="II3724" s="29"/>
      <c r="IJ3724" s="29"/>
      <c r="IK3724" s="29"/>
      <c r="IL3724" s="29"/>
      <c r="IM3724" s="29"/>
      <c r="IN3724" s="29"/>
      <c r="IO3724" s="29"/>
      <c r="IP3724" s="29"/>
      <c r="IQ3724" s="29"/>
      <c r="IR3724" s="29"/>
      <c r="IS3724" s="29"/>
      <c r="IT3724" s="29"/>
      <c r="IU3724" s="29"/>
      <c r="IV3724" s="29"/>
      <c r="IW3724" s="29"/>
      <c r="IX3724" s="29"/>
      <c r="IY3724" s="29"/>
      <c r="IZ3724" s="29"/>
      <c r="JA3724" s="29"/>
      <c r="JB3724" s="29"/>
    </row>
    <row r="3725" spans="1:262" s="28" customFormat="1">
      <c r="A3725" s="29"/>
      <c r="B3725" s="29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  <c r="Q3725" s="29"/>
      <c r="R3725" s="29"/>
      <c r="S3725" s="29"/>
      <c r="T3725" s="29"/>
      <c r="U3725" s="29"/>
      <c r="V3725" s="29"/>
      <c r="GK3725" s="29"/>
      <c r="GL3725" s="29"/>
      <c r="GM3725" s="29"/>
      <c r="GN3725" s="29"/>
      <c r="GO3725" s="29"/>
      <c r="GP3725" s="29"/>
      <c r="GQ3725" s="29"/>
      <c r="GR3725" s="29"/>
      <c r="GS3725" s="29"/>
      <c r="GT3725" s="29"/>
      <c r="GU3725" s="29"/>
      <c r="GV3725" s="29"/>
      <c r="GW3725" s="29"/>
      <c r="GX3725" s="29"/>
      <c r="GY3725" s="29"/>
      <c r="GZ3725" s="29"/>
      <c r="HA3725" s="29"/>
      <c r="HB3725" s="29"/>
      <c r="HC3725" s="29"/>
      <c r="HD3725" s="29"/>
      <c r="HE3725" s="29"/>
      <c r="HF3725" s="29"/>
      <c r="HG3725" s="29"/>
      <c r="HH3725" s="29"/>
      <c r="HI3725" s="29"/>
      <c r="HJ3725" s="29"/>
      <c r="HK3725" s="29"/>
      <c r="HL3725" s="29"/>
      <c r="HM3725" s="29"/>
      <c r="HN3725" s="29"/>
      <c r="HO3725" s="29"/>
      <c r="HP3725" s="29"/>
      <c r="HQ3725" s="29"/>
      <c r="HR3725" s="29"/>
      <c r="HS3725" s="29"/>
      <c r="HT3725" s="29"/>
      <c r="HU3725" s="29"/>
      <c r="HV3725" s="29"/>
      <c r="HW3725" s="29"/>
      <c r="HX3725" s="29"/>
      <c r="HY3725" s="29"/>
      <c r="HZ3725" s="29"/>
      <c r="IA3725" s="29"/>
      <c r="IB3725" s="29"/>
      <c r="IC3725" s="29"/>
      <c r="ID3725" s="29"/>
      <c r="IE3725" s="29"/>
      <c r="IF3725" s="29"/>
      <c r="IG3725" s="29"/>
      <c r="IH3725" s="29"/>
      <c r="II3725" s="29"/>
      <c r="IJ3725" s="29"/>
      <c r="IK3725" s="29"/>
      <c r="IL3725" s="29"/>
      <c r="IM3725" s="29"/>
      <c r="IN3725" s="29"/>
      <c r="IO3725" s="29"/>
      <c r="IP3725" s="29"/>
      <c r="IQ3725" s="29"/>
      <c r="IR3725" s="29"/>
      <c r="IS3725" s="29"/>
      <c r="IT3725" s="29"/>
      <c r="IU3725" s="29"/>
      <c r="IV3725" s="29"/>
      <c r="IW3725" s="29"/>
      <c r="IX3725" s="29"/>
      <c r="IY3725" s="29"/>
      <c r="IZ3725" s="29"/>
      <c r="JA3725" s="29"/>
      <c r="JB3725" s="29"/>
    </row>
    <row r="3726" spans="1:262" s="28" customFormat="1">
      <c r="A3726" s="29"/>
      <c r="B3726" s="29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N3726" s="29"/>
      <c r="O3726" s="29"/>
      <c r="P3726" s="29"/>
      <c r="Q3726" s="29"/>
      <c r="R3726" s="29"/>
      <c r="S3726" s="29"/>
      <c r="T3726" s="29"/>
      <c r="U3726" s="29"/>
      <c r="V3726" s="29"/>
      <c r="GK3726" s="29"/>
      <c r="GL3726" s="29"/>
      <c r="GM3726" s="29"/>
      <c r="GN3726" s="29"/>
      <c r="GO3726" s="29"/>
      <c r="GP3726" s="29"/>
      <c r="GQ3726" s="29"/>
      <c r="GR3726" s="29"/>
      <c r="GS3726" s="29"/>
      <c r="GT3726" s="29"/>
      <c r="GU3726" s="29"/>
      <c r="GV3726" s="29"/>
      <c r="GW3726" s="29"/>
      <c r="GX3726" s="29"/>
      <c r="GY3726" s="29"/>
      <c r="GZ3726" s="29"/>
      <c r="HA3726" s="29"/>
      <c r="HB3726" s="29"/>
      <c r="HC3726" s="29"/>
      <c r="HD3726" s="29"/>
      <c r="HE3726" s="29"/>
      <c r="HF3726" s="29"/>
      <c r="HG3726" s="29"/>
      <c r="HH3726" s="29"/>
      <c r="HI3726" s="29"/>
      <c r="HJ3726" s="29"/>
      <c r="HK3726" s="29"/>
      <c r="HL3726" s="29"/>
      <c r="HM3726" s="29"/>
      <c r="HN3726" s="29"/>
      <c r="HO3726" s="29"/>
      <c r="HP3726" s="29"/>
      <c r="HQ3726" s="29"/>
      <c r="HR3726" s="29"/>
      <c r="HS3726" s="29"/>
      <c r="HT3726" s="29"/>
      <c r="HU3726" s="29"/>
      <c r="HV3726" s="29"/>
      <c r="HW3726" s="29"/>
      <c r="HX3726" s="29"/>
      <c r="HY3726" s="29"/>
      <c r="HZ3726" s="29"/>
      <c r="IA3726" s="29"/>
      <c r="IB3726" s="29"/>
      <c r="IC3726" s="29"/>
      <c r="ID3726" s="29"/>
      <c r="IE3726" s="29"/>
      <c r="IF3726" s="29"/>
      <c r="IG3726" s="29"/>
      <c r="IH3726" s="29"/>
      <c r="II3726" s="29"/>
      <c r="IJ3726" s="29"/>
      <c r="IK3726" s="29"/>
      <c r="IL3726" s="29"/>
      <c r="IM3726" s="29"/>
      <c r="IN3726" s="29"/>
      <c r="IO3726" s="29"/>
      <c r="IP3726" s="29"/>
      <c r="IQ3726" s="29"/>
      <c r="IR3726" s="29"/>
      <c r="IS3726" s="29"/>
      <c r="IT3726" s="29"/>
      <c r="IU3726" s="29"/>
      <c r="IV3726" s="29"/>
      <c r="IW3726" s="29"/>
      <c r="IX3726" s="29"/>
      <c r="IY3726" s="29"/>
      <c r="IZ3726" s="29"/>
      <c r="JA3726" s="29"/>
      <c r="JB3726" s="29"/>
    </row>
    <row r="3727" spans="1:262" s="28" customFormat="1">
      <c r="A3727" s="29"/>
      <c r="B3727" s="29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GK3727" s="29"/>
      <c r="GL3727" s="29"/>
      <c r="GM3727" s="29"/>
      <c r="GN3727" s="29"/>
      <c r="GO3727" s="29"/>
      <c r="GP3727" s="29"/>
      <c r="GQ3727" s="29"/>
      <c r="GR3727" s="29"/>
      <c r="GS3727" s="29"/>
      <c r="GT3727" s="29"/>
      <c r="GU3727" s="29"/>
      <c r="GV3727" s="29"/>
      <c r="GW3727" s="29"/>
      <c r="GX3727" s="29"/>
      <c r="GY3727" s="29"/>
      <c r="GZ3727" s="29"/>
      <c r="HA3727" s="29"/>
      <c r="HB3727" s="29"/>
      <c r="HC3727" s="29"/>
      <c r="HD3727" s="29"/>
      <c r="HE3727" s="29"/>
      <c r="HF3727" s="29"/>
      <c r="HG3727" s="29"/>
      <c r="HH3727" s="29"/>
      <c r="HI3727" s="29"/>
      <c r="HJ3727" s="29"/>
      <c r="HK3727" s="29"/>
      <c r="HL3727" s="29"/>
      <c r="HM3727" s="29"/>
      <c r="HN3727" s="29"/>
      <c r="HO3727" s="29"/>
      <c r="HP3727" s="29"/>
      <c r="HQ3727" s="29"/>
      <c r="HR3727" s="29"/>
      <c r="HS3727" s="29"/>
      <c r="HT3727" s="29"/>
      <c r="HU3727" s="29"/>
      <c r="HV3727" s="29"/>
      <c r="HW3727" s="29"/>
      <c r="HX3727" s="29"/>
      <c r="HY3727" s="29"/>
      <c r="HZ3727" s="29"/>
      <c r="IA3727" s="29"/>
      <c r="IB3727" s="29"/>
      <c r="IC3727" s="29"/>
      <c r="ID3727" s="29"/>
      <c r="IE3727" s="29"/>
      <c r="IF3727" s="29"/>
      <c r="IG3727" s="29"/>
      <c r="IH3727" s="29"/>
      <c r="II3727" s="29"/>
      <c r="IJ3727" s="29"/>
      <c r="IK3727" s="29"/>
      <c r="IL3727" s="29"/>
      <c r="IM3727" s="29"/>
      <c r="IN3727" s="29"/>
      <c r="IO3727" s="29"/>
      <c r="IP3727" s="29"/>
      <c r="IQ3727" s="29"/>
      <c r="IR3727" s="29"/>
      <c r="IS3727" s="29"/>
      <c r="IT3727" s="29"/>
      <c r="IU3727" s="29"/>
      <c r="IV3727" s="29"/>
      <c r="IW3727" s="29"/>
      <c r="IX3727" s="29"/>
      <c r="IY3727" s="29"/>
      <c r="IZ3727" s="29"/>
      <c r="JA3727" s="29"/>
      <c r="JB3727" s="29"/>
    </row>
    <row r="3728" spans="1:262" s="28" customFormat="1">
      <c r="A3728" s="29"/>
      <c r="B3728" s="29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GK3728" s="29"/>
      <c r="GL3728" s="29"/>
      <c r="GM3728" s="29"/>
      <c r="GN3728" s="29"/>
      <c r="GO3728" s="29"/>
      <c r="GP3728" s="29"/>
      <c r="GQ3728" s="29"/>
      <c r="GR3728" s="29"/>
      <c r="GS3728" s="29"/>
      <c r="GT3728" s="29"/>
      <c r="GU3728" s="29"/>
      <c r="GV3728" s="29"/>
      <c r="GW3728" s="29"/>
      <c r="GX3728" s="29"/>
      <c r="GY3728" s="29"/>
      <c r="GZ3728" s="29"/>
      <c r="HA3728" s="29"/>
      <c r="HB3728" s="29"/>
      <c r="HC3728" s="29"/>
      <c r="HD3728" s="29"/>
      <c r="HE3728" s="29"/>
      <c r="HF3728" s="29"/>
      <c r="HG3728" s="29"/>
      <c r="HH3728" s="29"/>
      <c r="HI3728" s="29"/>
      <c r="HJ3728" s="29"/>
      <c r="HK3728" s="29"/>
      <c r="HL3728" s="29"/>
      <c r="HM3728" s="29"/>
      <c r="HN3728" s="29"/>
      <c r="HO3728" s="29"/>
      <c r="HP3728" s="29"/>
      <c r="HQ3728" s="29"/>
      <c r="HR3728" s="29"/>
      <c r="HS3728" s="29"/>
      <c r="HT3728" s="29"/>
      <c r="HU3728" s="29"/>
      <c r="HV3728" s="29"/>
      <c r="HW3728" s="29"/>
      <c r="HX3728" s="29"/>
      <c r="HY3728" s="29"/>
      <c r="HZ3728" s="29"/>
      <c r="IA3728" s="29"/>
      <c r="IB3728" s="29"/>
      <c r="IC3728" s="29"/>
      <c r="ID3728" s="29"/>
      <c r="IE3728" s="29"/>
      <c r="IF3728" s="29"/>
      <c r="IG3728" s="29"/>
      <c r="IH3728" s="29"/>
      <c r="II3728" s="29"/>
      <c r="IJ3728" s="29"/>
      <c r="IK3728" s="29"/>
      <c r="IL3728" s="29"/>
      <c r="IM3728" s="29"/>
      <c r="IN3728" s="29"/>
      <c r="IO3728" s="29"/>
      <c r="IP3728" s="29"/>
      <c r="IQ3728" s="29"/>
      <c r="IR3728" s="29"/>
      <c r="IS3728" s="29"/>
      <c r="IT3728" s="29"/>
      <c r="IU3728" s="29"/>
      <c r="IV3728" s="29"/>
      <c r="IW3728" s="29"/>
      <c r="IX3728" s="29"/>
      <c r="IY3728" s="29"/>
      <c r="IZ3728" s="29"/>
      <c r="JA3728" s="29"/>
      <c r="JB3728" s="29"/>
    </row>
    <row r="3729" spans="1:262" s="28" customFormat="1">
      <c r="A3729" s="29"/>
      <c r="B3729" s="29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N3729" s="29"/>
      <c r="O3729" s="29"/>
      <c r="P3729" s="29"/>
      <c r="Q3729" s="29"/>
      <c r="R3729" s="29"/>
      <c r="S3729" s="29"/>
      <c r="T3729" s="29"/>
      <c r="U3729" s="29"/>
      <c r="V3729" s="29"/>
      <c r="GK3729" s="29"/>
      <c r="GL3729" s="29"/>
      <c r="GM3729" s="29"/>
      <c r="GN3729" s="29"/>
      <c r="GO3729" s="29"/>
      <c r="GP3729" s="29"/>
      <c r="GQ3729" s="29"/>
      <c r="GR3729" s="29"/>
      <c r="GS3729" s="29"/>
      <c r="GT3729" s="29"/>
      <c r="GU3729" s="29"/>
      <c r="GV3729" s="29"/>
      <c r="GW3729" s="29"/>
      <c r="GX3729" s="29"/>
      <c r="GY3729" s="29"/>
      <c r="GZ3729" s="29"/>
      <c r="HA3729" s="29"/>
      <c r="HB3729" s="29"/>
      <c r="HC3729" s="29"/>
      <c r="HD3729" s="29"/>
      <c r="HE3729" s="29"/>
      <c r="HF3729" s="29"/>
      <c r="HG3729" s="29"/>
      <c r="HH3729" s="29"/>
      <c r="HI3729" s="29"/>
      <c r="HJ3729" s="29"/>
      <c r="HK3729" s="29"/>
      <c r="HL3729" s="29"/>
      <c r="HM3729" s="29"/>
      <c r="HN3729" s="29"/>
      <c r="HO3729" s="29"/>
      <c r="HP3729" s="29"/>
      <c r="HQ3729" s="29"/>
      <c r="HR3729" s="29"/>
      <c r="HS3729" s="29"/>
      <c r="HT3729" s="29"/>
      <c r="HU3729" s="29"/>
      <c r="HV3729" s="29"/>
      <c r="HW3729" s="29"/>
      <c r="HX3729" s="29"/>
      <c r="HY3729" s="29"/>
      <c r="HZ3729" s="29"/>
      <c r="IA3729" s="29"/>
      <c r="IB3729" s="29"/>
      <c r="IC3729" s="29"/>
      <c r="ID3729" s="29"/>
      <c r="IE3729" s="29"/>
      <c r="IF3729" s="29"/>
      <c r="IG3729" s="29"/>
      <c r="IH3729" s="29"/>
      <c r="II3729" s="29"/>
      <c r="IJ3729" s="29"/>
      <c r="IK3729" s="29"/>
      <c r="IL3729" s="29"/>
      <c r="IM3729" s="29"/>
      <c r="IN3729" s="29"/>
      <c r="IO3729" s="29"/>
      <c r="IP3729" s="29"/>
      <c r="IQ3729" s="29"/>
      <c r="IR3729" s="29"/>
      <c r="IS3729" s="29"/>
      <c r="IT3729" s="29"/>
      <c r="IU3729" s="29"/>
      <c r="IV3729" s="29"/>
      <c r="IW3729" s="29"/>
      <c r="IX3729" s="29"/>
      <c r="IY3729" s="29"/>
      <c r="IZ3729" s="29"/>
      <c r="JA3729" s="29"/>
      <c r="JB3729" s="29"/>
    </row>
    <row r="3730" spans="1:262" s="28" customFormat="1">
      <c r="A3730" s="29"/>
      <c r="B3730" s="29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N3730" s="29"/>
      <c r="O3730" s="29"/>
      <c r="P3730" s="29"/>
      <c r="Q3730" s="29"/>
      <c r="R3730" s="29"/>
      <c r="S3730" s="29"/>
      <c r="T3730" s="29"/>
      <c r="U3730" s="29"/>
      <c r="V3730" s="29"/>
      <c r="GK3730" s="29"/>
      <c r="GL3730" s="29"/>
      <c r="GM3730" s="29"/>
      <c r="GN3730" s="29"/>
      <c r="GO3730" s="29"/>
      <c r="GP3730" s="29"/>
      <c r="GQ3730" s="29"/>
      <c r="GR3730" s="29"/>
      <c r="GS3730" s="29"/>
      <c r="GT3730" s="29"/>
      <c r="GU3730" s="29"/>
      <c r="GV3730" s="29"/>
      <c r="GW3730" s="29"/>
      <c r="GX3730" s="29"/>
      <c r="GY3730" s="29"/>
      <c r="GZ3730" s="29"/>
      <c r="HA3730" s="29"/>
      <c r="HB3730" s="29"/>
      <c r="HC3730" s="29"/>
      <c r="HD3730" s="29"/>
      <c r="HE3730" s="29"/>
      <c r="HF3730" s="29"/>
      <c r="HG3730" s="29"/>
      <c r="HH3730" s="29"/>
      <c r="HI3730" s="29"/>
      <c r="HJ3730" s="29"/>
      <c r="HK3730" s="29"/>
      <c r="HL3730" s="29"/>
      <c r="HM3730" s="29"/>
      <c r="HN3730" s="29"/>
      <c r="HO3730" s="29"/>
      <c r="HP3730" s="29"/>
      <c r="HQ3730" s="29"/>
      <c r="HR3730" s="29"/>
      <c r="HS3730" s="29"/>
      <c r="HT3730" s="29"/>
      <c r="HU3730" s="29"/>
      <c r="HV3730" s="29"/>
      <c r="HW3730" s="29"/>
      <c r="HX3730" s="29"/>
      <c r="HY3730" s="29"/>
      <c r="HZ3730" s="29"/>
      <c r="IA3730" s="29"/>
      <c r="IB3730" s="29"/>
      <c r="IC3730" s="29"/>
      <c r="ID3730" s="29"/>
      <c r="IE3730" s="29"/>
      <c r="IF3730" s="29"/>
      <c r="IG3730" s="29"/>
      <c r="IH3730" s="29"/>
      <c r="II3730" s="29"/>
      <c r="IJ3730" s="29"/>
      <c r="IK3730" s="29"/>
      <c r="IL3730" s="29"/>
      <c r="IM3730" s="29"/>
      <c r="IN3730" s="29"/>
      <c r="IO3730" s="29"/>
      <c r="IP3730" s="29"/>
      <c r="IQ3730" s="29"/>
      <c r="IR3730" s="29"/>
      <c r="IS3730" s="29"/>
      <c r="IT3730" s="29"/>
      <c r="IU3730" s="29"/>
      <c r="IV3730" s="29"/>
      <c r="IW3730" s="29"/>
      <c r="IX3730" s="29"/>
      <c r="IY3730" s="29"/>
      <c r="IZ3730" s="29"/>
      <c r="JA3730" s="29"/>
      <c r="JB3730" s="29"/>
    </row>
    <row r="3731" spans="1:262" s="28" customFormat="1">
      <c r="A3731" s="29"/>
      <c r="B3731" s="29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N3731" s="29"/>
      <c r="O3731" s="29"/>
      <c r="P3731" s="29"/>
      <c r="Q3731" s="29"/>
      <c r="R3731" s="29"/>
      <c r="S3731" s="29"/>
      <c r="T3731" s="29"/>
      <c r="U3731" s="29"/>
      <c r="V3731" s="29"/>
      <c r="GK3731" s="29"/>
      <c r="GL3731" s="29"/>
      <c r="GM3731" s="29"/>
      <c r="GN3731" s="29"/>
      <c r="GO3731" s="29"/>
      <c r="GP3731" s="29"/>
      <c r="GQ3731" s="29"/>
      <c r="GR3731" s="29"/>
      <c r="GS3731" s="29"/>
      <c r="GT3731" s="29"/>
      <c r="GU3731" s="29"/>
      <c r="GV3731" s="29"/>
      <c r="GW3731" s="29"/>
      <c r="GX3731" s="29"/>
      <c r="GY3731" s="29"/>
      <c r="GZ3731" s="29"/>
      <c r="HA3731" s="29"/>
      <c r="HB3731" s="29"/>
      <c r="HC3731" s="29"/>
      <c r="HD3731" s="29"/>
      <c r="HE3731" s="29"/>
      <c r="HF3731" s="29"/>
      <c r="HG3731" s="29"/>
      <c r="HH3731" s="29"/>
      <c r="HI3731" s="29"/>
      <c r="HJ3731" s="29"/>
      <c r="HK3731" s="29"/>
      <c r="HL3731" s="29"/>
      <c r="HM3731" s="29"/>
      <c r="HN3731" s="29"/>
      <c r="HO3731" s="29"/>
      <c r="HP3731" s="29"/>
      <c r="HQ3731" s="29"/>
      <c r="HR3731" s="29"/>
      <c r="HS3731" s="29"/>
      <c r="HT3731" s="29"/>
      <c r="HU3731" s="29"/>
      <c r="HV3731" s="29"/>
      <c r="HW3731" s="29"/>
      <c r="HX3731" s="29"/>
      <c r="HY3731" s="29"/>
      <c r="HZ3731" s="29"/>
      <c r="IA3731" s="29"/>
      <c r="IB3731" s="29"/>
      <c r="IC3731" s="29"/>
      <c r="ID3731" s="29"/>
      <c r="IE3731" s="29"/>
      <c r="IF3731" s="29"/>
      <c r="IG3731" s="29"/>
      <c r="IH3731" s="29"/>
      <c r="II3731" s="29"/>
      <c r="IJ3731" s="29"/>
      <c r="IK3731" s="29"/>
      <c r="IL3731" s="29"/>
      <c r="IM3731" s="29"/>
      <c r="IN3731" s="29"/>
      <c r="IO3731" s="29"/>
      <c r="IP3731" s="29"/>
      <c r="IQ3731" s="29"/>
      <c r="IR3731" s="29"/>
      <c r="IS3731" s="29"/>
      <c r="IT3731" s="29"/>
      <c r="IU3731" s="29"/>
      <c r="IV3731" s="29"/>
      <c r="IW3731" s="29"/>
      <c r="IX3731" s="29"/>
      <c r="IY3731" s="29"/>
      <c r="IZ3731" s="29"/>
      <c r="JA3731" s="29"/>
      <c r="JB3731" s="29"/>
    </row>
    <row r="3732" spans="1:262" s="28" customFormat="1">
      <c r="A3732" s="29"/>
      <c r="B3732" s="29"/>
      <c r="C3732" s="29"/>
      <c r="D3732" s="29"/>
      <c r="E3732" s="29"/>
      <c r="F3732" s="29"/>
      <c r="G3732" s="29"/>
      <c r="H3732" s="29"/>
      <c r="I3732" s="29"/>
      <c r="J3732" s="29"/>
      <c r="K3732" s="29"/>
      <c r="L3732" s="29"/>
      <c r="M3732" s="29"/>
      <c r="N3732" s="29"/>
      <c r="O3732" s="29"/>
      <c r="P3732" s="29"/>
      <c r="Q3732" s="29"/>
      <c r="R3732" s="29"/>
      <c r="S3732" s="29"/>
      <c r="T3732" s="29"/>
      <c r="U3732" s="29"/>
      <c r="V3732" s="29"/>
      <c r="GK3732" s="29"/>
      <c r="GL3732" s="29"/>
      <c r="GM3732" s="29"/>
      <c r="GN3732" s="29"/>
      <c r="GO3732" s="29"/>
      <c r="GP3732" s="29"/>
      <c r="GQ3732" s="29"/>
      <c r="GR3732" s="29"/>
      <c r="GS3732" s="29"/>
      <c r="GT3732" s="29"/>
      <c r="GU3732" s="29"/>
      <c r="GV3732" s="29"/>
      <c r="GW3732" s="29"/>
      <c r="GX3732" s="29"/>
      <c r="GY3732" s="29"/>
      <c r="GZ3732" s="29"/>
      <c r="HA3732" s="29"/>
      <c r="HB3732" s="29"/>
      <c r="HC3732" s="29"/>
      <c r="HD3732" s="29"/>
      <c r="HE3732" s="29"/>
      <c r="HF3732" s="29"/>
      <c r="HG3732" s="29"/>
      <c r="HH3732" s="29"/>
      <c r="HI3732" s="29"/>
      <c r="HJ3732" s="29"/>
      <c r="HK3732" s="29"/>
      <c r="HL3732" s="29"/>
      <c r="HM3732" s="29"/>
      <c r="HN3732" s="29"/>
      <c r="HO3732" s="29"/>
      <c r="HP3732" s="29"/>
      <c r="HQ3732" s="29"/>
      <c r="HR3732" s="29"/>
      <c r="HS3732" s="29"/>
      <c r="HT3732" s="29"/>
      <c r="HU3732" s="29"/>
      <c r="HV3732" s="29"/>
      <c r="HW3732" s="29"/>
      <c r="HX3732" s="29"/>
      <c r="HY3732" s="29"/>
      <c r="HZ3732" s="29"/>
      <c r="IA3732" s="29"/>
      <c r="IB3732" s="29"/>
      <c r="IC3732" s="29"/>
      <c r="ID3732" s="29"/>
      <c r="IE3732" s="29"/>
      <c r="IF3732" s="29"/>
      <c r="IG3732" s="29"/>
      <c r="IH3732" s="29"/>
      <c r="II3732" s="29"/>
      <c r="IJ3732" s="29"/>
      <c r="IK3732" s="29"/>
      <c r="IL3732" s="29"/>
      <c r="IM3732" s="29"/>
      <c r="IN3732" s="29"/>
      <c r="IO3732" s="29"/>
      <c r="IP3732" s="29"/>
      <c r="IQ3732" s="29"/>
      <c r="IR3732" s="29"/>
      <c r="IS3732" s="29"/>
      <c r="IT3732" s="29"/>
      <c r="IU3732" s="29"/>
      <c r="IV3732" s="29"/>
      <c r="IW3732" s="29"/>
      <c r="IX3732" s="29"/>
      <c r="IY3732" s="29"/>
      <c r="IZ3732" s="29"/>
      <c r="JA3732" s="29"/>
      <c r="JB3732" s="29"/>
    </row>
    <row r="3733" spans="1:262" s="28" customFormat="1">
      <c r="A3733" s="29"/>
      <c r="B3733" s="29"/>
      <c r="C3733" s="29"/>
      <c r="D3733" s="29"/>
      <c r="E3733" s="29"/>
      <c r="F3733" s="29"/>
      <c r="G3733" s="29"/>
      <c r="H3733" s="29"/>
      <c r="I3733" s="29"/>
      <c r="J3733" s="29"/>
      <c r="K3733" s="29"/>
      <c r="L3733" s="29"/>
      <c r="M3733" s="29"/>
      <c r="N3733" s="29"/>
      <c r="O3733" s="29"/>
      <c r="P3733" s="29"/>
      <c r="Q3733" s="29"/>
      <c r="R3733" s="29"/>
      <c r="S3733" s="29"/>
      <c r="T3733" s="29"/>
      <c r="U3733" s="29"/>
      <c r="V3733" s="29"/>
      <c r="GK3733" s="29"/>
      <c r="GL3733" s="29"/>
      <c r="GM3733" s="29"/>
      <c r="GN3733" s="29"/>
      <c r="GO3733" s="29"/>
      <c r="GP3733" s="29"/>
      <c r="GQ3733" s="29"/>
      <c r="GR3733" s="29"/>
      <c r="GS3733" s="29"/>
      <c r="GT3733" s="29"/>
      <c r="GU3733" s="29"/>
      <c r="GV3733" s="29"/>
      <c r="GW3733" s="29"/>
      <c r="GX3733" s="29"/>
      <c r="GY3733" s="29"/>
      <c r="GZ3733" s="29"/>
      <c r="HA3733" s="29"/>
      <c r="HB3733" s="29"/>
      <c r="HC3733" s="29"/>
      <c r="HD3733" s="29"/>
      <c r="HE3733" s="29"/>
      <c r="HF3733" s="29"/>
      <c r="HG3733" s="29"/>
      <c r="HH3733" s="29"/>
      <c r="HI3733" s="29"/>
      <c r="HJ3733" s="29"/>
      <c r="HK3733" s="29"/>
      <c r="HL3733" s="29"/>
      <c r="HM3733" s="29"/>
      <c r="HN3733" s="29"/>
      <c r="HO3733" s="29"/>
      <c r="HP3733" s="29"/>
      <c r="HQ3733" s="29"/>
      <c r="HR3733" s="29"/>
      <c r="HS3733" s="29"/>
      <c r="HT3733" s="29"/>
      <c r="HU3733" s="29"/>
      <c r="HV3733" s="29"/>
      <c r="HW3733" s="29"/>
      <c r="HX3733" s="29"/>
      <c r="HY3733" s="29"/>
      <c r="HZ3733" s="29"/>
      <c r="IA3733" s="29"/>
      <c r="IB3733" s="29"/>
      <c r="IC3733" s="29"/>
      <c r="ID3733" s="29"/>
      <c r="IE3733" s="29"/>
      <c r="IF3733" s="29"/>
      <c r="IG3733" s="29"/>
      <c r="IH3733" s="29"/>
      <c r="II3733" s="29"/>
      <c r="IJ3733" s="29"/>
      <c r="IK3733" s="29"/>
      <c r="IL3733" s="29"/>
      <c r="IM3733" s="29"/>
      <c r="IN3733" s="29"/>
      <c r="IO3733" s="29"/>
      <c r="IP3733" s="29"/>
      <c r="IQ3733" s="29"/>
      <c r="IR3733" s="29"/>
      <c r="IS3733" s="29"/>
      <c r="IT3733" s="29"/>
      <c r="IU3733" s="29"/>
      <c r="IV3733" s="29"/>
      <c r="IW3733" s="29"/>
      <c r="IX3733" s="29"/>
      <c r="IY3733" s="29"/>
      <c r="IZ3733" s="29"/>
      <c r="JA3733" s="29"/>
      <c r="JB3733" s="29"/>
    </row>
    <row r="3734" spans="1:262" s="28" customFormat="1">
      <c r="A3734" s="29"/>
      <c r="B3734" s="29"/>
      <c r="C3734" s="29"/>
      <c r="D3734" s="29"/>
      <c r="E3734" s="29"/>
      <c r="F3734" s="29"/>
      <c r="G3734" s="29"/>
      <c r="H3734" s="29"/>
      <c r="I3734" s="29"/>
      <c r="J3734" s="29"/>
      <c r="K3734" s="29"/>
      <c r="L3734" s="29"/>
      <c r="M3734" s="29"/>
      <c r="N3734" s="29"/>
      <c r="O3734" s="29"/>
      <c r="P3734" s="29"/>
      <c r="Q3734" s="29"/>
      <c r="R3734" s="29"/>
      <c r="S3734" s="29"/>
      <c r="T3734" s="29"/>
      <c r="U3734" s="29"/>
      <c r="V3734" s="29"/>
      <c r="GK3734" s="29"/>
      <c r="GL3734" s="29"/>
      <c r="GM3734" s="29"/>
      <c r="GN3734" s="29"/>
      <c r="GO3734" s="29"/>
      <c r="GP3734" s="29"/>
      <c r="GQ3734" s="29"/>
      <c r="GR3734" s="29"/>
      <c r="GS3734" s="29"/>
      <c r="GT3734" s="29"/>
      <c r="GU3734" s="29"/>
      <c r="GV3734" s="29"/>
      <c r="GW3734" s="29"/>
      <c r="GX3734" s="29"/>
      <c r="GY3734" s="29"/>
      <c r="GZ3734" s="29"/>
      <c r="HA3734" s="29"/>
      <c r="HB3734" s="29"/>
      <c r="HC3734" s="29"/>
      <c r="HD3734" s="29"/>
      <c r="HE3734" s="29"/>
      <c r="HF3734" s="29"/>
      <c r="HG3734" s="29"/>
      <c r="HH3734" s="29"/>
      <c r="HI3734" s="29"/>
      <c r="HJ3734" s="29"/>
      <c r="HK3734" s="29"/>
      <c r="HL3734" s="29"/>
      <c r="HM3734" s="29"/>
      <c r="HN3734" s="29"/>
      <c r="HO3734" s="29"/>
      <c r="HP3734" s="29"/>
      <c r="HQ3734" s="29"/>
      <c r="HR3734" s="29"/>
      <c r="HS3734" s="29"/>
      <c r="HT3734" s="29"/>
      <c r="HU3734" s="29"/>
      <c r="HV3734" s="29"/>
      <c r="HW3734" s="29"/>
      <c r="HX3734" s="29"/>
      <c r="HY3734" s="29"/>
      <c r="HZ3734" s="29"/>
      <c r="IA3734" s="29"/>
      <c r="IB3734" s="29"/>
      <c r="IC3734" s="29"/>
      <c r="ID3734" s="29"/>
      <c r="IE3734" s="29"/>
      <c r="IF3734" s="29"/>
      <c r="IG3734" s="29"/>
      <c r="IH3734" s="29"/>
      <c r="II3734" s="29"/>
      <c r="IJ3734" s="29"/>
      <c r="IK3734" s="29"/>
      <c r="IL3734" s="29"/>
      <c r="IM3734" s="29"/>
      <c r="IN3734" s="29"/>
      <c r="IO3734" s="29"/>
      <c r="IP3734" s="29"/>
      <c r="IQ3734" s="29"/>
      <c r="IR3734" s="29"/>
      <c r="IS3734" s="29"/>
      <c r="IT3734" s="29"/>
      <c r="IU3734" s="29"/>
      <c r="IV3734" s="29"/>
      <c r="IW3734" s="29"/>
      <c r="IX3734" s="29"/>
      <c r="IY3734" s="29"/>
      <c r="IZ3734" s="29"/>
      <c r="JA3734" s="29"/>
      <c r="JB3734" s="29"/>
    </row>
    <row r="3735" spans="1:262" s="28" customFormat="1">
      <c r="A3735" s="29"/>
      <c r="B3735" s="29"/>
      <c r="C3735" s="29"/>
      <c r="D3735" s="29"/>
      <c r="E3735" s="29"/>
      <c r="F3735" s="29"/>
      <c r="G3735" s="29"/>
      <c r="H3735" s="29"/>
      <c r="I3735" s="29"/>
      <c r="J3735" s="29"/>
      <c r="K3735" s="29"/>
      <c r="L3735" s="29"/>
      <c r="M3735" s="29"/>
      <c r="N3735" s="29"/>
      <c r="O3735" s="29"/>
      <c r="P3735" s="29"/>
      <c r="Q3735" s="29"/>
      <c r="R3735" s="29"/>
      <c r="S3735" s="29"/>
      <c r="T3735" s="29"/>
      <c r="U3735" s="29"/>
      <c r="V3735" s="29"/>
      <c r="GK3735" s="29"/>
      <c r="GL3735" s="29"/>
      <c r="GM3735" s="29"/>
      <c r="GN3735" s="29"/>
      <c r="GO3735" s="29"/>
      <c r="GP3735" s="29"/>
      <c r="GQ3735" s="29"/>
      <c r="GR3735" s="29"/>
      <c r="GS3735" s="29"/>
      <c r="GT3735" s="29"/>
      <c r="GU3735" s="29"/>
      <c r="GV3735" s="29"/>
      <c r="GW3735" s="29"/>
      <c r="GX3735" s="29"/>
      <c r="GY3735" s="29"/>
      <c r="GZ3735" s="29"/>
      <c r="HA3735" s="29"/>
      <c r="HB3735" s="29"/>
      <c r="HC3735" s="29"/>
      <c r="HD3735" s="29"/>
      <c r="HE3735" s="29"/>
      <c r="HF3735" s="29"/>
      <c r="HG3735" s="29"/>
      <c r="HH3735" s="29"/>
      <c r="HI3735" s="29"/>
      <c r="HJ3735" s="29"/>
      <c r="HK3735" s="29"/>
      <c r="HL3735" s="29"/>
      <c r="HM3735" s="29"/>
      <c r="HN3735" s="29"/>
      <c r="HO3735" s="29"/>
      <c r="HP3735" s="29"/>
      <c r="HQ3735" s="29"/>
      <c r="HR3735" s="29"/>
      <c r="HS3735" s="29"/>
      <c r="HT3735" s="29"/>
      <c r="HU3735" s="29"/>
      <c r="HV3735" s="29"/>
      <c r="HW3735" s="29"/>
      <c r="HX3735" s="29"/>
      <c r="HY3735" s="29"/>
      <c r="HZ3735" s="29"/>
      <c r="IA3735" s="29"/>
      <c r="IB3735" s="29"/>
      <c r="IC3735" s="29"/>
      <c r="ID3735" s="29"/>
      <c r="IE3735" s="29"/>
      <c r="IF3735" s="29"/>
      <c r="IG3735" s="29"/>
      <c r="IH3735" s="29"/>
      <c r="II3735" s="29"/>
      <c r="IJ3735" s="29"/>
      <c r="IK3735" s="29"/>
      <c r="IL3735" s="29"/>
      <c r="IM3735" s="29"/>
      <c r="IN3735" s="29"/>
      <c r="IO3735" s="29"/>
      <c r="IP3735" s="29"/>
      <c r="IQ3735" s="29"/>
      <c r="IR3735" s="29"/>
      <c r="IS3735" s="29"/>
      <c r="IT3735" s="29"/>
      <c r="IU3735" s="29"/>
      <c r="IV3735" s="29"/>
      <c r="IW3735" s="29"/>
      <c r="IX3735" s="29"/>
      <c r="IY3735" s="29"/>
      <c r="IZ3735" s="29"/>
      <c r="JA3735" s="29"/>
      <c r="JB3735" s="29"/>
    </row>
    <row r="3736" spans="1:262" s="28" customFormat="1">
      <c r="A3736" s="29"/>
      <c r="B3736" s="29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9"/>
      <c r="N3736" s="29"/>
      <c r="O3736" s="29"/>
      <c r="P3736" s="29"/>
      <c r="Q3736" s="29"/>
      <c r="R3736" s="29"/>
      <c r="S3736" s="29"/>
      <c r="T3736" s="29"/>
      <c r="U3736" s="29"/>
      <c r="V3736" s="29"/>
      <c r="GK3736" s="29"/>
      <c r="GL3736" s="29"/>
      <c r="GM3736" s="29"/>
      <c r="GN3736" s="29"/>
      <c r="GO3736" s="29"/>
      <c r="GP3736" s="29"/>
      <c r="GQ3736" s="29"/>
      <c r="GR3736" s="29"/>
      <c r="GS3736" s="29"/>
      <c r="GT3736" s="29"/>
      <c r="GU3736" s="29"/>
      <c r="GV3736" s="29"/>
      <c r="GW3736" s="29"/>
      <c r="GX3736" s="29"/>
      <c r="GY3736" s="29"/>
      <c r="GZ3736" s="29"/>
      <c r="HA3736" s="29"/>
      <c r="HB3736" s="29"/>
      <c r="HC3736" s="29"/>
      <c r="HD3736" s="29"/>
      <c r="HE3736" s="29"/>
      <c r="HF3736" s="29"/>
      <c r="HG3736" s="29"/>
      <c r="HH3736" s="29"/>
      <c r="HI3736" s="29"/>
      <c r="HJ3736" s="29"/>
      <c r="HK3736" s="29"/>
      <c r="HL3736" s="29"/>
      <c r="HM3736" s="29"/>
      <c r="HN3736" s="29"/>
      <c r="HO3736" s="29"/>
      <c r="HP3736" s="29"/>
      <c r="HQ3736" s="29"/>
      <c r="HR3736" s="29"/>
      <c r="HS3736" s="29"/>
      <c r="HT3736" s="29"/>
      <c r="HU3736" s="29"/>
      <c r="HV3736" s="29"/>
      <c r="HW3736" s="29"/>
      <c r="HX3736" s="29"/>
      <c r="HY3736" s="29"/>
      <c r="HZ3736" s="29"/>
      <c r="IA3736" s="29"/>
      <c r="IB3736" s="29"/>
      <c r="IC3736" s="29"/>
      <c r="ID3736" s="29"/>
      <c r="IE3736" s="29"/>
      <c r="IF3736" s="29"/>
      <c r="IG3736" s="29"/>
      <c r="IH3736" s="29"/>
      <c r="II3736" s="29"/>
      <c r="IJ3736" s="29"/>
      <c r="IK3736" s="29"/>
      <c r="IL3736" s="29"/>
      <c r="IM3736" s="29"/>
      <c r="IN3736" s="29"/>
      <c r="IO3736" s="29"/>
      <c r="IP3736" s="29"/>
      <c r="IQ3736" s="29"/>
      <c r="IR3736" s="29"/>
      <c r="IS3736" s="29"/>
      <c r="IT3736" s="29"/>
      <c r="IU3736" s="29"/>
      <c r="IV3736" s="29"/>
      <c r="IW3736" s="29"/>
      <c r="IX3736" s="29"/>
      <c r="IY3736" s="29"/>
      <c r="IZ3736" s="29"/>
      <c r="JA3736" s="29"/>
      <c r="JB3736" s="29"/>
    </row>
    <row r="3737" spans="1:262" s="28" customFormat="1">
      <c r="A3737" s="29"/>
      <c r="B3737" s="29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9"/>
      <c r="N3737" s="29"/>
      <c r="O3737" s="29"/>
      <c r="P3737" s="29"/>
      <c r="Q3737" s="29"/>
      <c r="R3737" s="29"/>
      <c r="S3737" s="29"/>
      <c r="T3737" s="29"/>
      <c r="U3737" s="29"/>
      <c r="V3737" s="29"/>
      <c r="GK3737" s="29"/>
      <c r="GL3737" s="29"/>
      <c r="GM3737" s="29"/>
      <c r="GN3737" s="29"/>
      <c r="GO3737" s="29"/>
      <c r="GP3737" s="29"/>
      <c r="GQ3737" s="29"/>
      <c r="GR3737" s="29"/>
      <c r="GS3737" s="29"/>
      <c r="GT3737" s="29"/>
      <c r="GU3737" s="29"/>
      <c r="GV3737" s="29"/>
      <c r="GW3737" s="29"/>
      <c r="GX3737" s="29"/>
      <c r="GY3737" s="29"/>
      <c r="GZ3737" s="29"/>
      <c r="HA3737" s="29"/>
      <c r="HB3737" s="29"/>
      <c r="HC3737" s="29"/>
      <c r="HD3737" s="29"/>
      <c r="HE3737" s="29"/>
      <c r="HF3737" s="29"/>
      <c r="HG3737" s="29"/>
      <c r="HH3737" s="29"/>
      <c r="HI3737" s="29"/>
      <c r="HJ3737" s="29"/>
      <c r="HK3737" s="29"/>
      <c r="HL3737" s="29"/>
      <c r="HM3737" s="29"/>
      <c r="HN3737" s="29"/>
      <c r="HO3737" s="29"/>
      <c r="HP3737" s="29"/>
      <c r="HQ3737" s="29"/>
      <c r="HR3737" s="29"/>
      <c r="HS3737" s="29"/>
      <c r="HT3737" s="29"/>
      <c r="HU3737" s="29"/>
      <c r="HV3737" s="29"/>
      <c r="HW3737" s="29"/>
      <c r="HX3737" s="29"/>
      <c r="HY3737" s="29"/>
      <c r="HZ3737" s="29"/>
      <c r="IA3737" s="29"/>
      <c r="IB3737" s="29"/>
      <c r="IC3737" s="29"/>
      <c r="ID3737" s="29"/>
      <c r="IE3737" s="29"/>
      <c r="IF3737" s="29"/>
      <c r="IG3737" s="29"/>
      <c r="IH3737" s="29"/>
      <c r="II3737" s="29"/>
      <c r="IJ3737" s="29"/>
      <c r="IK3737" s="29"/>
      <c r="IL3737" s="29"/>
      <c r="IM3737" s="29"/>
      <c r="IN3737" s="29"/>
      <c r="IO3737" s="29"/>
      <c r="IP3737" s="29"/>
      <c r="IQ3737" s="29"/>
      <c r="IR3737" s="29"/>
      <c r="IS3737" s="29"/>
      <c r="IT3737" s="29"/>
      <c r="IU3737" s="29"/>
      <c r="IV3737" s="29"/>
      <c r="IW3737" s="29"/>
      <c r="IX3737" s="29"/>
      <c r="IY3737" s="29"/>
      <c r="IZ3737" s="29"/>
      <c r="JA3737" s="29"/>
      <c r="JB3737" s="29"/>
    </row>
    <row r="3738" spans="1:262" s="28" customFormat="1">
      <c r="A3738" s="29"/>
      <c r="B3738" s="29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9"/>
      <c r="N3738" s="29"/>
      <c r="O3738" s="29"/>
      <c r="P3738" s="29"/>
      <c r="Q3738" s="29"/>
      <c r="R3738" s="29"/>
      <c r="S3738" s="29"/>
      <c r="T3738" s="29"/>
      <c r="U3738" s="29"/>
      <c r="V3738" s="29"/>
      <c r="GK3738" s="29"/>
      <c r="GL3738" s="29"/>
      <c r="GM3738" s="29"/>
      <c r="GN3738" s="29"/>
      <c r="GO3738" s="29"/>
      <c r="GP3738" s="29"/>
      <c r="GQ3738" s="29"/>
      <c r="GR3738" s="29"/>
      <c r="GS3738" s="29"/>
      <c r="GT3738" s="29"/>
      <c r="GU3738" s="29"/>
      <c r="GV3738" s="29"/>
      <c r="GW3738" s="29"/>
      <c r="GX3738" s="29"/>
      <c r="GY3738" s="29"/>
      <c r="GZ3738" s="29"/>
      <c r="HA3738" s="29"/>
      <c r="HB3738" s="29"/>
      <c r="HC3738" s="29"/>
      <c r="HD3738" s="29"/>
      <c r="HE3738" s="29"/>
      <c r="HF3738" s="29"/>
      <c r="HG3738" s="29"/>
      <c r="HH3738" s="29"/>
      <c r="HI3738" s="29"/>
      <c r="HJ3738" s="29"/>
      <c r="HK3738" s="29"/>
      <c r="HL3738" s="29"/>
      <c r="HM3738" s="29"/>
      <c r="HN3738" s="29"/>
      <c r="HO3738" s="29"/>
      <c r="HP3738" s="29"/>
      <c r="HQ3738" s="29"/>
      <c r="HR3738" s="29"/>
      <c r="HS3738" s="29"/>
      <c r="HT3738" s="29"/>
      <c r="HU3738" s="29"/>
      <c r="HV3738" s="29"/>
      <c r="HW3738" s="29"/>
      <c r="HX3738" s="29"/>
      <c r="HY3738" s="29"/>
      <c r="HZ3738" s="29"/>
      <c r="IA3738" s="29"/>
      <c r="IB3738" s="29"/>
      <c r="IC3738" s="29"/>
      <c r="ID3738" s="29"/>
      <c r="IE3738" s="29"/>
      <c r="IF3738" s="29"/>
      <c r="IG3738" s="29"/>
      <c r="IH3738" s="29"/>
      <c r="II3738" s="29"/>
      <c r="IJ3738" s="29"/>
      <c r="IK3738" s="29"/>
      <c r="IL3738" s="29"/>
      <c r="IM3738" s="29"/>
      <c r="IN3738" s="29"/>
      <c r="IO3738" s="29"/>
      <c r="IP3738" s="29"/>
      <c r="IQ3738" s="29"/>
      <c r="IR3738" s="29"/>
      <c r="IS3738" s="29"/>
      <c r="IT3738" s="29"/>
      <c r="IU3738" s="29"/>
      <c r="IV3738" s="29"/>
      <c r="IW3738" s="29"/>
      <c r="IX3738" s="29"/>
      <c r="IY3738" s="29"/>
      <c r="IZ3738" s="29"/>
      <c r="JA3738" s="29"/>
      <c r="JB3738" s="29"/>
    </row>
    <row r="3739" spans="1:262" s="28" customFormat="1">
      <c r="A3739" s="29"/>
      <c r="B3739" s="29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9"/>
      <c r="N3739" s="29"/>
      <c r="O3739" s="29"/>
      <c r="P3739" s="29"/>
      <c r="Q3739" s="29"/>
      <c r="R3739" s="29"/>
      <c r="S3739" s="29"/>
      <c r="T3739" s="29"/>
      <c r="U3739" s="29"/>
      <c r="V3739" s="29"/>
      <c r="GK3739" s="29"/>
      <c r="GL3739" s="29"/>
      <c r="GM3739" s="29"/>
      <c r="GN3739" s="29"/>
      <c r="GO3739" s="29"/>
      <c r="GP3739" s="29"/>
      <c r="GQ3739" s="29"/>
      <c r="GR3739" s="29"/>
      <c r="GS3739" s="29"/>
      <c r="GT3739" s="29"/>
      <c r="GU3739" s="29"/>
      <c r="GV3739" s="29"/>
      <c r="GW3739" s="29"/>
      <c r="GX3739" s="29"/>
      <c r="GY3739" s="29"/>
      <c r="GZ3739" s="29"/>
      <c r="HA3739" s="29"/>
      <c r="HB3739" s="29"/>
      <c r="HC3739" s="29"/>
      <c r="HD3739" s="29"/>
      <c r="HE3739" s="29"/>
      <c r="HF3739" s="29"/>
      <c r="HG3739" s="29"/>
      <c r="HH3739" s="29"/>
      <c r="HI3739" s="29"/>
      <c r="HJ3739" s="29"/>
      <c r="HK3739" s="29"/>
      <c r="HL3739" s="29"/>
      <c r="HM3739" s="29"/>
      <c r="HN3739" s="29"/>
      <c r="HO3739" s="29"/>
      <c r="HP3739" s="29"/>
      <c r="HQ3739" s="29"/>
      <c r="HR3739" s="29"/>
      <c r="HS3739" s="29"/>
      <c r="HT3739" s="29"/>
      <c r="HU3739" s="29"/>
      <c r="HV3739" s="29"/>
      <c r="HW3739" s="29"/>
      <c r="HX3739" s="29"/>
      <c r="HY3739" s="29"/>
      <c r="HZ3739" s="29"/>
      <c r="IA3739" s="29"/>
      <c r="IB3739" s="29"/>
      <c r="IC3739" s="29"/>
      <c r="ID3739" s="29"/>
      <c r="IE3739" s="29"/>
      <c r="IF3739" s="29"/>
      <c r="IG3739" s="29"/>
      <c r="IH3739" s="29"/>
      <c r="II3739" s="29"/>
      <c r="IJ3739" s="29"/>
      <c r="IK3739" s="29"/>
      <c r="IL3739" s="29"/>
      <c r="IM3739" s="29"/>
      <c r="IN3739" s="29"/>
      <c r="IO3739" s="29"/>
      <c r="IP3739" s="29"/>
      <c r="IQ3739" s="29"/>
      <c r="IR3739" s="29"/>
      <c r="IS3739" s="29"/>
      <c r="IT3739" s="29"/>
      <c r="IU3739" s="29"/>
      <c r="IV3739" s="29"/>
      <c r="IW3739" s="29"/>
      <c r="IX3739" s="29"/>
      <c r="IY3739" s="29"/>
      <c r="IZ3739" s="29"/>
      <c r="JA3739" s="29"/>
      <c r="JB3739" s="29"/>
    </row>
    <row r="3740" spans="1:262" s="28" customFormat="1">
      <c r="A3740" s="29"/>
      <c r="B3740" s="29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9"/>
      <c r="N3740" s="29"/>
      <c r="O3740" s="29"/>
      <c r="P3740" s="29"/>
      <c r="Q3740" s="29"/>
      <c r="R3740" s="29"/>
      <c r="S3740" s="29"/>
      <c r="T3740" s="29"/>
      <c r="U3740" s="29"/>
      <c r="V3740" s="29"/>
      <c r="GK3740" s="29"/>
      <c r="GL3740" s="29"/>
      <c r="GM3740" s="29"/>
      <c r="GN3740" s="29"/>
      <c r="GO3740" s="29"/>
      <c r="GP3740" s="29"/>
      <c r="GQ3740" s="29"/>
      <c r="GR3740" s="29"/>
      <c r="GS3740" s="29"/>
      <c r="GT3740" s="29"/>
      <c r="GU3740" s="29"/>
      <c r="GV3740" s="29"/>
      <c r="GW3740" s="29"/>
      <c r="GX3740" s="29"/>
      <c r="GY3740" s="29"/>
      <c r="GZ3740" s="29"/>
      <c r="HA3740" s="29"/>
      <c r="HB3740" s="29"/>
      <c r="HC3740" s="29"/>
      <c r="HD3740" s="29"/>
      <c r="HE3740" s="29"/>
      <c r="HF3740" s="29"/>
      <c r="HG3740" s="29"/>
      <c r="HH3740" s="29"/>
      <c r="HI3740" s="29"/>
      <c r="HJ3740" s="29"/>
      <c r="HK3740" s="29"/>
      <c r="HL3740" s="29"/>
      <c r="HM3740" s="29"/>
      <c r="HN3740" s="29"/>
      <c r="HO3740" s="29"/>
      <c r="HP3740" s="29"/>
      <c r="HQ3740" s="29"/>
      <c r="HR3740" s="29"/>
      <c r="HS3740" s="29"/>
      <c r="HT3740" s="29"/>
      <c r="HU3740" s="29"/>
      <c r="HV3740" s="29"/>
      <c r="HW3740" s="29"/>
      <c r="HX3740" s="29"/>
      <c r="HY3740" s="29"/>
      <c r="HZ3740" s="29"/>
      <c r="IA3740" s="29"/>
      <c r="IB3740" s="29"/>
      <c r="IC3740" s="29"/>
      <c r="ID3740" s="29"/>
      <c r="IE3740" s="29"/>
      <c r="IF3740" s="29"/>
      <c r="IG3740" s="29"/>
      <c r="IH3740" s="29"/>
      <c r="II3740" s="29"/>
      <c r="IJ3740" s="29"/>
      <c r="IK3740" s="29"/>
      <c r="IL3740" s="29"/>
      <c r="IM3740" s="29"/>
      <c r="IN3740" s="29"/>
      <c r="IO3740" s="29"/>
      <c r="IP3740" s="29"/>
      <c r="IQ3740" s="29"/>
      <c r="IR3740" s="29"/>
      <c r="IS3740" s="29"/>
      <c r="IT3740" s="29"/>
      <c r="IU3740" s="29"/>
      <c r="IV3740" s="29"/>
      <c r="IW3740" s="29"/>
      <c r="IX3740" s="29"/>
      <c r="IY3740" s="29"/>
      <c r="IZ3740" s="29"/>
      <c r="JA3740" s="29"/>
      <c r="JB3740" s="29"/>
    </row>
    <row r="3741" spans="1:262" s="28" customFormat="1">
      <c r="A3741" s="29"/>
      <c r="B3741" s="29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9"/>
      <c r="N3741" s="29"/>
      <c r="O3741" s="29"/>
      <c r="P3741" s="29"/>
      <c r="Q3741" s="29"/>
      <c r="R3741" s="29"/>
      <c r="S3741" s="29"/>
      <c r="T3741" s="29"/>
      <c r="U3741" s="29"/>
      <c r="V3741" s="29"/>
      <c r="GK3741" s="29"/>
      <c r="GL3741" s="29"/>
      <c r="GM3741" s="29"/>
      <c r="GN3741" s="29"/>
      <c r="GO3741" s="29"/>
      <c r="GP3741" s="29"/>
      <c r="GQ3741" s="29"/>
      <c r="GR3741" s="29"/>
      <c r="GS3741" s="29"/>
      <c r="GT3741" s="29"/>
      <c r="GU3741" s="29"/>
      <c r="GV3741" s="29"/>
      <c r="GW3741" s="29"/>
      <c r="GX3741" s="29"/>
      <c r="GY3741" s="29"/>
      <c r="GZ3741" s="29"/>
      <c r="HA3741" s="29"/>
      <c r="HB3741" s="29"/>
      <c r="HC3741" s="29"/>
      <c r="HD3741" s="29"/>
      <c r="HE3741" s="29"/>
      <c r="HF3741" s="29"/>
      <c r="HG3741" s="29"/>
      <c r="HH3741" s="29"/>
      <c r="HI3741" s="29"/>
      <c r="HJ3741" s="29"/>
      <c r="HK3741" s="29"/>
      <c r="HL3741" s="29"/>
      <c r="HM3741" s="29"/>
      <c r="HN3741" s="29"/>
      <c r="HO3741" s="29"/>
      <c r="HP3741" s="29"/>
      <c r="HQ3741" s="29"/>
      <c r="HR3741" s="29"/>
      <c r="HS3741" s="29"/>
      <c r="HT3741" s="29"/>
      <c r="HU3741" s="29"/>
      <c r="HV3741" s="29"/>
      <c r="HW3741" s="29"/>
      <c r="HX3741" s="29"/>
      <c r="HY3741" s="29"/>
      <c r="HZ3741" s="29"/>
      <c r="IA3741" s="29"/>
      <c r="IB3741" s="29"/>
      <c r="IC3741" s="29"/>
      <c r="ID3741" s="29"/>
      <c r="IE3741" s="29"/>
      <c r="IF3741" s="29"/>
      <c r="IG3741" s="29"/>
      <c r="IH3741" s="29"/>
      <c r="II3741" s="29"/>
      <c r="IJ3741" s="29"/>
      <c r="IK3741" s="29"/>
      <c r="IL3741" s="29"/>
      <c r="IM3741" s="29"/>
      <c r="IN3741" s="29"/>
      <c r="IO3741" s="29"/>
      <c r="IP3741" s="29"/>
      <c r="IQ3741" s="29"/>
      <c r="IR3741" s="29"/>
      <c r="IS3741" s="29"/>
      <c r="IT3741" s="29"/>
      <c r="IU3741" s="29"/>
      <c r="IV3741" s="29"/>
      <c r="IW3741" s="29"/>
      <c r="IX3741" s="29"/>
      <c r="IY3741" s="29"/>
      <c r="IZ3741" s="29"/>
      <c r="JA3741" s="29"/>
      <c r="JB3741" s="29"/>
    </row>
    <row r="3742" spans="1:262" s="28" customFormat="1">
      <c r="A3742" s="29"/>
      <c r="B3742" s="29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9"/>
      <c r="N3742" s="29"/>
      <c r="O3742" s="29"/>
      <c r="P3742" s="29"/>
      <c r="Q3742" s="29"/>
      <c r="R3742" s="29"/>
      <c r="S3742" s="29"/>
      <c r="T3742" s="29"/>
      <c r="U3742" s="29"/>
      <c r="V3742" s="29"/>
      <c r="GK3742" s="29"/>
      <c r="GL3742" s="29"/>
      <c r="GM3742" s="29"/>
      <c r="GN3742" s="29"/>
      <c r="GO3742" s="29"/>
      <c r="GP3742" s="29"/>
      <c r="GQ3742" s="29"/>
      <c r="GR3742" s="29"/>
      <c r="GS3742" s="29"/>
      <c r="GT3742" s="29"/>
      <c r="GU3742" s="29"/>
      <c r="GV3742" s="29"/>
      <c r="GW3742" s="29"/>
      <c r="GX3742" s="29"/>
      <c r="GY3742" s="29"/>
      <c r="GZ3742" s="29"/>
      <c r="HA3742" s="29"/>
      <c r="HB3742" s="29"/>
      <c r="HC3742" s="29"/>
      <c r="HD3742" s="29"/>
      <c r="HE3742" s="29"/>
      <c r="HF3742" s="29"/>
      <c r="HG3742" s="29"/>
      <c r="HH3742" s="29"/>
      <c r="HI3742" s="29"/>
      <c r="HJ3742" s="29"/>
      <c r="HK3742" s="29"/>
      <c r="HL3742" s="29"/>
      <c r="HM3742" s="29"/>
      <c r="HN3742" s="29"/>
      <c r="HO3742" s="29"/>
      <c r="HP3742" s="29"/>
      <c r="HQ3742" s="29"/>
      <c r="HR3742" s="29"/>
      <c r="HS3742" s="29"/>
      <c r="HT3742" s="29"/>
      <c r="HU3742" s="29"/>
      <c r="HV3742" s="29"/>
      <c r="HW3742" s="29"/>
      <c r="HX3742" s="29"/>
      <c r="HY3742" s="29"/>
      <c r="HZ3742" s="29"/>
      <c r="IA3742" s="29"/>
      <c r="IB3742" s="29"/>
      <c r="IC3742" s="29"/>
      <c r="ID3742" s="29"/>
      <c r="IE3742" s="29"/>
      <c r="IF3742" s="29"/>
      <c r="IG3742" s="29"/>
      <c r="IH3742" s="29"/>
      <c r="II3742" s="29"/>
      <c r="IJ3742" s="29"/>
      <c r="IK3742" s="29"/>
      <c r="IL3742" s="29"/>
      <c r="IM3742" s="29"/>
      <c r="IN3742" s="29"/>
      <c r="IO3742" s="29"/>
      <c r="IP3742" s="29"/>
      <c r="IQ3742" s="29"/>
      <c r="IR3742" s="29"/>
      <c r="IS3742" s="29"/>
      <c r="IT3742" s="29"/>
      <c r="IU3742" s="29"/>
      <c r="IV3742" s="29"/>
      <c r="IW3742" s="29"/>
      <c r="IX3742" s="29"/>
      <c r="IY3742" s="29"/>
      <c r="IZ3742" s="29"/>
      <c r="JA3742" s="29"/>
      <c r="JB3742" s="29"/>
    </row>
    <row r="3743" spans="1:262" s="28" customFormat="1">
      <c r="A3743" s="29"/>
      <c r="B3743" s="29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GK3743" s="29"/>
      <c r="GL3743" s="29"/>
      <c r="GM3743" s="29"/>
      <c r="GN3743" s="29"/>
      <c r="GO3743" s="29"/>
      <c r="GP3743" s="29"/>
      <c r="GQ3743" s="29"/>
      <c r="GR3743" s="29"/>
      <c r="GS3743" s="29"/>
      <c r="GT3743" s="29"/>
      <c r="GU3743" s="29"/>
      <c r="GV3743" s="29"/>
      <c r="GW3743" s="29"/>
      <c r="GX3743" s="29"/>
      <c r="GY3743" s="29"/>
      <c r="GZ3743" s="29"/>
      <c r="HA3743" s="29"/>
      <c r="HB3743" s="29"/>
      <c r="HC3743" s="29"/>
      <c r="HD3743" s="29"/>
      <c r="HE3743" s="29"/>
      <c r="HF3743" s="29"/>
      <c r="HG3743" s="29"/>
      <c r="HH3743" s="29"/>
      <c r="HI3743" s="29"/>
      <c r="HJ3743" s="29"/>
      <c r="HK3743" s="29"/>
      <c r="HL3743" s="29"/>
      <c r="HM3743" s="29"/>
      <c r="HN3743" s="29"/>
      <c r="HO3743" s="29"/>
      <c r="HP3743" s="29"/>
      <c r="HQ3743" s="29"/>
      <c r="HR3743" s="29"/>
      <c r="HS3743" s="29"/>
      <c r="HT3743" s="29"/>
      <c r="HU3743" s="29"/>
      <c r="HV3743" s="29"/>
      <c r="HW3743" s="29"/>
      <c r="HX3743" s="29"/>
      <c r="HY3743" s="29"/>
      <c r="HZ3743" s="29"/>
      <c r="IA3743" s="29"/>
      <c r="IB3743" s="29"/>
      <c r="IC3743" s="29"/>
      <c r="ID3743" s="29"/>
      <c r="IE3743" s="29"/>
      <c r="IF3743" s="29"/>
      <c r="IG3743" s="29"/>
      <c r="IH3743" s="29"/>
      <c r="II3743" s="29"/>
      <c r="IJ3743" s="29"/>
      <c r="IK3743" s="29"/>
      <c r="IL3743" s="29"/>
      <c r="IM3743" s="29"/>
      <c r="IN3743" s="29"/>
      <c r="IO3743" s="29"/>
      <c r="IP3743" s="29"/>
      <c r="IQ3743" s="29"/>
      <c r="IR3743" s="29"/>
      <c r="IS3743" s="29"/>
      <c r="IT3743" s="29"/>
      <c r="IU3743" s="29"/>
      <c r="IV3743" s="29"/>
      <c r="IW3743" s="29"/>
      <c r="IX3743" s="29"/>
      <c r="IY3743" s="29"/>
      <c r="IZ3743" s="29"/>
      <c r="JA3743" s="29"/>
      <c r="JB3743" s="29"/>
    </row>
    <row r="3744" spans="1:262" s="28" customFormat="1">
      <c r="A3744" s="29"/>
      <c r="B3744" s="29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9"/>
      <c r="N3744" s="29"/>
      <c r="O3744" s="29"/>
      <c r="P3744" s="29"/>
      <c r="Q3744" s="29"/>
      <c r="R3744" s="29"/>
      <c r="S3744" s="29"/>
      <c r="T3744" s="29"/>
      <c r="U3744" s="29"/>
      <c r="V3744" s="29"/>
      <c r="GK3744" s="29"/>
      <c r="GL3744" s="29"/>
      <c r="GM3744" s="29"/>
      <c r="GN3744" s="29"/>
      <c r="GO3744" s="29"/>
      <c r="GP3744" s="29"/>
      <c r="GQ3744" s="29"/>
      <c r="GR3744" s="29"/>
      <c r="GS3744" s="29"/>
      <c r="GT3744" s="29"/>
      <c r="GU3744" s="29"/>
      <c r="GV3744" s="29"/>
      <c r="GW3744" s="29"/>
      <c r="GX3744" s="29"/>
      <c r="GY3744" s="29"/>
      <c r="GZ3744" s="29"/>
      <c r="HA3744" s="29"/>
      <c r="HB3744" s="29"/>
      <c r="HC3744" s="29"/>
      <c r="HD3744" s="29"/>
      <c r="HE3744" s="29"/>
      <c r="HF3744" s="29"/>
      <c r="HG3744" s="29"/>
      <c r="HH3744" s="29"/>
      <c r="HI3744" s="29"/>
      <c r="HJ3744" s="29"/>
      <c r="HK3744" s="29"/>
      <c r="HL3744" s="29"/>
      <c r="HM3744" s="29"/>
      <c r="HN3744" s="29"/>
      <c r="HO3744" s="29"/>
      <c r="HP3744" s="29"/>
      <c r="HQ3744" s="29"/>
      <c r="HR3744" s="29"/>
      <c r="HS3744" s="29"/>
      <c r="HT3744" s="29"/>
      <c r="HU3744" s="29"/>
      <c r="HV3744" s="29"/>
      <c r="HW3744" s="29"/>
      <c r="HX3744" s="29"/>
      <c r="HY3744" s="29"/>
      <c r="HZ3744" s="29"/>
      <c r="IA3744" s="29"/>
      <c r="IB3744" s="29"/>
      <c r="IC3744" s="29"/>
      <c r="ID3744" s="29"/>
      <c r="IE3744" s="29"/>
      <c r="IF3744" s="29"/>
      <c r="IG3744" s="29"/>
      <c r="IH3744" s="29"/>
      <c r="II3744" s="29"/>
      <c r="IJ3744" s="29"/>
      <c r="IK3744" s="29"/>
      <c r="IL3744" s="29"/>
      <c r="IM3744" s="29"/>
      <c r="IN3744" s="29"/>
      <c r="IO3744" s="29"/>
      <c r="IP3744" s="29"/>
      <c r="IQ3744" s="29"/>
      <c r="IR3744" s="29"/>
      <c r="IS3744" s="29"/>
      <c r="IT3744" s="29"/>
      <c r="IU3744" s="29"/>
      <c r="IV3744" s="29"/>
      <c r="IW3744" s="29"/>
      <c r="IX3744" s="29"/>
      <c r="IY3744" s="29"/>
      <c r="IZ3744" s="29"/>
      <c r="JA3744" s="29"/>
      <c r="JB3744" s="29"/>
    </row>
    <row r="3745" spans="1:262" s="28" customFormat="1">
      <c r="A3745" s="29"/>
      <c r="B3745" s="29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N3745" s="29"/>
      <c r="O3745" s="29"/>
      <c r="P3745" s="29"/>
      <c r="Q3745" s="29"/>
      <c r="R3745" s="29"/>
      <c r="S3745" s="29"/>
      <c r="T3745" s="29"/>
      <c r="U3745" s="29"/>
      <c r="V3745" s="29"/>
      <c r="GK3745" s="29"/>
      <c r="GL3745" s="29"/>
      <c r="GM3745" s="29"/>
      <c r="GN3745" s="29"/>
      <c r="GO3745" s="29"/>
      <c r="GP3745" s="29"/>
      <c r="GQ3745" s="29"/>
      <c r="GR3745" s="29"/>
      <c r="GS3745" s="29"/>
      <c r="GT3745" s="29"/>
      <c r="GU3745" s="29"/>
      <c r="GV3745" s="29"/>
      <c r="GW3745" s="29"/>
      <c r="GX3745" s="29"/>
      <c r="GY3745" s="29"/>
      <c r="GZ3745" s="29"/>
      <c r="HA3745" s="29"/>
      <c r="HB3745" s="29"/>
      <c r="HC3745" s="29"/>
      <c r="HD3745" s="29"/>
      <c r="HE3745" s="29"/>
      <c r="HF3745" s="29"/>
      <c r="HG3745" s="29"/>
      <c r="HH3745" s="29"/>
      <c r="HI3745" s="29"/>
      <c r="HJ3745" s="29"/>
      <c r="HK3745" s="29"/>
      <c r="HL3745" s="29"/>
      <c r="HM3745" s="29"/>
      <c r="HN3745" s="29"/>
      <c r="HO3745" s="29"/>
      <c r="HP3745" s="29"/>
      <c r="HQ3745" s="29"/>
      <c r="HR3745" s="29"/>
      <c r="HS3745" s="29"/>
      <c r="HT3745" s="29"/>
      <c r="HU3745" s="29"/>
      <c r="HV3745" s="29"/>
      <c r="HW3745" s="29"/>
      <c r="HX3745" s="29"/>
      <c r="HY3745" s="29"/>
      <c r="HZ3745" s="29"/>
      <c r="IA3745" s="29"/>
      <c r="IB3745" s="29"/>
      <c r="IC3745" s="29"/>
      <c r="ID3745" s="29"/>
      <c r="IE3745" s="29"/>
      <c r="IF3745" s="29"/>
      <c r="IG3745" s="29"/>
      <c r="IH3745" s="29"/>
      <c r="II3745" s="29"/>
      <c r="IJ3745" s="29"/>
      <c r="IK3745" s="29"/>
      <c r="IL3745" s="29"/>
      <c r="IM3745" s="29"/>
      <c r="IN3745" s="29"/>
      <c r="IO3745" s="29"/>
      <c r="IP3745" s="29"/>
      <c r="IQ3745" s="29"/>
      <c r="IR3745" s="29"/>
      <c r="IS3745" s="29"/>
      <c r="IT3745" s="29"/>
      <c r="IU3745" s="29"/>
      <c r="IV3745" s="29"/>
      <c r="IW3745" s="29"/>
      <c r="IX3745" s="29"/>
      <c r="IY3745" s="29"/>
      <c r="IZ3745" s="29"/>
      <c r="JA3745" s="29"/>
      <c r="JB3745" s="29"/>
    </row>
    <row r="3746" spans="1:262" s="28" customFormat="1">
      <c r="A3746" s="29"/>
      <c r="B3746" s="29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9"/>
      <c r="N3746" s="29"/>
      <c r="O3746" s="29"/>
      <c r="P3746" s="29"/>
      <c r="Q3746" s="29"/>
      <c r="R3746" s="29"/>
      <c r="S3746" s="29"/>
      <c r="T3746" s="29"/>
      <c r="U3746" s="29"/>
      <c r="V3746" s="29"/>
      <c r="GK3746" s="29"/>
      <c r="GL3746" s="29"/>
      <c r="GM3746" s="29"/>
      <c r="GN3746" s="29"/>
      <c r="GO3746" s="29"/>
      <c r="GP3746" s="29"/>
      <c r="GQ3746" s="29"/>
      <c r="GR3746" s="29"/>
      <c r="GS3746" s="29"/>
      <c r="GT3746" s="29"/>
      <c r="GU3746" s="29"/>
      <c r="GV3746" s="29"/>
      <c r="GW3746" s="29"/>
      <c r="GX3746" s="29"/>
      <c r="GY3746" s="29"/>
      <c r="GZ3746" s="29"/>
      <c r="HA3746" s="29"/>
      <c r="HB3746" s="29"/>
      <c r="HC3746" s="29"/>
      <c r="HD3746" s="29"/>
      <c r="HE3746" s="29"/>
      <c r="HF3746" s="29"/>
      <c r="HG3746" s="29"/>
      <c r="HH3746" s="29"/>
      <c r="HI3746" s="29"/>
      <c r="HJ3746" s="29"/>
      <c r="HK3746" s="29"/>
      <c r="HL3746" s="29"/>
      <c r="HM3746" s="29"/>
      <c r="HN3746" s="29"/>
      <c r="HO3746" s="29"/>
      <c r="HP3746" s="29"/>
      <c r="HQ3746" s="29"/>
      <c r="HR3746" s="29"/>
      <c r="HS3746" s="29"/>
      <c r="HT3746" s="29"/>
      <c r="HU3746" s="29"/>
      <c r="HV3746" s="29"/>
      <c r="HW3746" s="29"/>
      <c r="HX3746" s="29"/>
      <c r="HY3746" s="29"/>
      <c r="HZ3746" s="29"/>
      <c r="IA3746" s="29"/>
      <c r="IB3746" s="29"/>
      <c r="IC3746" s="29"/>
      <c r="ID3746" s="29"/>
      <c r="IE3746" s="29"/>
      <c r="IF3746" s="29"/>
      <c r="IG3746" s="29"/>
      <c r="IH3746" s="29"/>
      <c r="II3746" s="29"/>
      <c r="IJ3746" s="29"/>
      <c r="IK3746" s="29"/>
      <c r="IL3746" s="29"/>
      <c r="IM3746" s="29"/>
      <c r="IN3746" s="29"/>
      <c r="IO3746" s="29"/>
      <c r="IP3746" s="29"/>
      <c r="IQ3746" s="29"/>
      <c r="IR3746" s="29"/>
      <c r="IS3746" s="29"/>
      <c r="IT3746" s="29"/>
      <c r="IU3746" s="29"/>
      <c r="IV3746" s="29"/>
      <c r="IW3746" s="29"/>
      <c r="IX3746" s="29"/>
      <c r="IY3746" s="29"/>
      <c r="IZ3746" s="29"/>
      <c r="JA3746" s="29"/>
      <c r="JB3746" s="29"/>
    </row>
    <row r="3747" spans="1:262" s="28" customFormat="1">
      <c r="A3747" s="29"/>
      <c r="B3747" s="29"/>
      <c r="C3747" s="29"/>
      <c r="D3747" s="29"/>
      <c r="E3747" s="29"/>
      <c r="F3747" s="29"/>
      <c r="G3747" s="29"/>
      <c r="H3747" s="29"/>
      <c r="I3747" s="29"/>
      <c r="J3747" s="29"/>
      <c r="K3747" s="29"/>
      <c r="L3747" s="29"/>
      <c r="M3747" s="29"/>
      <c r="N3747" s="29"/>
      <c r="O3747" s="29"/>
      <c r="P3747" s="29"/>
      <c r="Q3747" s="29"/>
      <c r="R3747" s="29"/>
      <c r="S3747" s="29"/>
      <c r="T3747" s="29"/>
      <c r="U3747" s="29"/>
      <c r="V3747" s="29"/>
      <c r="GK3747" s="29"/>
      <c r="GL3747" s="29"/>
      <c r="GM3747" s="29"/>
      <c r="GN3747" s="29"/>
      <c r="GO3747" s="29"/>
      <c r="GP3747" s="29"/>
      <c r="GQ3747" s="29"/>
      <c r="GR3747" s="29"/>
      <c r="GS3747" s="29"/>
      <c r="GT3747" s="29"/>
      <c r="GU3747" s="29"/>
      <c r="GV3747" s="29"/>
      <c r="GW3747" s="29"/>
      <c r="GX3747" s="29"/>
      <c r="GY3747" s="29"/>
      <c r="GZ3747" s="29"/>
      <c r="HA3747" s="29"/>
      <c r="HB3747" s="29"/>
      <c r="HC3747" s="29"/>
      <c r="HD3747" s="29"/>
      <c r="HE3747" s="29"/>
      <c r="HF3747" s="29"/>
      <c r="HG3747" s="29"/>
      <c r="HH3747" s="29"/>
      <c r="HI3747" s="29"/>
      <c r="HJ3747" s="29"/>
      <c r="HK3747" s="29"/>
      <c r="HL3747" s="29"/>
      <c r="HM3747" s="29"/>
      <c r="HN3747" s="29"/>
      <c r="HO3747" s="29"/>
      <c r="HP3747" s="29"/>
      <c r="HQ3747" s="29"/>
      <c r="HR3747" s="29"/>
      <c r="HS3747" s="29"/>
      <c r="HT3747" s="29"/>
      <c r="HU3747" s="29"/>
      <c r="HV3747" s="29"/>
      <c r="HW3747" s="29"/>
      <c r="HX3747" s="29"/>
      <c r="HY3747" s="29"/>
      <c r="HZ3747" s="29"/>
      <c r="IA3747" s="29"/>
      <c r="IB3747" s="29"/>
      <c r="IC3747" s="29"/>
      <c r="ID3747" s="29"/>
      <c r="IE3747" s="29"/>
      <c r="IF3747" s="29"/>
      <c r="IG3747" s="29"/>
      <c r="IH3747" s="29"/>
      <c r="II3747" s="29"/>
      <c r="IJ3747" s="29"/>
      <c r="IK3747" s="29"/>
      <c r="IL3747" s="29"/>
      <c r="IM3747" s="29"/>
      <c r="IN3747" s="29"/>
      <c r="IO3747" s="29"/>
      <c r="IP3747" s="29"/>
      <c r="IQ3747" s="29"/>
      <c r="IR3747" s="29"/>
      <c r="IS3747" s="29"/>
      <c r="IT3747" s="29"/>
      <c r="IU3747" s="29"/>
      <c r="IV3747" s="29"/>
      <c r="IW3747" s="29"/>
      <c r="IX3747" s="29"/>
      <c r="IY3747" s="29"/>
      <c r="IZ3747" s="29"/>
      <c r="JA3747" s="29"/>
      <c r="JB3747" s="29"/>
    </row>
    <row r="3748" spans="1:262" s="28" customFormat="1">
      <c r="A3748" s="29"/>
      <c r="B3748" s="29"/>
      <c r="C3748" s="29"/>
      <c r="D3748" s="29"/>
      <c r="E3748" s="29"/>
      <c r="F3748" s="29"/>
      <c r="G3748" s="29"/>
      <c r="H3748" s="29"/>
      <c r="I3748" s="29"/>
      <c r="J3748" s="29"/>
      <c r="K3748" s="29"/>
      <c r="L3748" s="29"/>
      <c r="M3748" s="29"/>
      <c r="N3748" s="29"/>
      <c r="O3748" s="29"/>
      <c r="P3748" s="29"/>
      <c r="Q3748" s="29"/>
      <c r="R3748" s="29"/>
      <c r="S3748" s="29"/>
      <c r="T3748" s="29"/>
      <c r="U3748" s="29"/>
      <c r="V3748" s="29"/>
      <c r="GK3748" s="29"/>
      <c r="GL3748" s="29"/>
      <c r="GM3748" s="29"/>
      <c r="GN3748" s="29"/>
      <c r="GO3748" s="29"/>
      <c r="GP3748" s="29"/>
      <c r="GQ3748" s="29"/>
      <c r="GR3748" s="29"/>
      <c r="GS3748" s="29"/>
      <c r="GT3748" s="29"/>
      <c r="GU3748" s="29"/>
      <c r="GV3748" s="29"/>
      <c r="GW3748" s="29"/>
      <c r="GX3748" s="29"/>
      <c r="GY3748" s="29"/>
      <c r="GZ3748" s="29"/>
      <c r="HA3748" s="29"/>
      <c r="HB3748" s="29"/>
      <c r="HC3748" s="29"/>
      <c r="HD3748" s="29"/>
      <c r="HE3748" s="29"/>
      <c r="HF3748" s="29"/>
      <c r="HG3748" s="29"/>
      <c r="HH3748" s="29"/>
      <c r="HI3748" s="29"/>
      <c r="HJ3748" s="29"/>
      <c r="HK3748" s="29"/>
      <c r="HL3748" s="29"/>
      <c r="HM3748" s="29"/>
      <c r="HN3748" s="29"/>
      <c r="HO3748" s="29"/>
      <c r="HP3748" s="29"/>
      <c r="HQ3748" s="29"/>
      <c r="HR3748" s="29"/>
      <c r="HS3748" s="29"/>
      <c r="HT3748" s="29"/>
      <c r="HU3748" s="29"/>
      <c r="HV3748" s="29"/>
      <c r="HW3748" s="29"/>
      <c r="HX3748" s="29"/>
      <c r="HY3748" s="29"/>
      <c r="HZ3748" s="29"/>
      <c r="IA3748" s="29"/>
      <c r="IB3748" s="29"/>
      <c r="IC3748" s="29"/>
      <c r="ID3748" s="29"/>
      <c r="IE3748" s="29"/>
      <c r="IF3748" s="29"/>
      <c r="IG3748" s="29"/>
      <c r="IH3748" s="29"/>
      <c r="II3748" s="29"/>
      <c r="IJ3748" s="29"/>
      <c r="IK3748" s="29"/>
      <c r="IL3748" s="29"/>
      <c r="IM3748" s="29"/>
      <c r="IN3748" s="29"/>
      <c r="IO3748" s="29"/>
      <c r="IP3748" s="29"/>
      <c r="IQ3748" s="29"/>
      <c r="IR3748" s="29"/>
      <c r="IS3748" s="29"/>
      <c r="IT3748" s="29"/>
      <c r="IU3748" s="29"/>
      <c r="IV3748" s="29"/>
      <c r="IW3748" s="29"/>
      <c r="IX3748" s="29"/>
      <c r="IY3748" s="29"/>
      <c r="IZ3748" s="29"/>
      <c r="JA3748" s="29"/>
      <c r="JB3748" s="29"/>
    </row>
    <row r="3749" spans="1:262" s="28" customFormat="1">
      <c r="A3749" s="29"/>
      <c r="B3749" s="29"/>
      <c r="C3749" s="29"/>
      <c r="D3749" s="29"/>
      <c r="E3749" s="29"/>
      <c r="F3749" s="29"/>
      <c r="G3749" s="29"/>
      <c r="H3749" s="29"/>
      <c r="I3749" s="29"/>
      <c r="J3749" s="29"/>
      <c r="K3749" s="29"/>
      <c r="L3749" s="29"/>
      <c r="M3749" s="29"/>
      <c r="N3749" s="29"/>
      <c r="O3749" s="29"/>
      <c r="P3749" s="29"/>
      <c r="Q3749" s="29"/>
      <c r="R3749" s="29"/>
      <c r="S3749" s="29"/>
      <c r="T3749" s="29"/>
      <c r="U3749" s="29"/>
      <c r="V3749" s="29"/>
      <c r="GK3749" s="29"/>
      <c r="GL3749" s="29"/>
      <c r="GM3749" s="29"/>
      <c r="GN3749" s="29"/>
      <c r="GO3749" s="29"/>
      <c r="GP3749" s="29"/>
      <c r="GQ3749" s="29"/>
      <c r="GR3749" s="29"/>
      <c r="GS3749" s="29"/>
      <c r="GT3749" s="29"/>
      <c r="GU3749" s="29"/>
      <c r="GV3749" s="29"/>
      <c r="GW3749" s="29"/>
      <c r="GX3749" s="29"/>
      <c r="GY3749" s="29"/>
      <c r="GZ3749" s="29"/>
      <c r="HA3749" s="29"/>
      <c r="HB3749" s="29"/>
      <c r="HC3749" s="29"/>
      <c r="HD3749" s="29"/>
      <c r="HE3749" s="29"/>
      <c r="HF3749" s="29"/>
      <c r="HG3749" s="29"/>
      <c r="HH3749" s="29"/>
      <c r="HI3749" s="29"/>
      <c r="HJ3749" s="29"/>
      <c r="HK3749" s="29"/>
      <c r="HL3749" s="29"/>
      <c r="HM3749" s="29"/>
      <c r="HN3749" s="29"/>
      <c r="HO3749" s="29"/>
      <c r="HP3749" s="29"/>
      <c r="HQ3749" s="29"/>
      <c r="HR3749" s="29"/>
      <c r="HS3749" s="29"/>
      <c r="HT3749" s="29"/>
      <c r="HU3749" s="29"/>
      <c r="HV3749" s="29"/>
      <c r="HW3749" s="29"/>
      <c r="HX3749" s="29"/>
      <c r="HY3749" s="29"/>
      <c r="HZ3749" s="29"/>
      <c r="IA3749" s="29"/>
      <c r="IB3749" s="29"/>
      <c r="IC3749" s="29"/>
      <c r="ID3749" s="29"/>
      <c r="IE3749" s="29"/>
      <c r="IF3749" s="29"/>
      <c r="IG3749" s="29"/>
      <c r="IH3749" s="29"/>
      <c r="II3749" s="29"/>
      <c r="IJ3749" s="29"/>
      <c r="IK3749" s="29"/>
      <c r="IL3749" s="29"/>
      <c r="IM3749" s="29"/>
      <c r="IN3749" s="29"/>
      <c r="IO3749" s="29"/>
      <c r="IP3749" s="29"/>
      <c r="IQ3749" s="29"/>
      <c r="IR3749" s="29"/>
      <c r="IS3749" s="29"/>
      <c r="IT3749" s="29"/>
      <c r="IU3749" s="29"/>
      <c r="IV3749" s="29"/>
      <c r="IW3749" s="29"/>
      <c r="IX3749" s="29"/>
      <c r="IY3749" s="29"/>
      <c r="IZ3749" s="29"/>
      <c r="JA3749" s="29"/>
      <c r="JB3749" s="29"/>
    </row>
    <row r="3750" spans="1:262" s="28" customFormat="1">
      <c r="A3750" s="29"/>
      <c r="B3750" s="29"/>
      <c r="C3750" s="29"/>
      <c r="D3750" s="29"/>
      <c r="E3750" s="29"/>
      <c r="F3750" s="29"/>
      <c r="G3750" s="29"/>
      <c r="H3750" s="29"/>
      <c r="I3750" s="29"/>
      <c r="J3750" s="29"/>
      <c r="K3750" s="29"/>
      <c r="L3750" s="29"/>
      <c r="M3750" s="29"/>
      <c r="N3750" s="29"/>
      <c r="O3750" s="29"/>
      <c r="P3750" s="29"/>
      <c r="Q3750" s="29"/>
      <c r="R3750" s="29"/>
      <c r="S3750" s="29"/>
      <c r="T3750" s="29"/>
      <c r="U3750" s="29"/>
      <c r="V3750" s="29"/>
      <c r="GK3750" s="29"/>
      <c r="GL3750" s="29"/>
      <c r="GM3750" s="29"/>
      <c r="GN3750" s="29"/>
      <c r="GO3750" s="29"/>
      <c r="GP3750" s="29"/>
      <c r="GQ3750" s="29"/>
      <c r="GR3750" s="29"/>
      <c r="GS3750" s="29"/>
      <c r="GT3750" s="29"/>
      <c r="GU3750" s="29"/>
      <c r="GV3750" s="29"/>
      <c r="GW3750" s="29"/>
      <c r="GX3750" s="29"/>
      <c r="GY3750" s="29"/>
      <c r="GZ3750" s="29"/>
      <c r="HA3750" s="29"/>
      <c r="HB3750" s="29"/>
      <c r="HC3750" s="29"/>
      <c r="HD3750" s="29"/>
      <c r="HE3750" s="29"/>
      <c r="HF3750" s="29"/>
      <c r="HG3750" s="29"/>
      <c r="HH3750" s="29"/>
      <c r="HI3750" s="29"/>
      <c r="HJ3750" s="29"/>
      <c r="HK3750" s="29"/>
      <c r="HL3750" s="29"/>
      <c r="HM3750" s="29"/>
      <c r="HN3750" s="29"/>
      <c r="HO3750" s="29"/>
      <c r="HP3750" s="29"/>
      <c r="HQ3750" s="29"/>
      <c r="HR3750" s="29"/>
      <c r="HS3750" s="29"/>
      <c r="HT3750" s="29"/>
      <c r="HU3750" s="29"/>
      <c r="HV3750" s="29"/>
      <c r="HW3750" s="29"/>
      <c r="HX3750" s="29"/>
      <c r="HY3750" s="29"/>
      <c r="HZ3750" s="29"/>
      <c r="IA3750" s="29"/>
      <c r="IB3750" s="29"/>
      <c r="IC3750" s="29"/>
      <c r="ID3750" s="29"/>
      <c r="IE3750" s="29"/>
      <c r="IF3750" s="29"/>
      <c r="IG3750" s="29"/>
      <c r="IH3750" s="29"/>
      <c r="II3750" s="29"/>
      <c r="IJ3750" s="29"/>
      <c r="IK3750" s="29"/>
      <c r="IL3750" s="29"/>
      <c r="IM3750" s="29"/>
      <c r="IN3750" s="29"/>
      <c r="IO3750" s="29"/>
      <c r="IP3750" s="29"/>
      <c r="IQ3750" s="29"/>
      <c r="IR3750" s="29"/>
      <c r="IS3750" s="29"/>
      <c r="IT3750" s="29"/>
      <c r="IU3750" s="29"/>
      <c r="IV3750" s="29"/>
      <c r="IW3750" s="29"/>
      <c r="IX3750" s="29"/>
      <c r="IY3750" s="29"/>
      <c r="IZ3750" s="29"/>
      <c r="JA3750" s="29"/>
      <c r="JB3750" s="29"/>
    </row>
    <row r="3751" spans="1:262" s="28" customFormat="1">
      <c r="A3751" s="29"/>
      <c r="B3751" s="29"/>
      <c r="C3751" s="29"/>
      <c r="D3751" s="29"/>
      <c r="E3751" s="29"/>
      <c r="F3751" s="29"/>
      <c r="G3751" s="29"/>
      <c r="H3751" s="29"/>
      <c r="I3751" s="29"/>
      <c r="J3751" s="29"/>
      <c r="K3751" s="29"/>
      <c r="L3751" s="29"/>
      <c r="M3751" s="29"/>
      <c r="N3751" s="29"/>
      <c r="O3751" s="29"/>
      <c r="P3751" s="29"/>
      <c r="Q3751" s="29"/>
      <c r="R3751" s="29"/>
      <c r="S3751" s="29"/>
      <c r="T3751" s="29"/>
      <c r="U3751" s="29"/>
      <c r="V3751" s="29"/>
      <c r="GK3751" s="29"/>
      <c r="GL3751" s="29"/>
      <c r="GM3751" s="29"/>
      <c r="GN3751" s="29"/>
      <c r="GO3751" s="29"/>
      <c r="GP3751" s="29"/>
      <c r="GQ3751" s="29"/>
      <c r="GR3751" s="29"/>
      <c r="GS3751" s="29"/>
      <c r="GT3751" s="29"/>
      <c r="GU3751" s="29"/>
      <c r="GV3751" s="29"/>
      <c r="GW3751" s="29"/>
      <c r="GX3751" s="29"/>
      <c r="GY3751" s="29"/>
      <c r="GZ3751" s="29"/>
      <c r="HA3751" s="29"/>
      <c r="HB3751" s="29"/>
      <c r="HC3751" s="29"/>
      <c r="HD3751" s="29"/>
      <c r="HE3751" s="29"/>
      <c r="HF3751" s="29"/>
      <c r="HG3751" s="29"/>
      <c r="HH3751" s="29"/>
      <c r="HI3751" s="29"/>
      <c r="HJ3751" s="29"/>
      <c r="HK3751" s="29"/>
      <c r="HL3751" s="29"/>
      <c r="HM3751" s="29"/>
      <c r="HN3751" s="29"/>
      <c r="HO3751" s="29"/>
      <c r="HP3751" s="29"/>
      <c r="HQ3751" s="29"/>
      <c r="HR3751" s="29"/>
      <c r="HS3751" s="29"/>
      <c r="HT3751" s="29"/>
      <c r="HU3751" s="29"/>
      <c r="HV3751" s="29"/>
      <c r="HW3751" s="29"/>
      <c r="HX3751" s="29"/>
      <c r="HY3751" s="29"/>
      <c r="HZ3751" s="29"/>
      <c r="IA3751" s="29"/>
      <c r="IB3751" s="29"/>
      <c r="IC3751" s="29"/>
      <c r="ID3751" s="29"/>
      <c r="IE3751" s="29"/>
      <c r="IF3751" s="29"/>
      <c r="IG3751" s="29"/>
      <c r="IH3751" s="29"/>
      <c r="II3751" s="29"/>
      <c r="IJ3751" s="29"/>
      <c r="IK3751" s="29"/>
      <c r="IL3751" s="29"/>
      <c r="IM3751" s="29"/>
      <c r="IN3751" s="29"/>
      <c r="IO3751" s="29"/>
      <c r="IP3751" s="29"/>
      <c r="IQ3751" s="29"/>
      <c r="IR3751" s="29"/>
      <c r="IS3751" s="29"/>
      <c r="IT3751" s="29"/>
      <c r="IU3751" s="29"/>
      <c r="IV3751" s="29"/>
      <c r="IW3751" s="29"/>
      <c r="IX3751" s="29"/>
      <c r="IY3751" s="29"/>
      <c r="IZ3751" s="29"/>
      <c r="JA3751" s="29"/>
      <c r="JB3751" s="29"/>
    </row>
    <row r="3752" spans="1:262" s="28" customFormat="1">
      <c r="A3752" s="29"/>
      <c r="B3752" s="29"/>
      <c r="C3752" s="29"/>
      <c r="D3752" s="29"/>
      <c r="E3752" s="29"/>
      <c r="F3752" s="29"/>
      <c r="G3752" s="29"/>
      <c r="H3752" s="29"/>
      <c r="I3752" s="29"/>
      <c r="J3752" s="29"/>
      <c r="K3752" s="29"/>
      <c r="L3752" s="29"/>
      <c r="M3752" s="29"/>
      <c r="N3752" s="29"/>
      <c r="O3752" s="29"/>
      <c r="P3752" s="29"/>
      <c r="Q3752" s="29"/>
      <c r="R3752" s="29"/>
      <c r="S3752" s="29"/>
      <c r="T3752" s="29"/>
      <c r="U3752" s="29"/>
      <c r="V3752" s="29"/>
      <c r="GK3752" s="29"/>
      <c r="GL3752" s="29"/>
      <c r="GM3752" s="29"/>
      <c r="GN3752" s="29"/>
      <c r="GO3752" s="29"/>
      <c r="GP3752" s="29"/>
      <c r="GQ3752" s="29"/>
      <c r="GR3752" s="29"/>
      <c r="GS3752" s="29"/>
      <c r="GT3752" s="29"/>
      <c r="GU3752" s="29"/>
      <c r="GV3752" s="29"/>
      <c r="GW3752" s="29"/>
      <c r="GX3752" s="29"/>
      <c r="GY3752" s="29"/>
      <c r="GZ3752" s="29"/>
      <c r="HA3752" s="29"/>
      <c r="HB3752" s="29"/>
      <c r="HC3752" s="29"/>
      <c r="HD3752" s="29"/>
      <c r="HE3752" s="29"/>
      <c r="HF3752" s="29"/>
      <c r="HG3752" s="29"/>
      <c r="HH3752" s="29"/>
      <c r="HI3752" s="29"/>
      <c r="HJ3752" s="29"/>
      <c r="HK3752" s="29"/>
      <c r="HL3752" s="29"/>
      <c r="HM3752" s="29"/>
      <c r="HN3752" s="29"/>
      <c r="HO3752" s="29"/>
      <c r="HP3752" s="29"/>
      <c r="HQ3752" s="29"/>
      <c r="HR3752" s="29"/>
      <c r="HS3752" s="29"/>
      <c r="HT3752" s="29"/>
      <c r="HU3752" s="29"/>
      <c r="HV3752" s="29"/>
      <c r="HW3752" s="29"/>
      <c r="HX3752" s="29"/>
      <c r="HY3752" s="29"/>
      <c r="HZ3752" s="29"/>
      <c r="IA3752" s="29"/>
      <c r="IB3752" s="29"/>
      <c r="IC3752" s="29"/>
      <c r="ID3752" s="29"/>
      <c r="IE3752" s="29"/>
      <c r="IF3752" s="29"/>
      <c r="IG3752" s="29"/>
      <c r="IH3752" s="29"/>
      <c r="II3752" s="29"/>
      <c r="IJ3752" s="29"/>
      <c r="IK3752" s="29"/>
      <c r="IL3752" s="29"/>
      <c r="IM3752" s="29"/>
      <c r="IN3752" s="29"/>
      <c r="IO3752" s="29"/>
      <c r="IP3752" s="29"/>
      <c r="IQ3752" s="29"/>
      <c r="IR3752" s="29"/>
      <c r="IS3752" s="29"/>
      <c r="IT3752" s="29"/>
      <c r="IU3752" s="29"/>
      <c r="IV3752" s="29"/>
      <c r="IW3752" s="29"/>
      <c r="IX3752" s="29"/>
      <c r="IY3752" s="29"/>
      <c r="IZ3752" s="29"/>
      <c r="JA3752" s="29"/>
      <c r="JB3752" s="29"/>
    </row>
    <row r="3753" spans="1:262" s="28" customFormat="1">
      <c r="A3753" s="29"/>
      <c r="B3753" s="29"/>
      <c r="C3753" s="29"/>
      <c r="D3753" s="29"/>
      <c r="E3753" s="29"/>
      <c r="F3753" s="29"/>
      <c r="G3753" s="29"/>
      <c r="H3753" s="29"/>
      <c r="I3753" s="29"/>
      <c r="J3753" s="29"/>
      <c r="K3753" s="29"/>
      <c r="L3753" s="29"/>
      <c r="M3753" s="29"/>
      <c r="N3753" s="29"/>
      <c r="O3753" s="29"/>
      <c r="P3753" s="29"/>
      <c r="Q3753" s="29"/>
      <c r="R3753" s="29"/>
      <c r="S3753" s="29"/>
      <c r="T3753" s="29"/>
      <c r="U3753" s="29"/>
      <c r="V3753" s="29"/>
      <c r="GK3753" s="29"/>
      <c r="GL3753" s="29"/>
      <c r="GM3753" s="29"/>
      <c r="GN3753" s="29"/>
      <c r="GO3753" s="29"/>
      <c r="GP3753" s="29"/>
      <c r="GQ3753" s="29"/>
      <c r="GR3753" s="29"/>
      <c r="GS3753" s="29"/>
      <c r="GT3753" s="29"/>
      <c r="GU3753" s="29"/>
      <c r="GV3753" s="29"/>
      <c r="GW3753" s="29"/>
      <c r="GX3753" s="29"/>
      <c r="GY3753" s="29"/>
      <c r="GZ3753" s="29"/>
      <c r="HA3753" s="29"/>
      <c r="HB3753" s="29"/>
      <c r="HC3753" s="29"/>
      <c r="HD3753" s="29"/>
      <c r="HE3753" s="29"/>
      <c r="HF3753" s="29"/>
      <c r="HG3753" s="29"/>
      <c r="HH3753" s="29"/>
      <c r="HI3753" s="29"/>
      <c r="HJ3753" s="29"/>
      <c r="HK3753" s="29"/>
      <c r="HL3753" s="29"/>
      <c r="HM3753" s="29"/>
      <c r="HN3753" s="29"/>
      <c r="HO3753" s="29"/>
      <c r="HP3753" s="29"/>
      <c r="HQ3753" s="29"/>
      <c r="HR3753" s="29"/>
      <c r="HS3753" s="29"/>
      <c r="HT3753" s="29"/>
      <c r="HU3753" s="29"/>
      <c r="HV3753" s="29"/>
      <c r="HW3753" s="29"/>
      <c r="HX3753" s="29"/>
      <c r="HY3753" s="29"/>
      <c r="HZ3753" s="29"/>
      <c r="IA3753" s="29"/>
      <c r="IB3753" s="29"/>
      <c r="IC3753" s="29"/>
      <c r="ID3753" s="29"/>
      <c r="IE3753" s="29"/>
      <c r="IF3753" s="29"/>
      <c r="IG3753" s="29"/>
      <c r="IH3753" s="29"/>
      <c r="II3753" s="29"/>
      <c r="IJ3753" s="29"/>
      <c r="IK3753" s="29"/>
      <c r="IL3753" s="29"/>
      <c r="IM3753" s="29"/>
      <c r="IN3753" s="29"/>
      <c r="IO3753" s="29"/>
      <c r="IP3753" s="29"/>
      <c r="IQ3753" s="29"/>
      <c r="IR3753" s="29"/>
      <c r="IS3753" s="29"/>
      <c r="IT3753" s="29"/>
      <c r="IU3753" s="29"/>
      <c r="IV3753" s="29"/>
      <c r="IW3753" s="29"/>
      <c r="IX3753" s="29"/>
      <c r="IY3753" s="29"/>
      <c r="IZ3753" s="29"/>
      <c r="JA3753" s="29"/>
      <c r="JB3753" s="29"/>
    </row>
    <row r="3754" spans="1:262" s="28" customFormat="1">
      <c r="A3754" s="29"/>
      <c r="B3754" s="29"/>
      <c r="C3754" s="29"/>
      <c r="D3754" s="29"/>
      <c r="E3754" s="29"/>
      <c r="F3754" s="29"/>
      <c r="G3754" s="29"/>
      <c r="H3754" s="29"/>
      <c r="I3754" s="29"/>
      <c r="J3754" s="29"/>
      <c r="K3754" s="29"/>
      <c r="L3754" s="29"/>
      <c r="M3754" s="29"/>
      <c r="N3754" s="29"/>
      <c r="O3754" s="29"/>
      <c r="P3754" s="29"/>
      <c r="Q3754" s="29"/>
      <c r="R3754" s="29"/>
      <c r="S3754" s="29"/>
      <c r="T3754" s="29"/>
      <c r="U3754" s="29"/>
      <c r="V3754" s="29"/>
      <c r="GK3754" s="29"/>
      <c r="GL3754" s="29"/>
      <c r="GM3754" s="29"/>
      <c r="GN3754" s="29"/>
      <c r="GO3754" s="29"/>
      <c r="GP3754" s="29"/>
      <c r="GQ3754" s="29"/>
      <c r="GR3754" s="29"/>
      <c r="GS3754" s="29"/>
      <c r="GT3754" s="29"/>
      <c r="GU3754" s="29"/>
      <c r="GV3754" s="29"/>
      <c r="GW3754" s="29"/>
      <c r="GX3754" s="29"/>
      <c r="GY3754" s="29"/>
      <c r="GZ3754" s="29"/>
      <c r="HA3754" s="29"/>
      <c r="HB3754" s="29"/>
      <c r="HC3754" s="29"/>
      <c r="HD3754" s="29"/>
      <c r="HE3754" s="29"/>
      <c r="HF3754" s="29"/>
      <c r="HG3754" s="29"/>
      <c r="HH3754" s="29"/>
      <c r="HI3754" s="29"/>
      <c r="HJ3754" s="29"/>
      <c r="HK3754" s="29"/>
      <c r="HL3754" s="29"/>
      <c r="HM3754" s="29"/>
      <c r="HN3754" s="29"/>
      <c r="HO3754" s="29"/>
      <c r="HP3754" s="29"/>
      <c r="HQ3754" s="29"/>
      <c r="HR3754" s="29"/>
      <c r="HS3754" s="29"/>
      <c r="HT3754" s="29"/>
      <c r="HU3754" s="29"/>
      <c r="HV3754" s="29"/>
      <c r="HW3754" s="29"/>
      <c r="HX3754" s="29"/>
      <c r="HY3754" s="29"/>
      <c r="HZ3754" s="29"/>
      <c r="IA3754" s="29"/>
      <c r="IB3754" s="29"/>
      <c r="IC3754" s="29"/>
      <c r="ID3754" s="29"/>
      <c r="IE3754" s="29"/>
      <c r="IF3754" s="29"/>
      <c r="IG3754" s="29"/>
      <c r="IH3754" s="29"/>
      <c r="II3754" s="29"/>
      <c r="IJ3754" s="29"/>
      <c r="IK3754" s="29"/>
      <c r="IL3754" s="29"/>
      <c r="IM3754" s="29"/>
      <c r="IN3754" s="29"/>
      <c r="IO3754" s="29"/>
      <c r="IP3754" s="29"/>
      <c r="IQ3754" s="29"/>
      <c r="IR3754" s="29"/>
      <c r="IS3754" s="29"/>
      <c r="IT3754" s="29"/>
      <c r="IU3754" s="29"/>
      <c r="IV3754" s="29"/>
      <c r="IW3754" s="29"/>
      <c r="IX3754" s="29"/>
      <c r="IY3754" s="29"/>
      <c r="IZ3754" s="29"/>
      <c r="JA3754" s="29"/>
      <c r="JB3754" s="29"/>
    </row>
    <row r="3755" spans="1:262" s="28" customFormat="1">
      <c r="A3755" s="29"/>
      <c r="B3755" s="29"/>
      <c r="C3755" s="29"/>
      <c r="D3755" s="29"/>
      <c r="E3755" s="29"/>
      <c r="F3755" s="29"/>
      <c r="G3755" s="29"/>
      <c r="H3755" s="29"/>
      <c r="I3755" s="29"/>
      <c r="J3755" s="29"/>
      <c r="K3755" s="29"/>
      <c r="L3755" s="29"/>
      <c r="M3755" s="29"/>
      <c r="N3755" s="29"/>
      <c r="O3755" s="29"/>
      <c r="P3755" s="29"/>
      <c r="Q3755" s="29"/>
      <c r="R3755" s="29"/>
      <c r="S3755" s="29"/>
      <c r="T3755" s="29"/>
      <c r="U3755" s="29"/>
      <c r="V3755" s="29"/>
      <c r="GK3755" s="29"/>
      <c r="GL3755" s="29"/>
      <c r="GM3755" s="29"/>
      <c r="GN3755" s="29"/>
      <c r="GO3755" s="29"/>
      <c r="GP3755" s="29"/>
      <c r="GQ3755" s="29"/>
      <c r="GR3755" s="29"/>
      <c r="GS3755" s="29"/>
      <c r="GT3755" s="29"/>
      <c r="GU3755" s="29"/>
      <c r="GV3755" s="29"/>
      <c r="GW3755" s="29"/>
      <c r="GX3755" s="29"/>
      <c r="GY3755" s="29"/>
      <c r="GZ3755" s="29"/>
      <c r="HA3755" s="29"/>
      <c r="HB3755" s="29"/>
      <c r="HC3755" s="29"/>
      <c r="HD3755" s="29"/>
      <c r="HE3755" s="29"/>
      <c r="HF3755" s="29"/>
      <c r="HG3755" s="29"/>
      <c r="HH3755" s="29"/>
      <c r="HI3755" s="29"/>
      <c r="HJ3755" s="29"/>
      <c r="HK3755" s="29"/>
      <c r="HL3755" s="29"/>
      <c r="HM3755" s="29"/>
      <c r="HN3755" s="29"/>
      <c r="HO3755" s="29"/>
      <c r="HP3755" s="29"/>
      <c r="HQ3755" s="29"/>
      <c r="HR3755" s="29"/>
      <c r="HS3755" s="29"/>
      <c r="HT3755" s="29"/>
      <c r="HU3755" s="29"/>
      <c r="HV3755" s="29"/>
      <c r="HW3755" s="29"/>
      <c r="HX3755" s="29"/>
      <c r="HY3755" s="29"/>
      <c r="HZ3755" s="29"/>
      <c r="IA3755" s="29"/>
      <c r="IB3755" s="29"/>
      <c r="IC3755" s="29"/>
      <c r="ID3755" s="29"/>
      <c r="IE3755" s="29"/>
      <c r="IF3755" s="29"/>
      <c r="IG3755" s="29"/>
      <c r="IH3755" s="29"/>
      <c r="II3755" s="29"/>
      <c r="IJ3755" s="29"/>
      <c r="IK3755" s="29"/>
      <c r="IL3755" s="29"/>
      <c r="IM3755" s="29"/>
      <c r="IN3755" s="29"/>
      <c r="IO3755" s="29"/>
      <c r="IP3755" s="29"/>
      <c r="IQ3755" s="29"/>
      <c r="IR3755" s="29"/>
      <c r="IS3755" s="29"/>
      <c r="IT3755" s="29"/>
      <c r="IU3755" s="29"/>
      <c r="IV3755" s="29"/>
      <c r="IW3755" s="29"/>
      <c r="IX3755" s="29"/>
      <c r="IY3755" s="29"/>
      <c r="IZ3755" s="29"/>
      <c r="JA3755" s="29"/>
      <c r="JB3755" s="29"/>
    </row>
    <row r="3756" spans="1:262" s="28" customFormat="1">
      <c r="A3756" s="29"/>
      <c r="B3756" s="29"/>
      <c r="C3756" s="29"/>
      <c r="D3756" s="29"/>
      <c r="E3756" s="29"/>
      <c r="F3756" s="29"/>
      <c r="G3756" s="29"/>
      <c r="H3756" s="29"/>
      <c r="I3756" s="29"/>
      <c r="J3756" s="29"/>
      <c r="K3756" s="29"/>
      <c r="L3756" s="29"/>
      <c r="M3756" s="29"/>
      <c r="N3756" s="29"/>
      <c r="O3756" s="29"/>
      <c r="P3756" s="29"/>
      <c r="Q3756" s="29"/>
      <c r="R3756" s="29"/>
      <c r="S3756" s="29"/>
      <c r="T3756" s="29"/>
      <c r="U3756" s="29"/>
      <c r="V3756" s="29"/>
      <c r="GK3756" s="29"/>
      <c r="GL3756" s="29"/>
      <c r="GM3756" s="29"/>
      <c r="GN3756" s="29"/>
      <c r="GO3756" s="29"/>
      <c r="GP3756" s="29"/>
      <c r="GQ3756" s="29"/>
      <c r="GR3756" s="29"/>
      <c r="GS3756" s="29"/>
      <c r="GT3756" s="29"/>
      <c r="GU3756" s="29"/>
      <c r="GV3756" s="29"/>
      <c r="GW3756" s="29"/>
      <c r="GX3756" s="29"/>
      <c r="GY3756" s="29"/>
      <c r="GZ3756" s="29"/>
      <c r="HA3756" s="29"/>
      <c r="HB3756" s="29"/>
      <c r="HC3756" s="29"/>
      <c r="HD3756" s="29"/>
      <c r="HE3756" s="29"/>
      <c r="HF3756" s="29"/>
      <c r="HG3756" s="29"/>
      <c r="HH3756" s="29"/>
      <c r="HI3756" s="29"/>
      <c r="HJ3756" s="29"/>
      <c r="HK3756" s="29"/>
      <c r="HL3756" s="29"/>
      <c r="HM3756" s="29"/>
      <c r="HN3756" s="29"/>
      <c r="HO3756" s="29"/>
      <c r="HP3756" s="29"/>
      <c r="HQ3756" s="29"/>
      <c r="HR3756" s="29"/>
      <c r="HS3756" s="29"/>
      <c r="HT3756" s="29"/>
      <c r="HU3756" s="29"/>
      <c r="HV3756" s="29"/>
      <c r="HW3756" s="29"/>
      <c r="HX3756" s="29"/>
      <c r="HY3756" s="29"/>
      <c r="HZ3756" s="29"/>
      <c r="IA3756" s="29"/>
      <c r="IB3756" s="29"/>
      <c r="IC3756" s="29"/>
      <c r="ID3756" s="29"/>
      <c r="IE3756" s="29"/>
      <c r="IF3756" s="29"/>
      <c r="IG3756" s="29"/>
      <c r="IH3756" s="29"/>
      <c r="II3756" s="29"/>
      <c r="IJ3756" s="29"/>
      <c r="IK3756" s="29"/>
      <c r="IL3756" s="29"/>
      <c r="IM3756" s="29"/>
      <c r="IN3756" s="29"/>
      <c r="IO3756" s="29"/>
      <c r="IP3756" s="29"/>
      <c r="IQ3756" s="29"/>
      <c r="IR3756" s="29"/>
      <c r="IS3756" s="29"/>
      <c r="IT3756" s="29"/>
      <c r="IU3756" s="29"/>
      <c r="IV3756" s="29"/>
      <c r="IW3756" s="29"/>
      <c r="IX3756" s="29"/>
      <c r="IY3756" s="29"/>
      <c r="IZ3756" s="29"/>
      <c r="JA3756" s="29"/>
      <c r="JB3756" s="29"/>
    </row>
    <row r="3757" spans="1:262" s="28" customFormat="1">
      <c r="A3757" s="29"/>
      <c r="B3757" s="29"/>
      <c r="C3757" s="29"/>
      <c r="D3757" s="29"/>
      <c r="E3757" s="29"/>
      <c r="F3757" s="29"/>
      <c r="G3757" s="29"/>
      <c r="H3757" s="29"/>
      <c r="I3757" s="29"/>
      <c r="J3757" s="29"/>
      <c r="K3757" s="29"/>
      <c r="L3757" s="29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GK3757" s="29"/>
      <c r="GL3757" s="29"/>
      <c r="GM3757" s="29"/>
      <c r="GN3757" s="29"/>
      <c r="GO3757" s="29"/>
      <c r="GP3757" s="29"/>
      <c r="GQ3757" s="29"/>
      <c r="GR3757" s="29"/>
      <c r="GS3757" s="29"/>
      <c r="GT3757" s="29"/>
      <c r="GU3757" s="29"/>
      <c r="GV3757" s="29"/>
      <c r="GW3757" s="29"/>
      <c r="GX3757" s="29"/>
      <c r="GY3757" s="29"/>
      <c r="GZ3757" s="29"/>
      <c r="HA3757" s="29"/>
      <c r="HB3757" s="29"/>
      <c r="HC3757" s="29"/>
      <c r="HD3757" s="29"/>
      <c r="HE3757" s="29"/>
      <c r="HF3757" s="29"/>
      <c r="HG3757" s="29"/>
      <c r="HH3757" s="29"/>
      <c r="HI3757" s="29"/>
      <c r="HJ3757" s="29"/>
      <c r="HK3757" s="29"/>
      <c r="HL3757" s="29"/>
      <c r="HM3757" s="29"/>
      <c r="HN3757" s="29"/>
      <c r="HO3757" s="29"/>
      <c r="HP3757" s="29"/>
      <c r="HQ3757" s="29"/>
      <c r="HR3757" s="29"/>
      <c r="HS3757" s="29"/>
      <c r="HT3757" s="29"/>
      <c r="HU3757" s="29"/>
      <c r="HV3757" s="29"/>
      <c r="HW3757" s="29"/>
      <c r="HX3757" s="29"/>
      <c r="HY3757" s="29"/>
      <c r="HZ3757" s="29"/>
      <c r="IA3757" s="29"/>
      <c r="IB3757" s="29"/>
      <c r="IC3757" s="29"/>
      <c r="ID3757" s="29"/>
      <c r="IE3757" s="29"/>
      <c r="IF3757" s="29"/>
      <c r="IG3757" s="29"/>
      <c r="IH3757" s="29"/>
      <c r="II3757" s="29"/>
      <c r="IJ3757" s="29"/>
      <c r="IK3757" s="29"/>
      <c r="IL3757" s="29"/>
      <c r="IM3757" s="29"/>
      <c r="IN3757" s="29"/>
      <c r="IO3757" s="29"/>
      <c r="IP3757" s="29"/>
      <c r="IQ3757" s="29"/>
      <c r="IR3757" s="29"/>
      <c r="IS3757" s="29"/>
      <c r="IT3757" s="29"/>
      <c r="IU3757" s="29"/>
      <c r="IV3757" s="29"/>
      <c r="IW3757" s="29"/>
      <c r="IX3757" s="29"/>
      <c r="IY3757" s="29"/>
      <c r="IZ3757" s="29"/>
      <c r="JA3757" s="29"/>
      <c r="JB3757" s="29"/>
    </row>
    <row r="3758" spans="1:262" s="28" customFormat="1">
      <c r="A3758" s="29"/>
      <c r="B3758" s="29"/>
      <c r="C3758" s="29"/>
      <c r="D3758" s="29"/>
      <c r="E3758" s="29"/>
      <c r="F3758" s="29"/>
      <c r="G3758" s="29"/>
      <c r="H3758" s="29"/>
      <c r="I3758" s="29"/>
      <c r="J3758" s="29"/>
      <c r="K3758" s="29"/>
      <c r="L3758" s="29"/>
      <c r="M3758" s="29"/>
      <c r="N3758" s="29"/>
      <c r="O3758" s="29"/>
      <c r="P3758" s="29"/>
      <c r="Q3758" s="29"/>
      <c r="R3758" s="29"/>
      <c r="S3758" s="29"/>
      <c r="T3758" s="29"/>
      <c r="U3758" s="29"/>
      <c r="V3758" s="29"/>
      <c r="GK3758" s="29"/>
      <c r="GL3758" s="29"/>
      <c r="GM3758" s="29"/>
      <c r="GN3758" s="29"/>
      <c r="GO3758" s="29"/>
      <c r="GP3758" s="29"/>
      <c r="GQ3758" s="29"/>
      <c r="GR3758" s="29"/>
      <c r="GS3758" s="29"/>
      <c r="GT3758" s="29"/>
      <c r="GU3758" s="29"/>
      <c r="GV3758" s="29"/>
      <c r="GW3758" s="29"/>
      <c r="GX3758" s="29"/>
      <c r="GY3758" s="29"/>
      <c r="GZ3758" s="29"/>
      <c r="HA3758" s="29"/>
      <c r="HB3758" s="29"/>
      <c r="HC3758" s="29"/>
      <c r="HD3758" s="29"/>
      <c r="HE3758" s="29"/>
      <c r="HF3758" s="29"/>
      <c r="HG3758" s="29"/>
      <c r="HH3758" s="29"/>
      <c r="HI3758" s="29"/>
      <c r="HJ3758" s="29"/>
      <c r="HK3758" s="29"/>
      <c r="HL3758" s="29"/>
      <c r="HM3758" s="29"/>
      <c r="HN3758" s="29"/>
      <c r="HO3758" s="29"/>
      <c r="HP3758" s="29"/>
      <c r="HQ3758" s="29"/>
      <c r="HR3758" s="29"/>
      <c r="HS3758" s="29"/>
      <c r="HT3758" s="29"/>
      <c r="HU3758" s="29"/>
      <c r="HV3758" s="29"/>
      <c r="HW3758" s="29"/>
      <c r="HX3758" s="29"/>
      <c r="HY3758" s="29"/>
      <c r="HZ3758" s="29"/>
      <c r="IA3758" s="29"/>
      <c r="IB3758" s="29"/>
      <c r="IC3758" s="29"/>
      <c r="ID3758" s="29"/>
      <c r="IE3758" s="29"/>
      <c r="IF3758" s="29"/>
      <c r="IG3758" s="29"/>
      <c r="IH3758" s="29"/>
      <c r="II3758" s="29"/>
      <c r="IJ3758" s="29"/>
      <c r="IK3758" s="29"/>
      <c r="IL3758" s="29"/>
      <c r="IM3758" s="29"/>
      <c r="IN3758" s="29"/>
      <c r="IO3758" s="29"/>
      <c r="IP3758" s="29"/>
      <c r="IQ3758" s="29"/>
      <c r="IR3758" s="29"/>
      <c r="IS3758" s="29"/>
      <c r="IT3758" s="29"/>
      <c r="IU3758" s="29"/>
      <c r="IV3758" s="29"/>
      <c r="IW3758" s="29"/>
      <c r="IX3758" s="29"/>
      <c r="IY3758" s="29"/>
      <c r="IZ3758" s="29"/>
      <c r="JA3758" s="29"/>
      <c r="JB3758" s="29"/>
    </row>
    <row r="3759" spans="1:262" s="28" customFormat="1">
      <c r="A3759" s="29"/>
      <c r="B3759" s="29"/>
      <c r="C3759" s="29"/>
      <c r="D3759" s="29"/>
      <c r="E3759" s="29"/>
      <c r="F3759" s="29"/>
      <c r="G3759" s="29"/>
      <c r="H3759" s="29"/>
      <c r="I3759" s="29"/>
      <c r="J3759" s="29"/>
      <c r="K3759" s="29"/>
      <c r="L3759" s="29"/>
      <c r="M3759" s="29"/>
      <c r="N3759" s="29"/>
      <c r="O3759" s="29"/>
      <c r="P3759" s="29"/>
      <c r="Q3759" s="29"/>
      <c r="R3759" s="29"/>
      <c r="S3759" s="29"/>
      <c r="T3759" s="29"/>
      <c r="U3759" s="29"/>
      <c r="V3759" s="29"/>
      <c r="GK3759" s="29"/>
      <c r="GL3759" s="29"/>
      <c r="GM3759" s="29"/>
      <c r="GN3759" s="29"/>
      <c r="GO3759" s="29"/>
      <c r="GP3759" s="29"/>
      <c r="GQ3759" s="29"/>
      <c r="GR3759" s="29"/>
      <c r="GS3759" s="29"/>
      <c r="GT3759" s="29"/>
      <c r="GU3759" s="29"/>
      <c r="GV3759" s="29"/>
      <c r="GW3759" s="29"/>
      <c r="GX3759" s="29"/>
      <c r="GY3759" s="29"/>
      <c r="GZ3759" s="29"/>
      <c r="HA3759" s="29"/>
      <c r="HB3759" s="29"/>
      <c r="HC3759" s="29"/>
      <c r="HD3759" s="29"/>
      <c r="HE3759" s="29"/>
      <c r="HF3759" s="29"/>
      <c r="HG3759" s="29"/>
      <c r="HH3759" s="29"/>
      <c r="HI3759" s="29"/>
      <c r="HJ3759" s="29"/>
      <c r="HK3759" s="29"/>
      <c r="HL3759" s="29"/>
      <c r="HM3759" s="29"/>
      <c r="HN3759" s="29"/>
      <c r="HO3759" s="29"/>
      <c r="HP3759" s="29"/>
      <c r="HQ3759" s="29"/>
      <c r="HR3759" s="29"/>
      <c r="HS3759" s="29"/>
      <c r="HT3759" s="29"/>
      <c r="HU3759" s="29"/>
      <c r="HV3759" s="29"/>
      <c r="HW3759" s="29"/>
      <c r="HX3759" s="29"/>
      <c r="HY3759" s="29"/>
      <c r="HZ3759" s="29"/>
      <c r="IA3759" s="29"/>
      <c r="IB3759" s="29"/>
      <c r="IC3759" s="29"/>
      <c r="ID3759" s="29"/>
      <c r="IE3759" s="29"/>
      <c r="IF3759" s="29"/>
      <c r="IG3759" s="29"/>
      <c r="IH3759" s="29"/>
      <c r="II3759" s="29"/>
      <c r="IJ3759" s="29"/>
      <c r="IK3759" s="29"/>
      <c r="IL3759" s="29"/>
      <c r="IM3759" s="29"/>
      <c r="IN3759" s="29"/>
      <c r="IO3759" s="29"/>
      <c r="IP3759" s="29"/>
      <c r="IQ3759" s="29"/>
      <c r="IR3759" s="29"/>
      <c r="IS3759" s="29"/>
      <c r="IT3759" s="29"/>
      <c r="IU3759" s="29"/>
      <c r="IV3759" s="29"/>
      <c r="IW3759" s="29"/>
      <c r="IX3759" s="29"/>
      <c r="IY3759" s="29"/>
      <c r="IZ3759" s="29"/>
      <c r="JA3759" s="29"/>
      <c r="JB3759" s="29"/>
    </row>
    <row r="3760" spans="1:262" s="28" customFormat="1">
      <c r="A3760" s="29"/>
      <c r="B3760" s="29"/>
      <c r="C3760" s="29"/>
      <c r="D3760" s="29"/>
      <c r="E3760" s="29"/>
      <c r="F3760" s="29"/>
      <c r="G3760" s="29"/>
      <c r="H3760" s="29"/>
      <c r="I3760" s="29"/>
      <c r="J3760" s="29"/>
      <c r="K3760" s="29"/>
      <c r="L3760" s="29"/>
      <c r="M3760" s="29"/>
      <c r="N3760" s="29"/>
      <c r="O3760" s="29"/>
      <c r="P3760" s="29"/>
      <c r="Q3760" s="29"/>
      <c r="R3760" s="29"/>
      <c r="S3760" s="29"/>
      <c r="T3760" s="29"/>
      <c r="U3760" s="29"/>
      <c r="V3760" s="29"/>
      <c r="GK3760" s="29"/>
      <c r="GL3760" s="29"/>
      <c r="GM3760" s="29"/>
      <c r="GN3760" s="29"/>
      <c r="GO3760" s="29"/>
      <c r="GP3760" s="29"/>
      <c r="GQ3760" s="29"/>
      <c r="GR3760" s="29"/>
      <c r="GS3760" s="29"/>
      <c r="GT3760" s="29"/>
      <c r="GU3760" s="29"/>
      <c r="GV3760" s="29"/>
      <c r="GW3760" s="29"/>
      <c r="GX3760" s="29"/>
      <c r="GY3760" s="29"/>
      <c r="GZ3760" s="29"/>
      <c r="HA3760" s="29"/>
      <c r="HB3760" s="29"/>
      <c r="HC3760" s="29"/>
      <c r="HD3760" s="29"/>
      <c r="HE3760" s="29"/>
      <c r="HF3760" s="29"/>
      <c r="HG3760" s="29"/>
      <c r="HH3760" s="29"/>
      <c r="HI3760" s="29"/>
      <c r="HJ3760" s="29"/>
      <c r="HK3760" s="29"/>
      <c r="HL3760" s="29"/>
      <c r="HM3760" s="29"/>
      <c r="HN3760" s="29"/>
      <c r="HO3760" s="29"/>
      <c r="HP3760" s="29"/>
      <c r="HQ3760" s="29"/>
      <c r="HR3760" s="29"/>
      <c r="HS3760" s="29"/>
      <c r="HT3760" s="29"/>
      <c r="HU3760" s="29"/>
      <c r="HV3760" s="29"/>
      <c r="HW3760" s="29"/>
      <c r="HX3760" s="29"/>
      <c r="HY3760" s="29"/>
      <c r="HZ3760" s="29"/>
      <c r="IA3760" s="29"/>
      <c r="IB3760" s="29"/>
      <c r="IC3760" s="29"/>
      <c r="ID3760" s="29"/>
      <c r="IE3760" s="29"/>
      <c r="IF3760" s="29"/>
      <c r="IG3760" s="29"/>
      <c r="IH3760" s="29"/>
      <c r="II3760" s="29"/>
      <c r="IJ3760" s="29"/>
      <c r="IK3760" s="29"/>
      <c r="IL3760" s="29"/>
      <c r="IM3760" s="29"/>
      <c r="IN3760" s="29"/>
      <c r="IO3760" s="29"/>
      <c r="IP3760" s="29"/>
      <c r="IQ3760" s="29"/>
      <c r="IR3760" s="29"/>
      <c r="IS3760" s="29"/>
      <c r="IT3760" s="29"/>
      <c r="IU3760" s="29"/>
      <c r="IV3760" s="29"/>
      <c r="IW3760" s="29"/>
      <c r="IX3760" s="29"/>
      <c r="IY3760" s="29"/>
      <c r="IZ3760" s="29"/>
      <c r="JA3760" s="29"/>
      <c r="JB3760" s="29"/>
    </row>
    <row r="3761" spans="1:262" s="28" customFormat="1">
      <c r="A3761" s="29"/>
      <c r="B3761" s="29"/>
      <c r="C3761" s="29"/>
      <c r="D3761" s="29"/>
      <c r="E3761" s="29"/>
      <c r="F3761" s="29"/>
      <c r="G3761" s="29"/>
      <c r="H3761" s="29"/>
      <c r="I3761" s="29"/>
      <c r="J3761" s="29"/>
      <c r="K3761" s="29"/>
      <c r="L3761" s="29"/>
      <c r="M3761" s="29"/>
      <c r="N3761" s="29"/>
      <c r="O3761" s="29"/>
      <c r="P3761" s="29"/>
      <c r="Q3761" s="29"/>
      <c r="R3761" s="29"/>
      <c r="S3761" s="29"/>
      <c r="T3761" s="29"/>
      <c r="U3761" s="29"/>
      <c r="V3761" s="29"/>
      <c r="GK3761" s="29"/>
      <c r="GL3761" s="29"/>
      <c r="GM3761" s="29"/>
      <c r="GN3761" s="29"/>
      <c r="GO3761" s="29"/>
      <c r="GP3761" s="29"/>
      <c r="GQ3761" s="29"/>
      <c r="GR3761" s="29"/>
      <c r="GS3761" s="29"/>
      <c r="GT3761" s="29"/>
      <c r="GU3761" s="29"/>
      <c r="GV3761" s="29"/>
      <c r="GW3761" s="29"/>
      <c r="GX3761" s="29"/>
      <c r="GY3761" s="29"/>
      <c r="GZ3761" s="29"/>
      <c r="HA3761" s="29"/>
      <c r="HB3761" s="29"/>
      <c r="HC3761" s="29"/>
      <c r="HD3761" s="29"/>
      <c r="HE3761" s="29"/>
      <c r="HF3761" s="29"/>
      <c r="HG3761" s="29"/>
      <c r="HH3761" s="29"/>
      <c r="HI3761" s="29"/>
      <c r="HJ3761" s="29"/>
      <c r="HK3761" s="29"/>
      <c r="HL3761" s="29"/>
      <c r="HM3761" s="29"/>
      <c r="HN3761" s="29"/>
      <c r="HO3761" s="29"/>
      <c r="HP3761" s="29"/>
      <c r="HQ3761" s="29"/>
      <c r="HR3761" s="29"/>
      <c r="HS3761" s="29"/>
      <c r="HT3761" s="29"/>
      <c r="HU3761" s="29"/>
      <c r="HV3761" s="29"/>
      <c r="HW3761" s="29"/>
      <c r="HX3761" s="29"/>
      <c r="HY3761" s="29"/>
      <c r="HZ3761" s="29"/>
      <c r="IA3761" s="29"/>
      <c r="IB3761" s="29"/>
      <c r="IC3761" s="29"/>
      <c r="ID3761" s="29"/>
      <c r="IE3761" s="29"/>
      <c r="IF3761" s="29"/>
      <c r="IG3761" s="29"/>
      <c r="IH3761" s="29"/>
      <c r="II3761" s="29"/>
      <c r="IJ3761" s="29"/>
      <c r="IK3761" s="29"/>
      <c r="IL3761" s="29"/>
      <c r="IM3761" s="29"/>
      <c r="IN3761" s="29"/>
      <c r="IO3761" s="29"/>
      <c r="IP3761" s="29"/>
      <c r="IQ3761" s="29"/>
      <c r="IR3761" s="29"/>
      <c r="IS3761" s="29"/>
      <c r="IT3761" s="29"/>
      <c r="IU3761" s="29"/>
      <c r="IV3761" s="29"/>
      <c r="IW3761" s="29"/>
      <c r="IX3761" s="29"/>
      <c r="IY3761" s="29"/>
      <c r="IZ3761" s="29"/>
      <c r="JA3761" s="29"/>
      <c r="JB3761" s="29"/>
    </row>
    <row r="3762" spans="1:262" s="28" customFormat="1">
      <c r="A3762" s="29"/>
      <c r="B3762" s="29"/>
      <c r="C3762" s="29"/>
      <c r="D3762" s="29"/>
      <c r="E3762" s="29"/>
      <c r="F3762" s="29"/>
      <c r="G3762" s="29"/>
      <c r="H3762" s="29"/>
      <c r="I3762" s="29"/>
      <c r="J3762" s="29"/>
      <c r="K3762" s="29"/>
      <c r="L3762" s="29"/>
      <c r="M3762" s="29"/>
      <c r="N3762" s="29"/>
      <c r="O3762" s="29"/>
      <c r="P3762" s="29"/>
      <c r="Q3762" s="29"/>
      <c r="R3762" s="29"/>
      <c r="S3762" s="29"/>
      <c r="T3762" s="29"/>
      <c r="U3762" s="29"/>
      <c r="V3762" s="29"/>
      <c r="GK3762" s="29"/>
      <c r="GL3762" s="29"/>
      <c r="GM3762" s="29"/>
      <c r="GN3762" s="29"/>
      <c r="GO3762" s="29"/>
      <c r="GP3762" s="29"/>
      <c r="GQ3762" s="29"/>
      <c r="GR3762" s="29"/>
      <c r="GS3762" s="29"/>
      <c r="GT3762" s="29"/>
      <c r="GU3762" s="29"/>
      <c r="GV3762" s="29"/>
      <c r="GW3762" s="29"/>
      <c r="GX3762" s="29"/>
      <c r="GY3762" s="29"/>
      <c r="GZ3762" s="29"/>
      <c r="HA3762" s="29"/>
      <c r="HB3762" s="29"/>
      <c r="HC3762" s="29"/>
      <c r="HD3762" s="29"/>
      <c r="HE3762" s="29"/>
      <c r="HF3762" s="29"/>
      <c r="HG3762" s="29"/>
      <c r="HH3762" s="29"/>
      <c r="HI3762" s="29"/>
      <c r="HJ3762" s="29"/>
      <c r="HK3762" s="29"/>
      <c r="HL3762" s="29"/>
      <c r="HM3762" s="29"/>
      <c r="HN3762" s="29"/>
      <c r="HO3762" s="29"/>
      <c r="HP3762" s="29"/>
      <c r="HQ3762" s="29"/>
      <c r="HR3762" s="29"/>
      <c r="HS3762" s="29"/>
      <c r="HT3762" s="29"/>
      <c r="HU3762" s="29"/>
      <c r="HV3762" s="29"/>
      <c r="HW3762" s="29"/>
      <c r="HX3762" s="29"/>
      <c r="HY3762" s="29"/>
      <c r="HZ3762" s="29"/>
      <c r="IA3762" s="29"/>
      <c r="IB3762" s="29"/>
      <c r="IC3762" s="29"/>
      <c r="ID3762" s="29"/>
      <c r="IE3762" s="29"/>
      <c r="IF3762" s="29"/>
      <c r="IG3762" s="29"/>
      <c r="IH3762" s="29"/>
      <c r="II3762" s="29"/>
      <c r="IJ3762" s="29"/>
      <c r="IK3762" s="29"/>
      <c r="IL3762" s="29"/>
      <c r="IM3762" s="29"/>
      <c r="IN3762" s="29"/>
      <c r="IO3762" s="29"/>
      <c r="IP3762" s="29"/>
      <c r="IQ3762" s="29"/>
      <c r="IR3762" s="29"/>
      <c r="IS3762" s="29"/>
      <c r="IT3762" s="29"/>
      <c r="IU3762" s="29"/>
      <c r="IV3762" s="29"/>
      <c r="IW3762" s="29"/>
      <c r="IX3762" s="29"/>
      <c r="IY3762" s="29"/>
      <c r="IZ3762" s="29"/>
      <c r="JA3762" s="29"/>
      <c r="JB3762" s="29"/>
    </row>
    <row r="3763" spans="1:262" s="28" customFormat="1">
      <c r="A3763" s="29"/>
      <c r="B3763" s="29"/>
      <c r="C3763" s="29"/>
      <c r="D3763" s="29"/>
      <c r="E3763" s="29"/>
      <c r="F3763" s="29"/>
      <c r="G3763" s="29"/>
      <c r="H3763" s="29"/>
      <c r="I3763" s="29"/>
      <c r="J3763" s="29"/>
      <c r="K3763" s="29"/>
      <c r="L3763" s="29"/>
      <c r="M3763" s="29"/>
      <c r="N3763" s="29"/>
      <c r="O3763" s="29"/>
      <c r="P3763" s="29"/>
      <c r="Q3763" s="29"/>
      <c r="R3763" s="29"/>
      <c r="S3763" s="29"/>
      <c r="T3763" s="29"/>
      <c r="U3763" s="29"/>
      <c r="V3763" s="29"/>
      <c r="GK3763" s="29"/>
      <c r="GL3763" s="29"/>
      <c r="GM3763" s="29"/>
      <c r="GN3763" s="29"/>
      <c r="GO3763" s="29"/>
      <c r="GP3763" s="29"/>
      <c r="GQ3763" s="29"/>
      <c r="GR3763" s="29"/>
      <c r="GS3763" s="29"/>
      <c r="GT3763" s="29"/>
      <c r="GU3763" s="29"/>
      <c r="GV3763" s="29"/>
      <c r="GW3763" s="29"/>
      <c r="GX3763" s="29"/>
      <c r="GY3763" s="29"/>
      <c r="GZ3763" s="29"/>
      <c r="HA3763" s="29"/>
      <c r="HB3763" s="29"/>
      <c r="HC3763" s="29"/>
      <c r="HD3763" s="29"/>
      <c r="HE3763" s="29"/>
      <c r="HF3763" s="29"/>
      <c r="HG3763" s="29"/>
      <c r="HH3763" s="29"/>
      <c r="HI3763" s="29"/>
      <c r="HJ3763" s="29"/>
      <c r="HK3763" s="29"/>
      <c r="HL3763" s="29"/>
      <c r="HM3763" s="29"/>
      <c r="HN3763" s="29"/>
      <c r="HO3763" s="29"/>
      <c r="HP3763" s="29"/>
      <c r="HQ3763" s="29"/>
      <c r="HR3763" s="29"/>
      <c r="HS3763" s="29"/>
      <c r="HT3763" s="29"/>
      <c r="HU3763" s="29"/>
      <c r="HV3763" s="29"/>
      <c r="HW3763" s="29"/>
      <c r="HX3763" s="29"/>
      <c r="HY3763" s="29"/>
      <c r="HZ3763" s="29"/>
      <c r="IA3763" s="29"/>
      <c r="IB3763" s="29"/>
      <c r="IC3763" s="29"/>
      <c r="ID3763" s="29"/>
      <c r="IE3763" s="29"/>
      <c r="IF3763" s="29"/>
      <c r="IG3763" s="29"/>
      <c r="IH3763" s="29"/>
      <c r="II3763" s="29"/>
      <c r="IJ3763" s="29"/>
      <c r="IK3763" s="29"/>
      <c r="IL3763" s="29"/>
      <c r="IM3763" s="29"/>
      <c r="IN3763" s="29"/>
      <c r="IO3763" s="29"/>
      <c r="IP3763" s="29"/>
      <c r="IQ3763" s="29"/>
      <c r="IR3763" s="29"/>
      <c r="IS3763" s="29"/>
      <c r="IT3763" s="29"/>
      <c r="IU3763" s="29"/>
      <c r="IV3763" s="29"/>
      <c r="IW3763" s="29"/>
      <c r="IX3763" s="29"/>
      <c r="IY3763" s="29"/>
      <c r="IZ3763" s="29"/>
      <c r="JA3763" s="29"/>
      <c r="JB3763" s="29"/>
    </row>
    <row r="3764" spans="1:262" s="28" customFormat="1">
      <c r="A3764" s="29"/>
      <c r="B3764" s="29"/>
      <c r="C3764" s="29"/>
      <c r="D3764" s="29"/>
      <c r="E3764" s="29"/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/>
      <c r="R3764" s="29"/>
      <c r="S3764" s="29"/>
      <c r="T3764" s="29"/>
      <c r="U3764" s="29"/>
      <c r="V3764" s="29"/>
      <c r="GK3764" s="29"/>
      <c r="GL3764" s="29"/>
      <c r="GM3764" s="29"/>
      <c r="GN3764" s="29"/>
      <c r="GO3764" s="29"/>
      <c r="GP3764" s="29"/>
      <c r="GQ3764" s="29"/>
      <c r="GR3764" s="29"/>
      <c r="GS3764" s="29"/>
      <c r="GT3764" s="29"/>
      <c r="GU3764" s="29"/>
      <c r="GV3764" s="29"/>
      <c r="GW3764" s="29"/>
      <c r="GX3764" s="29"/>
      <c r="GY3764" s="29"/>
      <c r="GZ3764" s="29"/>
      <c r="HA3764" s="29"/>
      <c r="HB3764" s="29"/>
      <c r="HC3764" s="29"/>
      <c r="HD3764" s="29"/>
      <c r="HE3764" s="29"/>
      <c r="HF3764" s="29"/>
      <c r="HG3764" s="29"/>
      <c r="HH3764" s="29"/>
      <c r="HI3764" s="29"/>
      <c r="HJ3764" s="29"/>
      <c r="HK3764" s="29"/>
      <c r="HL3764" s="29"/>
      <c r="HM3764" s="29"/>
      <c r="HN3764" s="29"/>
      <c r="HO3764" s="29"/>
      <c r="HP3764" s="29"/>
      <c r="HQ3764" s="29"/>
      <c r="HR3764" s="29"/>
      <c r="HS3764" s="29"/>
      <c r="HT3764" s="29"/>
      <c r="HU3764" s="29"/>
      <c r="HV3764" s="29"/>
      <c r="HW3764" s="29"/>
      <c r="HX3764" s="29"/>
      <c r="HY3764" s="29"/>
      <c r="HZ3764" s="29"/>
      <c r="IA3764" s="29"/>
      <c r="IB3764" s="29"/>
      <c r="IC3764" s="29"/>
      <c r="ID3764" s="29"/>
      <c r="IE3764" s="29"/>
      <c r="IF3764" s="29"/>
      <c r="IG3764" s="29"/>
      <c r="IH3764" s="29"/>
      <c r="II3764" s="29"/>
      <c r="IJ3764" s="29"/>
      <c r="IK3764" s="29"/>
      <c r="IL3764" s="29"/>
      <c r="IM3764" s="29"/>
      <c r="IN3764" s="29"/>
      <c r="IO3764" s="29"/>
      <c r="IP3764" s="29"/>
      <c r="IQ3764" s="29"/>
      <c r="IR3764" s="29"/>
      <c r="IS3764" s="29"/>
      <c r="IT3764" s="29"/>
      <c r="IU3764" s="29"/>
      <c r="IV3764" s="29"/>
      <c r="IW3764" s="29"/>
      <c r="IX3764" s="29"/>
      <c r="IY3764" s="29"/>
      <c r="IZ3764" s="29"/>
      <c r="JA3764" s="29"/>
      <c r="JB3764" s="29"/>
    </row>
    <row r="3765" spans="1:262" s="28" customFormat="1">
      <c r="A3765" s="29"/>
      <c r="B3765" s="29"/>
      <c r="C3765" s="29"/>
      <c r="D3765" s="29"/>
      <c r="E3765" s="29"/>
      <c r="F3765" s="29"/>
      <c r="G3765" s="29"/>
      <c r="H3765" s="29"/>
      <c r="I3765" s="29"/>
      <c r="J3765" s="29"/>
      <c r="K3765" s="29"/>
      <c r="L3765" s="29"/>
      <c r="M3765" s="29"/>
      <c r="N3765" s="29"/>
      <c r="O3765" s="29"/>
      <c r="P3765" s="29"/>
      <c r="Q3765" s="29"/>
      <c r="R3765" s="29"/>
      <c r="S3765" s="29"/>
      <c r="T3765" s="29"/>
      <c r="U3765" s="29"/>
      <c r="V3765" s="29"/>
      <c r="GK3765" s="29"/>
      <c r="GL3765" s="29"/>
      <c r="GM3765" s="29"/>
      <c r="GN3765" s="29"/>
      <c r="GO3765" s="29"/>
      <c r="GP3765" s="29"/>
      <c r="GQ3765" s="29"/>
      <c r="GR3765" s="29"/>
      <c r="GS3765" s="29"/>
      <c r="GT3765" s="29"/>
      <c r="GU3765" s="29"/>
      <c r="GV3765" s="29"/>
      <c r="GW3765" s="29"/>
      <c r="GX3765" s="29"/>
      <c r="GY3765" s="29"/>
      <c r="GZ3765" s="29"/>
      <c r="HA3765" s="29"/>
      <c r="HB3765" s="29"/>
      <c r="HC3765" s="29"/>
      <c r="HD3765" s="29"/>
      <c r="HE3765" s="29"/>
      <c r="HF3765" s="29"/>
      <c r="HG3765" s="29"/>
      <c r="HH3765" s="29"/>
      <c r="HI3765" s="29"/>
      <c r="HJ3765" s="29"/>
      <c r="HK3765" s="29"/>
      <c r="HL3765" s="29"/>
      <c r="HM3765" s="29"/>
      <c r="HN3765" s="29"/>
      <c r="HO3765" s="29"/>
      <c r="HP3765" s="29"/>
      <c r="HQ3765" s="29"/>
      <c r="HR3765" s="29"/>
      <c r="HS3765" s="29"/>
      <c r="HT3765" s="29"/>
      <c r="HU3765" s="29"/>
      <c r="HV3765" s="29"/>
      <c r="HW3765" s="29"/>
      <c r="HX3765" s="29"/>
      <c r="HY3765" s="29"/>
      <c r="HZ3765" s="29"/>
      <c r="IA3765" s="29"/>
      <c r="IB3765" s="29"/>
      <c r="IC3765" s="29"/>
      <c r="ID3765" s="29"/>
      <c r="IE3765" s="29"/>
      <c r="IF3765" s="29"/>
      <c r="IG3765" s="29"/>
      <c r="IH3765" s="29"/>
      <c r="II3765" s="29"/>
      <c r="IJ3765" s="29"/>
      <c r="IK3765" s="29"/>
      <c r="IL3765" s="29"/>
      <c r="IM3765" s="29"/>
      <c r="IN3765" s="29"/>
      <c r="IO3765" s="29"/>
      <c r="IP3765" s="29"/>
      <c r="IQ3765" s="29"/>
      <c r="IR3765" s="29"/>
      <c r="IS3765" s="29"/>
      <c r="IT3765" s="29"/>
      <c r="IU3765" s="29"/>
      <c r="IV3765" s="29"/>
      <c r="IW3765" s="29"/>
      <c r="IX3765" s="29"/>
      <c r="IY3765" s="29"/>
      <c r="IZ3765" s="29"/>
      <c r="JA3765" s="29"/>
      <c r="JB3765" s="29"/>
    </row>
    <row r="3766" spans="1:262" s="28" customFormat="1">
      <c r="A3766" s="29"/>
      <c r="B3766" s="29"/>
      <c r="C3766" s="29"/>
      <c r="D3766" s="29"/>
      <c r="E3766" s="29"/>
      <c r="F3766" s="29"/>
      <c r="G3766" s="29"/>
      <c r="H3766" s="29"/>
      <c r="I3766" s="29"/>
      <c r="J3766" s="29"/>
      <c r="K3766" s="29"/>
      <c r="L3766" s="29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GK3766" s="29"/>
      <c r="GL3766" s="29"/>
      <c r="GM3766" s="29"/>
      <c r="GN3766" s="29"/>
      <c r="GO3766" s="29"/>
      <c r="GP3766" s="29"/>
      <c r="GQ3766" s="29"/>
      <c r="GR3766" s="29"/>
      <c r="GS3766" s="29"/>
      <c r="GT3766" s="29"/>
      <c r="GU3766" s="29"/>
      <c r="GV3766" s="29"/>
      <c r="GW3766" s="29"/>
      <c r="GX3766" s="29"/>
      <c r="GY3766" s="29"/>
      <c r="GZ3766" s="29"/>
      <c r="HA3766" s="29"/>
      <c r="HB3766" s="29"/>
      <c r="HC3766" s="29"/>
      <c r="HD3766" s="29"/>
      <c r="HE3766" s="29"/>
      <c r="HF3766" s="29"/>
      <c r="HG3766" s="29"/>
      <c r="HH3766" s="29"/>
      <c r="HI3766" s="29"/>
      <c r="HJ3766" s="29"/>
      <c r="HK3766" s="29"/>
      <c r="HL3766" s="29"/>
      <c r="HM3766" s="29"/>
      <c r="HN3766" s="29"/>
      <c r="HO3766" s="29"/>
      <c r="HP3766" s="29"/>
      <c r="HQ3766" s="29"/>
      <c r="HR3766" s="29"/>
      <c r="HS3766" s="29"/>
      <c r="HT3766" s="29"/>
      <c r="HU3766" s="29"/>
      <c r="HV3766" s="29"/>
      <c r="HW3766" s="29"/>
      <c r="HX3766" s="29"/>
      <c r="HY3766" s="29"/>
      <c r="HZ3766" s="29"/>
      <c r="IA3766" s="29"/>
      <c r="IB3766" s="29"/>
      <c r="IC3766" s="29"/>
      <c r="ID3766" s="29"/>
      <c r="IE3766" s="29"/>
      <c r="IF3766" s="29"/>
      <c r="IG3766" s="29"/>
      <c r="IH3766" s="29"/>
      <c r="II3766" s="29"/>
      <c r="IJ3766" s="29"/>
      <c r="IK3766" s="29"/>
      <c r="IL3766" s="29"/>
      <c r="IM3766" s="29"/>
      <c r="IN3766" s="29"/>
      <c r="IO3766" s="29"/>
      <c r="IP3766" s="29"/>
      <c r="IQ3766" s="29"/>
      <c r="IR3766" s="29"/>
      <c r="IS3766" s="29"/>
      <c r="IT3766" s="29"/>
      <c r="IU3766" s="29"/>
      <c r="IV3766" s="29"/>
      <c r="IW3766" s="29"/>
      <c r="IX3766" s="29"/>
      <c r="IY3766" s="29"/>
      <c r="IZ3766" s="29"/>
      <c r="JA3766" s="29"/>
      <c r="JB3766" s="29"/>
    </row>
    <row r="3767" spans="1:262" s="28" customFormat="1">
      <c r="A3767" s="29"/>
      <c r="B3767" s="29"/>
      <c r="C3767" s="29"/>
      <c r="D3767" s="29"/>
      <c r="E3767" s="29"/>
      <c r="F3767" s="29"/>
      <c r="G3767" s="29"/>
      <c r="H3767" s="29"/>
      <c r="I3767" s="29"/>
      <c r="J3767" s="29"/>
      <c r="K3767" s="29"/>
      <c r="L3767" s="29"/>
      <c r="M3767" s="29"/>
      <c r="N3767" s="29"/>
      <c r="O3767" s="29"/>
      <c r="P3767" s="29"/>
      <c r="Q3767" s="29"/>
      <c r="R3767" s="29"/>
      <c r="S3767" s="29"/>
      <c r="T3767" s="29"/>
      <c r="U3767" s="29"/>
      <c r="V3767" s="29"/>
      <c r="GK3767" s="29"/>
      <c r="GL3767" s="29"/>
      <c r="GM3767" s="29"/>
      <c r="GN3767" s="29"/>
      <c r="GO3767" s="29"/>
      <c r="GP3767" s="29"/>
      <c r="GQ3767" s="29"/>
      <c r="GR3767" s="29"/>
      <c r="GS3767" s="29"/>
      <c r="GT3767" s="29"/>
      <c r="GU3767" s="29"/>
      <c r="GV3767" s="29"/>
      <c r="GW3767" s="29"/>
      <c r="GX3767" s="29"/>
      <c r="GY3767" s="29"/>
      <c r="GZ3767" s="29"/>
      <c r="HA3767" s="29"/>
      <c r="HB3767" s="29"/>
      <c r="HC3767" s="29"/>
      <c r="HD3767" s="29"/>
      <c r="HE3767" s="29"/>
      <c r="HF3767" s="29"/>
      <c r="HG3767" s="29"/>
      <c r="HH3767" s="29"/>
      <c r="HI3767" s="29"/>
      <c r="HJ3767" s="29"/>
      <c r="HK3767" s="29"/>
      <c r="HL3767" s="29"/>
      <c r="HM3767" s="29"/>
      <c r="HN3767" s="29"/>
      <c r="HO3767" s="29"/>
      <c r="HP3767" s="29"/>
      <c r="HQ3767" s="29"/>
      <c r="HR3767" s="29"/>
      <c r="HS3767" s="29"/>
      <c r="HT3767" s="29"/>
      <c r="HU3767" s="29"/>
      <c r="HV3767" s="29"/>
      <c r="HW3767" s="29"/>
      <c r="HX3767" s="29"/>
      <c r="HY3767" s="29"/>
      <c r="HZ3767" s="29"/>
      <c r="IA3767" s="29"/>
      <c r="IB3767" s="29"/>
      <c r="IC3767" s="29"/>
      <c r="ID3767" s="29"/>
      <c r="IE3767" s="29"/>
      <c r="IF3767" s="29"/>
      <c r="IG3767" s="29"/>
      <c r="IH3767" s="29"/>
      <c r="II3767" s="29"/>
      <c r="IJ3767" s="29"/>
      <c r="IK3767" s="29"/>
      <c r="IL3767" s="29"/>
      <c r="IM3767" s="29"/>
      <c r="IN3767" s="29"/>
      <c r="IO3767" s="29"/>
      <c r="IP3767" s="29"/>
      <c r="IQ3767" s="29"/>
      <c r="IR3767" s="29"/>
      <c r="IS3767" s="29"/>
      <c r="IT3767" s="29"/>
      <c r="IU3767" s="29"/>
      <c r="IV3767" s="29"/>
      <c r="IW3767" s="29"/>
      <c r="IX3767" s="29"/>
      <c r="IY3767" s="29"/>
      <c r="IZ3767" s="29"/>
      <c r="JA3767" s="29"/>
      <c r="JB3767" s="29"/>
    </row>
    <row r="3768" spans="1:262" s="28" customFormat="1">
      <c r="A3768" s="29"/>
      <c r="B3768" s="29"/>
      <c r="C3768" s="29"/>
      <c r="D3768" s="29"/>
      <c r="E3768" s="29"/>
      <c r="F3768" s="29"/>
      <c r="G3768" s="29"/>
      <c r="H3768" s="29"/>
      <c r="I3768" s="29"/>
      <c r="J3768" s="29"/>
      <c r="K3768" s="29"/>
      <c r="L3768" s="29"/>
      <c r="M3768" s="29"/>
      <c r="N3768" s="29"/>
      <c r="O3768" s="29"/>
      <c r="P3768" s="29"/>
      <c r="Q3768" s="29"/>
      <c r="R3768" s="29"/>
      <c r="S3768" s="29"/>
      <c r="T3768" s="29"/>
      <c r="U3768" s="29"/>
      <c r="V3768" s="29"/>
      <c r="GK3768" s="29"/>
      <c r="GL3768" s="29"/>
      <c r="GM3768" s="29"/>
      <c r="GN3768" s="29"/>
      <c r="GO3768" s="29"/>
      <c r="GP3768" s="29"/>
      <c r="GQ3768" s="29"/>
      <c r="GR3768" s="29"/>
      <c r="GS3768" s="29"/>
      <c r="GT3768" s="29"/>
      <c r="GU3768" s="29"/>
      <c r="GV3768" s="29"/>
      <c r="GW3768" s="29"/>
      <c r="GX3768" s="29"/>
      <c r="GY3768" s="29"/>
      <c r="GZ3768" s="29"/>
      <c r="HA3768" s="29"/>
      <c r="HB3768" s="29"/>
      <c r="HC3768" s="29"/>
      <c r="HD3768" s="29"/>
      <c r="HE3768" s="29"/>
      <c r="HF3768" s="29"/>
      <c r="HG3768" s="29"/>
      <c r="HH3768" s="29"/>
      <c r="HI3768" s="29"/>
      <c r="HJ3768" s="29"/>
      <c r="HK3768" s="29"/>
      <c r="HL3768" s="29"/>
      <c r="HM3768" s="29"/>
      <c r="HN3768" s="29"/>
      <c r="HO3768" s="29"/>
      <c r="HP3768" s="29"/>
      <c r="HQ3768" s="29"/>
      <c r="HR3768" s="29"/>
      <c r="HS3768" s="29"/>
      <c r="HT3768" s="29"/>
      <c r="HU3768" s="29"/>
      <c r="HV3768" s="29"/>
      <c r="HW3768" s="29"/>
      <c r="HX3768" s="29"/>
      <c r="HY3768" s="29"/>
      <c r="HZ3768" s="29"/>
      <c r="IA3768" s="29"/>
      <c r="IB3768" s="29"/>
      <c r="IC3768" s="29"/>
      <c r="ID3768" s="29"/>
      <c r="IE3768" s="29"/>
      <c r="IF3768" s="29"/>
      <c r="IG3768" s="29"/>
      <c r="IH3768" s="29"/>
      <c r="II3768" s="29"/>
      <c r="IJ3768" s="29"/>
      <c r="IK3768" s="29"/>
      <c r="IL3768" s="29"/>
      <c r="IM3768" s="29"/>
      <c r="IN3768" s="29"/>
      <c r="IO3768" s="29"/>
      <c r="IP3768" s="29"/>
      <c r="IQ3768" s="29"/>
      <c r="IR3768" s="29"/>
      <c r="IS3768" s="29"/>
      <c r="IT3768" s="29"/>
      <c r="IU3768" s="29"/>
      <c r="IV3768" s="29"/>
      <c r="IW3768" s="29"/>
      <c r="IX3768" s="29"/>
      <c r="IY3768" s="29"/>
      <c r="IZ3768" s="29"/>
      <c r="JA3768" s="29"/>
      <c r="JB3768" s="29"/>
    </row>
    <row r="3769" spans="1:262" s="28" customFormat="1">
      <c r="A3769" s="29"/>
      <c r="B3769" s="29"/>
      <c r="C3769" s="29"/>
      <c r="D3769" s="29"/>
      <c r="E3769" s="29"/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  <c r="Q3769" s="29"/>
      <c r="R3769" s="29"/>
      <c r="S3769" s="29"/>
      <c r="T3769" s="29"/>
      <c r="U3769" s="29"/>
      <c r="V3769" s="29"/>
      <c r="GK3769" s="29"/>
      <c r="GL3769" s="29"/>
      <c r="GM3769" s="29"/>
      <c r="GN3769" s="29"/>
      <c r="GO3769" s="29"/>
      <c r="GP3769" s="29"/>
      <c r="GQ3769" s="29"/>
      <c r="GR3769" s="29"/>
      <c r="GS3769" s="29"/>
      <c r="GT3769" s="29"/>
      <c r="GU3769" s="29"/>
      <c r="GV3769" s="29"/>
      <c r="GW3769" s="29"/>
      <c r="GX3769" s="29"/>
      <c r="GY3769" s="29"/>
      <c r="GZ3769" s="29"/>
      <c r="HA3769" s="29"/>
      <c r="HB3769" s="29"/>
      <c r="HC3769" s="29"/>
      <c r="HD3769" s="29"/>
      <c r="HE3769" s="29"/>
      <c r="HF3769" s="29"/>
      <c r="HG3769" s="29"/>
      <c r="HH3769" s="29"/>
      <c r="HI3769" s="29"/>
      <c r="HJ3769" s="29"/>
      <c r="HK3769" s="29"/>
      <c r="HL3769" s="29"/>
      <c r="HM3769" s="29"/>
      <c r="HN3769" s="29"/>
      <c r="HO3769" s="29"/>
      <c r="HP3769" s="29"/>
      <c r="HQ3769" s="29"/>
      <c r="HR3769" s="29"/>
      <c r="HS3769" s="29"/>
      <c r="HT3769" s="29"/>
      <c r="HU3769" s="29"/>
      <c r="HV3769" s="29"/>
      <c r="HW3769" s="29"/>
      <c r="HX3769" s="29"/>
      <c r="HY3769" s="29"/>
      <c r="HZ3769" s="29"/>
      <c r="IA3769" s="29"/>
      <c r="IB3769" s="29"/>
      <c r="IC3769" s="29"/>
      <c r="ID3769" s="29"/>
      <c r="IE3769" s="29"/>
      <c r="IF3769" s="29"/>
      <c r="IG3769" s="29"/>
      <c r="IH3769" s="29"/>
      <c r="II3769" s="29"/>
      <c r="IJ3769" s="29"/>
      <c r="IK3769" s="29"/>
      <c r="IL3769" s="29"/>
      <c r="IM3769" s="29"/>
      <c r="IN3769" s="29"/>
      <c r="IO3769" s="29"/>
      <c r="IP3769" s="29"/>
      <c r="IQ3769" s="29"/>
      <c r="IR3769" s="29"/>
      <c r="IS3769" s="29"/>
      <c r="IT3769" s="29"/>
      <c r="IU3769" s="29"/>
      <c r="IV3769" s="29"/>
      <c r="IW3769" s="29"/>
      <c r="IX3769" s="29"/>
      <c r="IY3769" s="29"/>
      <c r="IZ3769" s="29"/>
      <c r="JA3769" s="29"/>
      <c r="JB3769" s="29"/>
    </row>
    <row r="3770" spans="1:262" s="28" customFormat="1">
      <c r="A3770" s="29"/>
      <c r="B3770" s="29"/>
      <c r="C3770" s="29"/>
      <c r="D3770" s="29"/>
      <c r="E3770" s="29"/>
      <c r="F3770" s="29"/>
      <c r="G3770" s="29"/>
      <c r="H3770" s="29"/>
      <c r="I3770" s="29"/>
      <c r="J3770" s="29"/>
      <c r="K3770" s="29"/>
      <c r="L3770" s="29"/>
      <c r="M3770" s="29"/>
      <c r="N3770" s="29"/>
      <c r="O3770" s="29"/>
      <c r="P3770" s="29"/>
      <c r="Q3770" s="29"/>
      <c r="R3770" s="29"/>
      <c r="S3770" s="29"/>
      <c r="T3770" s="29"/>
      <c r="U3770" s="29"/>
      <c r="V3770" s="29"/>
      <c r="GK3770" s="29"/>
      <c r="GL3770" s="29"/>
      <c r="GM3770" s="29"/>
      <c r="GN3770" s="29"/>
      <c r="GO3770" s="29"/>
      <c r="GP3770" s="29"/>
      <c r="GQ3770" s="29"/>
      <c r="GR3770" s="29"/>
      <c r="GS3770" s="29"/>
      <c r="GT3770" s="29"/>
      <c r="GU3770" s="29"/>
      <c r="GV3770" s="29"/>
      <c r="GW3770" s="29"/>
      <c r="GX3770" s="29"/>
      <c r="GY3770" s="29"/>
      <c r="GZ3770" s="29"/>
      <c r="HA3770" s="29"/>
      <c r="HB3770" s="29"/>
      <c r="HC3770" s="29"/>
      <c r="HD3770" s="29"/>
      <c r="HE3770" s="29"/>
      <c r="HF3770" s="29"/>
      <c r="HG3770" s="29"/>
      <c r="HH3770" s="29"/>
      <c r="HI3770" s="29"/>
      <c r="HJ3770" s="29"/>
      <c r="HK3770" s="29"/>
      <c r="HL3770" s="29"/>
      <c r="HM3770" s="29"/>
      <c r="HN3770" s="29"/>
      <c r="HO3770" s="29"/>
      <c r="HP3770" s="29"/>
      <c r="HQ3770" s="29"/>
      <c r="HR3770" s="29"/>
      <c r="HS3770" s="29"/>
      <c r="HT3770" s="29"/>
      <c r="HU3770" s="29"/>
      <c r="HV3770" s="29"/>
      <c r="HW3770" s="29"/>
      <c r="HX3770" s="29"/>
      <c r="HY3770" s="29"/>
      <c r="HZ3770" s="29"/>
      <c r="IA3770" s="29"/>
      <c r="IB3770" s="29"/>
      <c r="IC3770" s="29"/>
      <c r="ID3770" s="29"/>
      <c r="IE3770" s="29"/>
      <c r="IF3770" s="29"/>
      <c r="IG3770" s="29"/>
      <c r="IH3770" s="29"/>
      <c r="II3770" s="29"/>
      <c r="IJ3770" s="29"/>
      <c r="IK3770" s="29"/>
      <c r="IL3770" s="29"/>
      <c r="IM3770" s="29"/>
      <c r="IN3770" s="29"/>
      <c r="IO3770" s="29"/>
      <c r="IP3770" s="29"/>
      <c r="IQ3770" s="29"/>
      <c r="IR3770" s="29"/>
      <c r="IS3770" s="29"/>
      <c r="IT3770" s="29"/>
      <c r="IU3770" s="29"/>
      <c r="IV3770" s="29"/>
      <c r="IW3770" s="29"/>
      <c r="IX3770" s="29"/>
      <c r="IY3770" s="29"/>
      <c r="IZ3770" s="29"/>
      <c r="JA3770" s="29"/>
      <c r="JB3770" s="29"/>
    </row>
    <row r="3771" spans="1:262" s="28" customFormat="1">
      <c r="A3771" s="29"/>
      <c r="B3771" s="29"/>
      <c r="C3771" s="29"/>
      <c r="D3771" s="29"/>
      <c r="E3771" s="29"/>
      <c r="F3771" s="29"/>
      <c r="G3771" s="29"/>
      <c r="H3771" s="29"/>
      <c r="I3771" s="29"/>
      <c r="J3771" s="29"/>
      <c r="K3771" s="29"/>
      <c r="L3771" s="29"/>
      <c r="M3771" s="29"/>
      <c r="N3771" s="29"/>
      <c r="O3771" s="29"/>
      <c r="P3771" s="29"/>
      <c r="Q3771" s="29"/>
      <c r="R3771" s="29"/>
      <c r="S3771" s="29"/>
      <c r="T3771" s="29"/>
      <c r="U3771" s="29"/>
      <c r="V3771" s="29"/>
      <c r="GK3771" s="29"/>
      <c r="GL3771" s="29"/>
      <c r="GM3771" s="29"/>
      <c r="GN3771" s="29"/>
      <c r="GO3771" s="29"/>
      <c r="GP3771" s="29"/>
      <c r="GQ3771" s="29"/>
      <c r="GR3771" s="29"/>
      <c r="GS3771" s="29"/>
      <c r="GT3771" s="29"/>
      <c r="GU3771" s="29"/>
      <c r="GV3771" s="29"/>
      <c r="GW3771" s="29"/>
      <c r="GX3771" s="29"/>
      <c r="GY3771" s="29"/>
      <c r="GZ3771" s="29"/>
      <c r="HA3771" s="29"/>
      <c r="HB3771" s="29"/>
      <c r="HC3771" s="29"/>
      <c r="HD3771" s="29"/>
      <c r="HE3771" s="29"/>
      <c r="HF3771" s="29"/>
      <c r="HG3771" s="29"/>
      <c r="HH3771" s="29"/>
      <c r="HI3771" s="29"/>
      <c r="HJ3771" s="29"/>
      <c r="HK3771" s="29"/>
      <c r="HL3771" s="29"/>
      <c r="HM3771" s="29"/>
      <c r="HN3771" s="29"/>
      <c r="HO3771" s="29"/>
      <c r="HP3771" s="29"/>
      <c r="HQ3771" s="29"/>
      <c r="HR3771" s="29"/>
      <c r="HS3771" s="29"/>
      <c r="HT3771" s="29"/>
      <c r="HU3771" s="29"/>
      <c r="HV3771" s="29"/>
      <c r="HW3771" s="29"/>
      <c r="HX3771" s="29"/>
      <c r="HY3771" s="29"/>
      <c r="HZ3771" s="29"/>
      <c r="IA3771" s="29"/>
      <c r="IB3771" s="29"/>
      <c r="IC3771" s="29"/>
      <c r="ID3771" s="29"/>
      <c r="IE3771" s="29"/>
      <c r="IF3771" s="29"/>
      <c r="IG3771" s="29"/>
      <c r="IH3771" s="29"/>
      <c r="II3771" s="29"/>
      <c r="IJ3771" s="29"/>
      <c r="IK3771" s="29"/>
      <c r="IL3771" s="29"/>
      <c r="IM3771" s="29"/>
      <c r="IN3771" s="29"/>
      <c r="IO3771" s="29"/>
      <c r="IP3771" s="29"/>
      <c r="IQ3771" s="29"/>
      <c r="IR3771" s="29"/>
      <c r="IS3771" s="29"/>
      <c r="IT3771" s="29"/>
      <c r="IU3771" s="29"/>
      <c r="IV3771" s="29"/>
      <c r="IW3771" s="29"/>
      <c r="IX3771" s="29"/>
      <c r="IY3771" s="29"/>
      <c r="IZ3771" s="29"/>
      <c r="JA3771" s="29"/>
      <c r="JB3771" s="29"/>
    </row>
    <row r="3772" spans="1:262" s="28" customFormat="1">
      <c r="A3772" s="29"/>
      <c r="B3772" s="29"/>
      <c r="C3772" s="29"/>
      <c r="D3772" s="29"/>
      <c r="E3772" s="29"/>
      <c r="F3772" s="29"/>
      <c r="G3772" s="29"/>
      <c r="H3772" s="29"/>
      <c r="I3772" s="29"/>
      <c r="J3772" s="29"/>
      <c r="K3772" s="29"/>
      <c r="L3772" s="29"/>
      <c r="M3772" s="29"/>
      <c r="N3772" s="29"/>
      <c r="O3772" s="29"/>
      <c r="P3772" s="29"/>
      <c r="Q3772" s="29"/>
      <c r="R3772" s="29"/>
      <c r="S3772" s="29"/>
      <c r="T3772" s="29"/>
      <c r="U3772" s="29"/>
      <c r="V3772" s="29"/>
      <c r="GK3772" s="29"/>
      <c r="GL3772" s="29"/>
      <c r="GM3772" s="29"/>
      <c r="GN3772" s="29"/>
      <c r="GO3772" s="29"/>
      <c r="GP3772" s="29"/>
      <c r="GQ3772" s="29"/>
      <c r="GR3772" s="29"/>
      <c r="GS3772" s="29"/>
      <c r="GT3772" s="29"/>
      <c r="GU3772" s="29"/>
      <c r="GV3772" s="29"/>
      <c r="GW3772" s="29"/>
      <c r="GX3772" s="29"/>
      <c r="GY3772" s="29"/>
      <c r="GZ3772" s="29"/>
      <c r="HA3772" s="29"/>
      <c r="HB3772" s="29"/>
      <c r="HC3772" s="29"/>
      <c r="HD3772" s="29"/>
      <c r="HE3772" s="29"/>
      <c r="HF3772" s="29"/>
      <c r="HG3772" s="29"/>
      <c r="HH3772" s="29"/>
      <c r="HI3772" s="29"/>
      <c r="HJ3772" s="29"/>
      <c r="HK3772" s="29"/>
      <c r="HL3772" s="29"/>
      <c r="HM3772" s="29"/>
      <c r="HN3772" s="29"/>
      <c r="HO3772" s="29"/>
      <c r="HP3772" s="29"/>
      <c r="HQ3772" s="29"/>
      <c r="HR3772" s="29"/>
      <c r="HS3772" s="29"/>
      <c r="HT3772" s="29"/>
      <c r="HU3772" s="29"/>
      <c r="HV3772" s="29"/>
      <c r="HW3772" s="29"/>
      <c r="HX3772" s="29"/>
      <c r="HY3772" s="29"/>
      <c r="HZ3772" s="29"/>
      <c r="IA3772" s="29"/>
      <c r="IB3772" s="29"/>
      <c r="IC3772" s="29"/>
      <c r="ID3772" s="29"/>
      <c r="IE3772" s="29"/>
      <c r="IF3772" s="29"/>
      <c r="IG3772" s="29"/>
      <c r="IH3772" s="29"/>
      <c r="II3772" s="29"/>
      <c r="IJ3772" s="29"/>
      <c r="IK3772" s="29"/>
      <c r="IL3772" s="29"/>
      <c r="IM3772" s="29"/>
      <c r="IN3772" s="29"/>
      <c r="IO3772" s="29"/>
      <c r="IP3772" s="29"/>
      <c r="IQ3772" s="29"/>
      <c r="IR3772" s="29"/>
      <c r="IS3772" s="29"/>
      <c r="IT3772" s="29"/>
      <c r="IU3772" s="29"/>
      <c r="IV3772" s="29"/>
      <c r="IW3772" s="29"/>
      <c r="IX3772" s="29"/>
      <c r="IY3772" s="29"/>
      <c r="IZ3772" s="29"/>
      <c r="JA3772" s="29"/>
      <c r="JB3772" s="29"/>
    </row>
    <row r="3773" spans="1:262" s="28" customFormat="1">
      <c r="A3773" s="29"/>
      <c r="B3773" s="29"/>
      <c r="C3773" s="29"/>
      <c r="D3773" s="29"/>
      <c r="E3773" s="29"/>
      <c r="F3773" s="29"/>
      <c r="G3773" s="29"/>
      <c r="H3773" s="29"/>
      <c r="I3773" s="29"/>
      <c r="J3773" s="29"/>
      <c r="K3773" s="29"/>
      <c r="L3773" s="29"/>
      <c r="M3773" s="29"/>
      <c r="N3773" s="29"/>
      <c r="O3773" s="29"/>
      <c r="P3773" s="29"/>
      <c r="Q3773" s="29"/>
      <c r="R3773" s="29"/>
      <c r="S3773" s="29"/>
      <c r="T3773" s="29"/>
      <c r="U3773" s="29"/>
      <c r="V3773" s="29"/>
      <c r="GK3773" s="29"/>
      <c r="GL3773" s="29"/>
      <c r="GM3773" s="29"/>
      <c r="GN3773" s="29"/>
      <c r="GO3773" s="29"/>
      <c r="GP3773" s="29"/>
      <c r="GQ3773" s="29"/>
      <c r="GR3773" s="29"/>
      <c r="GS3773" s="29"/>
      <c r="GT3773" s="29"/>
      <c r="GU3773" s="29"/>
      <c r="GV3773" s="29"/>
      <c r="GW3773" s="29"/>
      <c r="GX3773" s="29"/>
      <c r="GY3773" s="29"/>
      <c r="GZ3773" s="29"/>
      <c r="HA3773" s="29"/>
      <c r="HB3773" s="29"/>
      <c r="HC3773" s="29"/>
      <c r="HD3773" s="29"/>
      <c r="HE3773" s="29"/>
      <c r="HF3773" s="29"/>
      <c r="HG3773" s="29"/>
      <c r="HH3773" s="29"/>
      <c r="HI3773" s="29"/>
      <c r="HJ3773" s="29"/>
      <c r="HK3773" s="29"/>
      <c r="HL3773" s="29"/>
      <c r="HM3773" s="29"/>
      <c r="HN3773" s="29"/>
      <c r="HO3773" s="29"/>
      <c r="HP3773" s="29"/>
      <c r="HQ3773" s="29"/>
      <c r="HR3773" s="29"/>
      <c r="HS3773" s="29"/>
      <c r="HT3773" s="29"/>
      <c r="HU3773" s="29"/>
      <c r="HV3773" s="29"/>
      <c r="HW3773" s="29"/>
      <c r="HX3773" s="29"/>
      <c r="HY3773" s="29"/>
      <c r="HZ3773" s="29"/>
      <c r="IA3773" s="29"/>
      <c r="IB3773" s="29"/>
      <c r="IC3773" s="29"/>
      <c r="ID3773" s="29"/>
      <c r="IE3773" s="29"/>
      <c r="IF3773" s="29"/>
      <c r="IG3773" s="29"/>
      <c r="IH3773" s="29"/>
      <c r="II3773" s="29"/>
      <c r="IJ3773" s="29"/>
      <c r="IK3773" s="29"/>
      <c r="IL3773" s="29"/>
      <c r="IM3773" s="29"/>
      <c r="IN3773" s="29"/>
      <c r="IO3773" s="29"/>
      <c r="IP3773" s="29"/>
      <c r="IQ3773" s="29"/>
      <c r="IR3773" s="29"/>
      <c r="IS3773" s="29"/>
      <c r="IT3773" s="29"/>
      <c r="IU3773" s="29"/>
      <c r="IV3773" s="29"/>
      <c r="IW3773" s="29"/>
      <c r="IX3773" s="29"/>
      <c r="IY3773" s="29"/>
      <c r="IZ3773" s="29"/>
      <c r="JA3773" s="29"/>
      <c r="JB3773" s="29"/>
    </row>
    <row r="3774" spans="1:262" s="28" customFormat="1">
      <c r="A3774" s="29"/>
      <c r="B3774" s="29"/>
      <c r="C3774" s="29"/>
      <c r="D3774" s="29"/>
      <c r="E3774" s="29"/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GK3774" s="29"/>
      <c r="GL3774" s="29"/>
      <c r="GM3774" s="29"/>
      <c r="GN3774" s="29"/>
      <c r="GO3774" s="29"/>
      <c r="GP3774" s="29"/>
      <c r="GQ3774" s="29"/>
      <c r="GR3774" s="29"/>
      <c r="GS3774" s="29"/>
      <c r="GT3774" s="29"/>
      <c r="GU3774" s="29"/>
      <c r="GV3774" s="29"/>
      <c r="GW3774" s="29"/>
      <c r="GX3774" s="29"/>
      <c r="GY3774" s="29"/>
      <c r="GZ3774" s="29"/>
      <c r="HA3774" s="29"/>
      <c r="HB3774" s="29"/>
      <c r="HC3774" s="29"/>
      <c r="HD3774" s="29"/>
      <c r="HE3774" s="29"/>
      <c r="HF3774" s="29"/>
      <c r="HG3774" s="29"/>
      <c r="HH3774" s="29"/>
      <c r="HI3774" s="29"/>
      <c r="HJ3774" s="29"/>
      <c r="HK3774" s="29"/>
      <c r="HL3774" s="29"/>
      <c r="HM3774" s="29"/>
      <c r="HN3774" s="29"/>
      <c r="HO3774" s="29"/>
      <c r="HP3774" s="29"/>
      <c r="HQ3774" s="29"/>
      <c r="HR3774" s="29"/>
      <c r="HS3774" s="29"/>
      <c r="HT3774" s="29"/>
      <c r="HU3774" s="29"/>
      <c r="HV3774" s="29"/>
      <c r="HW3774" s="29"/>
      <c r="HX3774" s="29"/>
      <c r="HY3774" s="29"/>
      <c r="HZ3774" s="29"/>
      <c r="IA3774" s="29"/>
      <c r="IB3774" s="29"/>
      <c r="IC3774" s="29"/>
      <c r="ID3774" s="29"/>
      <c r="IE3774" s="29"/>
      <c r="IF3774" s="29"/>
      <c r="IG3774" s="29"/>
      <c r="IH3774" s="29"/>
      <c r="II3774" s="29"/>
      <c r="IJ3774" s="29"/>
      <c r="IK3774" s="29"/>
      <c r="IL3774" s="29"/>
      <c r="IM3774" s="29"/>
      <c r="IN3774" s="29"/>
      <c r="IO3774" s="29"/>
      <c r="IP3774" s="29"/>
      <c r="IQ3774" s="29"/>
      <c r="IR3774" s="29"/>
      <c r="IS3774" s="29"/>
      <c r="IT3774" s="29"/>
      <c r="IU3774" s="29"/>
      <c r="IV3774" s="29"/>
      <c r="IW3774" s="29"/>
      <c r="IX3774" s="29"/>
      <c r="IY3774" s="29"/>
      <c r="IZ3774" s="29"/>
      <c r="JA3774" s="29"/>
      <c r="JB3774" s="29"/>
    </row>
    <row r="3775" spans="1:262" s="28" customFormat="1">
      <c r="A3775" s="29"/>
      <c r="B3775" s="29"/>
      <c r="C3775" s="29"/>
      <c r="D3775" s="29"/>
      <c r="E3775" s="29"/>
      <c r="F3775" s="29"/>
      <c r="G3775" s="29"/>
      <c r="H3775" s="29"/>
      <c r="I3775" s="29"/>
      <c r="J3775" s="29"/>
      <c r="K3775" s="29"/>
      <c r="L3775" s="29"/>
      <c r="M3775" s="29"/>
      <c r="N3775" s="29"/>
      <c r="O3775" s="29"/>
      <c r="P3775" s="29"/>
      <c r="Q3775" s="29"/>
      <c r="R3775" s="29"/>
      <c r="S3775" s="29"/>
      <c r="T3775" s="29"/>
      <c r="U3775" s="29"/>
      <c r="V3775" s="29"/>
      <c r="GK3775" s="29"/>
      <c r="GL3775" s="29"/>
      <c r="GM3775" s="29"/>
      <c r="GN3775" s="29"/>
      <c r="GO3775" s="29"/>
      <c r="GP3775" s="29"/>
      <c r="GQ3775" s="29"/>
      <c r="GR3775" s="29"/>
      <c r="GS3775" s="29"/>
      <c r="GT3775" s="29"/>
      <c r="GU3775" s="29"/>
      <c r="GV3775" s="29"/>
      <c r="GW3775" s="29"/>
      <c r="GX3775" s="29"/>
      <c r="GY3775" s="29"/>
      <c r="GZ3775" s="29"/>
      <c r="HA3775" s="29"/>
      <c r="HB3775" s="29"/>
      <c r="HC3775" s="29"/>
      <c r="HD3775" s="29"/>
      <c r="HE3775" s="29"/>
      <c r="HF3775" s="29"/>
      <c r="HG3775" s="29"/>
      <c r="HH3775" s="29"/>
      <c r="HI3775" s="29"/>
      <c r="HJ3775" s="29"/>
      <c r="HK3775" s="29"/>
      <c r="HL3775" s="29"/>
      <c r="HM3775" s="29"/>
      <c r="HN3775" s="29"/>
      <c r="HO3775" s="29"/>
      <c r="HP3775" s="29"/>
      <c r="HQ3775" s="29"/>
      <c r="HR3775" s="29"/>
      <c r="HS3775" s="29"/>
      <c r="HT3775" s="29"/>
      <c r="HU3775" s="29"/>
      <c r="HV3775" s="29"/>
      <c r="HW3775" s="29"/>
      <c r="HX3775" s="29"/>
      <c r="HY3775" s="29"/>
      <c r="HZ3775" s="29"/>
      <c r="IA3775" s="29"/>
      <c r="IB3775" s="29"/>
      <c r="IC3775" s="29"/>
      <c r="ID3775" s="29"/>
      <c r="IE3775" s="29"/>
      <c r="IF3775" s="29"/>
      <c r="IG3775" s="29"/>
      <c r="IH3775" s="29"/>
      <c r="II3775" s="29"/>
      <c r="IJ3775" s="29"/>
      <c r="IK3775" s="29"/>
      <c r="IL3775" s="29"/>
      <c r="IM3775" s="29"/>
      <c r="IN3775" s="29"/>
      <c r="IO3775" s="29"/>
      <c r="IP3775" s="29"/>
      <c r="IQ3775" s="29"/>
      <c r="IR3775" s="29"/>
      <c r="IS3775" s="29"/>
      <c r="IT3775" s="29"/>
      <c r="IU3775" s="29"/>
      <c r="IV3775" s="29"/>
      <c r="IW3775" s="29"/>
      <c r="IX3775" s="29"/>
      <c r="IY3775" s="29"/>
      <c r="IZ3775" s="29"/>
      <c r="JA3775" s="29"/>
      <c r="JB3775" s="29"/>
    </row>
    <row r="3776" spans="1:262" s="28" customFormat="1">
      <c r="A3776" s="29"/>
      <c r="B3776" s="29"/>
      <c r="C3776" s="29"/>
      <c r="D3776" s="29"/>
      <c r="E3776" s="29"/>
      <c r="F3776" s="29"/>
      <c r="G3776" s="29"/>
      <c r="H3776" s="29"/>
      <c r="I3776" s="29"/>
      <c r="J3776" s="29"/>
      <c r="K3776" s="29"/>
      <c r="L3776" s="29"/>
      <c r="M3776" s="29"/>
      <c r="N3776" s="29"/>
      <c r="O3776" s="29"/>
      <c r="P3776" s="29"/>
      <c r="Q3776" s="29"/>
      <c r="R3776" s="29"/>
      <c r="S3776" s="29"/>
      <c r="T3776" s="29"/>
      <c r="U3776" s="29"/>
      <c r="V3776" s="29"/>
      <c r="GK3776" s="29"/>
      <c r="GL3776" s="29"/>
      <c r="GM3776" s="29"/>
      <c r="GN3776" s="29"/>
      <c r="GO3776" s="29"/>
      <c r="GP3776" s="29"/>
      <c r="GQ3776" s="29"/>
      <c r="GR3776" s="29"/>
      <c r="GS3776" s="29"/>
      <c r="GT3776" s="29"/>
      <c r="GU3776" s="29"/>
      <c r="GV3776" s="29"/>
      <c r="GW3776" s="29"/>
      <c r="GX3776" s="29"/>
      <c r="GY3776" s="29"/>
      <c r="GZ3776" s="29"/>
      <c r="HA3776" s="29"/>
      <c r="HB3776" s="29"/>
      <c r="HC3776" s="29"/>
      <c r="HD3776" s="29"/>
      <c r="HE3776" s="29"/>
      <c r="HF3776" s="29"/>
      <c r="HG3776" s="29"/>
      <c r="HH3776" s="29"/>
      <c r="HI3776" s="29"/>
      <c r="HJ3776" s="29"/>
      <c r="HK3776" s="29"/>
      <c r="HL3776" s="29"/>
      <c r="HM3776" s="29"/>
      <c r="HN3776" s="29"/>
      <c r="HO3776" s="29"/>
      <c r="HP3776" s="29"/>
      <c r="HQ3776" s="29"/>
      <c r="HR3776" s="29"/>
      <c r="HS3776" s="29"/>
      <c r="HT3776" s="29"/>
      <c r="HU3776" s="29"/>
      <c r="HV3776" s="29"/>
      <c r="HW3776" s="29"/>
      <c r="HX3776" s="29"/>
      <c r="HY3776" s="29"/>
      <c r="HZ3776" s="29"/>
      <c r="IA3776" s="29"/>
      <c r="IB3776" s="29"/>
      <c r="IC3776" s="29"/>
      <c r="ID3776" s="29"/>
      <c r="IE3776" s="29"/>
      <c r="IF3776" s="29"/>
      <c r="IG3776" s="29"/>
      <c r="IH3776" s="29"/>
      <c r="II3776" s="29"/>
      <c r="IJ3776" s="29"/>
      <c r="IK3776" s="29"/>
      <c r="IL3776" s="29"/>
      <c r="IM3776" s="29"/>
      <c r="IN3776" s="29"/>
      <c r="IO3776" s="29"/>
      <c r="IP3776" s="29"/>
      <c r="IQ3776" s="29"/>
      <c r="IR3776" s="29"/>
      <c r="IS3776" s="29"/>
      <c r="IT3776" s="29"/>
      <c r="IU3776" s="29"/>
      <c r="IV3776" s="29"/>
      <c r="IW3776" s="29"/>
      <c r="IX3776" s="29"/>
      <c r="IY3776" s="29"/>
      <c r="IZ3776" s="29"/>
      <c r="JA3776" s="29"/>
      <c r="JB3776" s="29"/>
    </row>
    <row r="3777" spans="1:262" s="28" customFormat="1">
      <c r="A3777" s="29"/>
      <c r="B3777" s="29"/>
      <c r="C3777" s="29"/>
      <c r="D3777" s="29"/>
      <c r="E3777" s="29"/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GK3777" s="29"/>
      <c r="GL3777" s="29"/>
      <c r="GM3777" s="29"/>
      <c r="GN3777" s="29"/>
      <c r="GO3777" s="29"/>
      <c r="GP3777" s="29"/>
      <c r="GQ3777" s="29"/>
      <c r="GR3777" s="29"/>
      <c r="GS3777" s="29"/>
      <c r="GT3777" s="29"/>
      <c r="GU3777" s="29"/>
      <c r="GV3777" s="29"/>
      <c r="GW3777" s="29"/>
      <c r="GX3777" s="29"/>
      <c r="GY3777" s="29"/>
      <c r="GZ3777" s="29"/>
      <c r="HA3777" s="29"/>
      <c r="HB3777" s="29"/>
      <c r="HC3777" s="29"/>
      <c r="HD3777" s="29"/>
      <c r="HE3777" s="29"/>
      <c r="HF3777" s="29"/>
      <c r="HG3777" s="29"/>
      <c r="HH3777" s="29"/>
      <c r="HI3777" s="29"/>
      <c r="HJ3777" s="29"/>
      <c r="HK3777" s="29"/>
      <c r="HL3777" s="29"/>
      <c r="HM3777" s="29"/>
      <c r="HN3777" s="29"/>
      <c r="HO3777" s="29"/>
      <c r="HP3777" s="29"/>
      <c r="HQ3777" s="29"/>
      <c r="HR3777" s="29"/>
      <c r="HS3777" s="29"/>
      <c r="HT3777" s="29"/>
      <c r="HU3777" s="29"/>
      <c r="HV3777" s="29"/>
      <c r="HW3777" s="29"/>
      <c r="HX3777" s="29"/>
      <c r="HY3777" s="29"/>
      <c r="HZ3777" s="29"/>
      <c r="IA3777" s="29"/>
      <c r="IB3777" s="29"/>
      <c r="IC3777" s="29"/>
      <c r="ID3777" s="29"/>
      <c r="IE3777" s="29"/>
      <c r="IF3777" s="29"/>
      <c r="IG3777" s="29"/>
      <c r="IH3777" s="29"/>
      <c r="II3777" s="29"/>
      <c r="IJ3777" s="29"/>
      <c r="IK3777" s="29"/>
      <c r="IL3777" s="29"/>
      <c r="IM3777" s="29"/>
      <c r="IN3777" s="29"/>
      <c r="IO3777" s="29"/>
      <c r="IP3777" s="29"/>
      <c r="IQ3777" s="29"/>
      <c r="IR3777" s="29"/>
      <c r="IS3777" s="29"/>
      <c r="IT3777" s="29"/>
      <c r="IU3777" s="29"/>
      <c r="IV3777" s="29"/>
      <c r="IW3777" s="29"/>
      <c r="IX3777" s="29"/>
      <c r="IY3777" s="29"/>
      <c r="IZ3777" s="29"/>
      <c r="JA3777" s="29"/>
      <c r="JB3777" s="29"/>
    </row>
    <row r="3778" spans="1:262" s="28" customFormat="1">
      <c r="A3778" s="29"/>
      <c r="B3778" s="29"/>
      <c r="C3778" s="29"/>
      <c r="D3778" s="29"/>
      <c r="E3778" s="29"/>
      <c r="F3778" s="29"/>
      <c r="G3778" s="29"/>
      <c r="H3778" s="29"/>
      <c r="I3778" s="29"/>
      <c r="J3778" s="29"/>
      <c r="K3778" s="29"/>
      <c r="L3778" s="29"/>
      <c r="M3778" s="29"/>
      <c r="N3778" s="29"/>
      <c r="O3778" s="29"/>
      <c r="P3778" s="29"/>
      <c r="Q3778" s="29"/>
      <c r="R3778" s="29"/>
      <c r="S3778" s="29"/>
      <c r="T3778" s="29"/>
      <c r="U3778" s="29"/>
      <c r="V3778" s="29"/>
      <c r="GK3778" s="29"/>
      <c r="GL3778" s="29"/>
      <c r="GM3778" s="29"/>
      <c r="GN3778" s="29"/>
      <c r="GO3778" s="29"/>
      <c r="GP3778" s="29"/>
      <c r="GQ3778" s="29"/>
      <c r="GR3778" s="29"/>
      <c r="GS3778" s="29"/>
      <c r="GT3778" s="29"/>
      <c r="GU3778" s="29"/>
      <c r="GV3778" s="29"/>
      <c r="GW3778" s="29"/>
      <c r="GX3778" s="29"/>
      <c r="GY3778" s="29"/>
      <c r="GZ3778" s="29"/>
      <c r="HA3778" s="29"/>
      <c r="HB3778" s="29"/>
      <c r="HC3778" s="29"/>
      <c r="HD3778" s="29"/>
      <c r="HE3778" s="29"/>
      <c r="HF3778" s="29"/>
      <c r="HG3778" s="29"/>
      <c r="HH3778" s="29"/>
      <c r="HI3778" s="29"/>
      <c r="HJ3778" s="29"/>
      <c r="HK3778" s="29"/>
      <c r="HL3778" s="29"/>
      <c r="HM3778" s="29"/>
      <c r="HN3778" s="29"/>
      <c r="HO3778" s="29"/>
      <c r="HP3778" s="29"/>
      <c r="HQ3778" s="29"/>
      <c r="HR3778" s="29"/>
      <c r="HS3778" s="29"/>
      <c r="HT3778" s="29"/>
      <c r="HU3778" s="29"/>
      <c r="HV3778" s="29"/>
      <c r="HW3778" s="29"/>
      <c r="HX3778" s="29"/>
      <c r="HY3778" s="29"/>
      <c r="HZ3778" s="29"/>
      <c r="IA3778" s="29"/>
      <c r="IB3778" s="29"/>
      <c r="IC3778" s="29"/>
      <c r="ID3778" s="29"/>
      <c r="IE3778" s="29"/>
      <c r="IF3778" s="29"/>
      <c r="IG3778" s="29"/>
      <c r="IH3778" s="29"/>
      <c r="II3778" s="29"/>
      <c r="IJ3778" s="29"/>
      <c r="IK3778" s="29"/>
      <c r="IL3778" s="29"/>
      <c r="IM3778" s="29"/>
      <c r="IN3778" s="29"/>
      <c r="IO3778" s="29"/>
      <c r="IP3778" s="29"/>
      <c r="IQ3778" s="29"/>
      <c r="IR3778" s="29"/>
      <c r="IS3778" s="29"/>
      <c r="IT3778" s="29"/>
      <c r="IU3778" s="29"/>
      <c r="IV3778" s="29"/>
      <c r="IW3778" s="29"/>
      <c r="IX3778" s="29"/>
      <c r="IY3778" s="29"/>
      <c r="IZ3778" s="29"/>
      <c r="JA3778" s="29"/>
      <c r="JB3778" s="29"/>
    </row>
    <row r="3779" spans="1:262" s="28" customFormat="1">
      <c r="A3779" s="29"/>
      <c r="B3779" s="29"/>
      <c r="C3779" s="29"/>
      <c r="D3779" s="29"/>
      <c r="E3779" s="29"/>
      <c r="F3779" s="29"/>
      <c r="G3779" s="29"/>
      <c r="H3779" s="29"/>
      <c r="I3779" s="29"/>
      <c r="J3779" s="29"/>
      <c r="K3779" s="29"/>
      <c r="L3779" s="29"/>
      <c r="M3779" s="29"/>
      <c r="N3779" s="29"/>
      <c r="O3779" s="29"/>
      <c r="P3779" s="29"/>
      <c r="Q3779" s="29"/>
      <c r="R3779" s="29"/>
      <c r="S3779" s="29"/>
      <c r="T3779" s="29"/>
      <c r="U3779" s="29"/>
      <c r="V3779" s="29"/>
      <c r="GK3779" s="29"/>
      <c r="GL3779" s="29"/>
      <c r="GM3779" s="29"/>
      <c r="GN3779" s="29"/>
      <c r="GO3779" s="29"/>
      <c r="GP3779" s="29"/>
      <c r="GQ3779" s="29"/>
      <c r="GR3779" s="29"/>
      <c r="GS3779" s="29"/>
      <c r="GT3779" s="29"/>
      <c r="GU3779" s="29"/>
      <c r="GV3779" s="29"/>
      <c r="GW3779" s="29"/>
      <c r="GX3779" s="29"/>
      <c r="GY3779" s="29"/>
      <c r="GZ3779" s="29"/>
      <c r="HA3779" s="29"/>
      <c r="HB3779" s="29"/>
      <c r="HC3779" s="29"/>
      <c r="HD3779" s="29"/>
      <c r="HE3779" s="29"/>
      <c r="HF3779" s="29"/>
      <c r="HG3779" s="29"/>
      <c r="HH3779" s="29"/>
      <c r="HI3779" s="29"/>
      <c r="HJ3779" s="29"/>
      <c r="HK3779" s="29"/>
      <c r="HL3779" s="29"/>
      <c r="HM3779" s="29"/>
      <c r="HN3779" s="29"/>
      <c r="HO3779" s="29"/>
      <c r="HP3779" s="29"/>
      <c r="HQ3779" s="29"/>
      <c r="HR3779" s="29"/>
      <c r="HS3779" s="29"/>
      <c r="HT3779" s="29"/>
      <c r="HU3779" s="29"/>
      <c r="HV3779" s="29"/>
      <c r="HW3779" s="29"/>
      <c r="HX3779" s="29"/>
      <c r="HY3779" s="29"/>
      <c r="HZ3779" s="29"/>
      <c r="IA3779" s="29"/>
      <c r="IB3779" s="29"/>
      <c r="IC3779" s="29"/>
      <c r="ID3779" s="29"/>
      <c r="IE3779" s="29"/>
      <c r="IF3779" s="29"/>
      <c r="IG3779" s="29"/>
      <c r="IH3779" s="29"/>
      <c r="II3779" s="29"/>
      <c r="IJ3779" s="29"/>
      <c r="IK3779" s="29"/>
      <c r="IL3779" s="29"/>
      <c r="IM3779" s="29"/>
      <c r="IN3779" s="29"/>
      <c r="IO3779" s="29"/>
      <c r="IP3779" s="29"/>
      <c r="IQ3779" s="29"/>
      <c r="IR3779" s="29"/>
      <c r="IS3779" s="29"/>
      <c r="IT3779" s="29"/>
      <c r="IU3779" s="29"/>
      <c r="IV3779" s="29"/>
      <c r="IW3779" s="29"/>
      <c r="IX3779" s="29"/>
      <c r="IY3779" s="29"/>
      <c r="IZ3779" s="29"/>
      <c r="JA3779" s="29"/>
      <c r="JB3779" s="29"/>
    </row>
    <row r="3780" spans="1:262" s="28" customFormat="1">
      <c r="A3780" s="29"/>
      <c r="B3780" s="29"/>
      <c r="C3780" s="29"/>
      <c r="D3780" s="29"/>
      <c r="E3780" s="29"/>
      <c r="F3780" s="29"/>
      <c r="G3780" s="29"/>
      <c r="H3780" s="29"/>
      <c r="I3780" s="29"/>
      <c r="J3780" s="29"/>
      <c r="K3780" s="29"/>
      <c r="L3780" s="29"/>
      <c r="M3780" s="29"/>
      <c r="N3780" s="29"/>
      <c r="O3780" s="29"/>
      <c r="P3780" s="29"/>
      <c r="Q3780" s="29"/>
      <c r="R3780" s="29"/>
      <c r="S3780" s="29"/>
      <c r="T3780" s="29"/>
      <c r="U3780" s="29"/>
      <c r="V3780" s="29"/>
      <c r="GK3780" s="29"/>
      <c r="GL3780" s="29"/>
      <c r="GM3780" s="29"/>
      <c r="GN3780" s="29"/>
      <c r="GO3780" s="29"/>
      <c r="GP3780" s="29"/>
      <c r="GQ3780" s="29"/>
      <c r="GR3780" s="29"/>
      <c r="GS3780" s="29"/>
      <c r="GT3780" s="29"/>
      <c r="GU3780" s="29"/>
      <c r="GV3780" s="29"/>
      <c r="GW3780" s="29"/>
      <c r="GX3780" s="29"/>
      <c r="GY3780" s="29"/>
      <c r="GZ3780" s="29"/>
      <c r="HA3780" s="29"/>
      <c r="HB3780" s="29"/>
      <c r="HC3780" s="29"/>
      <c r="HD3780" s="29"/>
      <c r="HE3780" s="29"/>
      <c r="HF3780" s="29"/>
      <c r="HG3780" s="29"/>
      <c r="HH3780" s="29"/>
      <c r="HI3780" s="29"/>
      <c r="HJ3780" s="29"/>
      <c r="HK3780" s="29"/>
      <c r="HL3780" s="29"/>
      <c r="HM3780" s="29"/>
      <c r="HN3780" s="29"/>
      <c r="HO3780" s="29"/>
      <c r="HP3780" s="29"/>
      <c r="HQ3780" s="29"/>
      <c r="HR3780" s="29"/>
      <c r="HS3780" s="29"/>
      <c r="HT3780" s="29"/>
      <c r="HU3780" s="29"/>
      <c r="HV3780" s="29"/>
      <c r="HW3780" s="29"/>
      <c r="HX3780" s="29"/>
      <c r="HY3780" s="29"/>
      <c r="HZ3780" s="29"/>
      <c r="IA3780" s="29"/>
      <c r="IB3780" s="29"/>
      <c r="IC3780" s="29"/>
      <c r="ID3780" s="29"/>
      <c r="IE3780" s="29"/>
      <c r="IF3780" s="29"/>
      <c r="IG3780" s="29"/>
      <c r="IH3780" s="29"/>
      <c r="II3780" s="29"/>
      <c r="IJ3780" s="29"/>
      <c r="IK3780" s="29"/>
      <c r="IL3780" s="29"/>
      <c r="IM3780" s="29"/>
      <c r="IN3780" s="29"/>
      <c r="IO3780" s="29"/>
      <c r="IP3780" s="29"/>
      <c r="IQ3780" s="29"/>
      <c r="IR3780" s="29"/>
      <c r="IS3780" s="29"/>
      <c r="IT3780" s="29"/>
      <c r="IU3780" s="29"/>
      <c r="IV3780" s="29"/>
      <c r="IW3780" s="29"/>
      <c r="IX3780" s="29"/>
      <c r="IY3780" s="29"/>
      <c r="IZ3780" s="29"/>
      <c r="JA3780" s="29"/>
      <c r="JB3780" s="29"/>
    </row>
    <row r="3781" spans="1:262" s="28" customFormat="1">
      <c r="A3781" s="29"/>
      <c r="B3781" s="29"/>
      <c r="C3781" s="29"/>
      <c r="D3781" s="29"/>
      <c r="E3781" s="29"/>
      <c r="F3781" s="29"/>
      <c r="G3781" s="29"/>
      <c r="H3781" s="29"/>
      <c r="I3781" s="29"/>
      <c r="J3781" s="29"/>
      <c r="K3781" s="29"/>
      <c r="L3781" s="29"/>
      <c r="M3781" s="29"/>
      <c r="N3781" s="29"/>
      <c r="O3781" s="29"/>
      <c r="P3781" s="29"/>
      <c r="Q3781" s="29"/>
      <c r="R3781" s="29"/>
      <c r="S3781" s="29"/>
      <c r="T3781" s="29"/>
      <c r="U3781" s="29"/>
      <c r="V3781" s="29"/>
      <c r="GK3781" s="29"/>
      <c r="GL3781" s="29"/>
      <c r="GM3781" s="29"/>
      <c r="GN3781" s="29"/>
      <c r="GO3781" s="29"/>
      <c r="GP3781" s="29"/>
      <c r="GQ3781" s="29"/>
      <c r="GR3781" s="29"/>
      <c r="GS3781" s="29"/>
      <c r="GT3781" s="29"/>
      <c r="GU3781" s="29"/>
      <c r="GV3781" s="29"/>
      <c r="GW3781" s="29"/>
      <c r="GX3781" s="29"/>
      <c r="GY3781" s="29"/>
      <c r="GZ3781" s="29"/>
      <c r="HA3781" s="29"/>
      <c r="HB3781" s="29"/>
      <c r="HC3781" s="29"/>
      <c r="HD3781" s="29"/>
      <c r="HE3781" s="29"/>
      <c r="HF3781" s="29"/>
      <c r="HG3781" s="29"/>
      <c r="HH3781" s="29"/>
      <c r="HI3781" s="29"/>
      <c r="HJ3781" s="29"/>
      <c r="HK3781" s="29"/>
      <c r="HL3781" s="29"/>
      <c r="HM3781" s="29"/>
      <c r="HN3781" s="29"/>
      <c r="HO3781" s="29"/>
      <c r="HP3781" s="29"/>
      <c r="HQ3781" s="29"/>
      <c r="HR3781" s="29"/>
      <c r="HS3781" s="29"/>
      <c r="HT3781" s="29"/>
      <c r="HU3781" s="29"/>
      <c r="HV3781" s="29"/>
      <c r="HW3781" s="29"/>
      <c r="HX3781" s="29"/>
      <c r="HY3781" s="29"/>
      <c r="HZ3781" s="29"/>
      <c r="IA3781" s="29"/>
      <c r="IB3781" s="29"/>
      <c r="IC3781" s="29"/>
      <c r="ID3781" s="29"/>
      <c r="IE3781" s="29"/>
      <c r="IF3781" s="29"/>
      <c r="IG3781" s="29"/>
      <c r="IH3781" s="29"/>
      <c r="II3781" s="29"/>
      <c r="IJ3781" s="29"/>
      <c r="IK3781" s="29"/>
      <c r="IL3781" s="29"/>
      <c r="IM3781" s="29"/>
      <c r="IN3781" s="29"/>
      <c r="IO3781" s="29"/>
      <c r="IP3781" s="29"/>
      <c r="IQ3781" s="29"/>
      <c r="IR3781" s="29"/>
      <c r="IS3781" s="29"/>
      <c r="IT3781" s="29"/>
      <c r="IU3781" s="29"/>
      <c r="IV3781" s="29"/>
      <c r="IW3781" s="29"/>
      <c r="IX3781" s="29"/>
      <c r="IY3781" s="29"/>
      <c r="IZ3781" s="29"/>
      <c r="JA3781" s="29"/>
      <c r="JB3781" s="29"/>
    </row>
    <row r="3782" spans="1:262" s="28" customFormat="1">
      <c r="A3782" s="29"/>
      <c r="B3782" s="29"/>
      <c r="C3782" s="29"/>
      <c r="D3782" s="29"/>
      <c r="E3782" s="29"/>
      <c r="F3782" s="29"/>
      <c r="G3782" s="29"/>
      <c r="H3782" s="29"/>
      <c r="I3782" s="29"/>
      <c r="J3782" s="29"/>
      <c r="K3782" s="29"/>
      <c r="L3782" s="29"/>
      <c r="M3782" s="29"/>
      <c r="N3782" s="29"/>
      <c r="O3782" s="29"/>
      <c r="P3782" s="29"/>
      <c r="Q3782" s="29"/>
      <c r="R3782" s="29"/>
      <c r="S3782" s="29"/>
      <c r="T3782" s="29"/>
      <c r="U3782" s="29"/>
      <c r="V3782" s="29"/>
      <c r="GK3782" s="29"/>
      <c r="GL3782" s="29"/>
      <c r="GM3782" s="29"/>
      <c r="GN3782" s="29"/>
      <c r="GO3782" s="29"/>
      <c r="GP3782" s="29"/>
      <c r="GQ3782" s="29"/>
      <c r="GR3782" s="29"/>
      <c r="GS3782" s="29"/>
      <c r="GT3782" s="29"/>
      <c r="GU3782" s="29"/>
      <c r="GV3782" s="29"/>
      <c r="GW3782" s="29"/>
      <c r="GX3782" s="29"/>
      <c r="GY3782" s="29"/>
      <c r="GZ3782" s="29"/>
      <c r="HA3782" s="29"/>
      <c r="HB3782" s="29"/>
      <c r="HC3782" s="29"/>
      <c r="HD3782" s="29"/>
      <c r="HE3782" s="29"/>
      <c r="HF3782" s="29"/>
      <c r="HG3782" s="29"/>
      <c r="HH3782" s="29"/>
      <c r="HI3782" s="29"/>
      <c r="HJ3782" s="29"/>
      <c r="HK3782" s="29"/>
      <c r="HL3782" s="29"/>
      <c r="HM3782" s="29"/>
      <c r="HN3782" s="29"/>
      <c r="HO3782" s="29"/>
      <c r="HP3782" s="29"/>
      <c r="HQ3782" s="29"/>
      <c r="HR3782" s="29"/>
      <c r="HS3782" s="29"/>
      <c r="HT3782" s="29"/>
      <c r="HU3782" s="29"/>
      <c r="HV3782" s="29"/>
      <c r="HW3782" s="29"/>
      <c r="HX3782" s="29"/>
      <c r="HY3782" s="29"/>
      <c r="HZ3782" s="29"/>
      <c r="IA3782" s="29"/>
      <c r="IB3782" s="29"/>
      <c r="IC3782" s="29"/>
      <c r="ID3782" s="29"/>
      <c r="IE3782" s="29"/>
      <c r="IF3782" s="29"/>
      <c r="IG3782" s="29"/>
      <c r="IH3782" s="29"/>
      <c r="II3782" s="29"/>
      <c r="IJ3782" s="29"/>
      <c r="IK3782" s="29"/>
      <c r="IL3782" s="29"/>
      <c r="IM3782" s="29"/>
      <c r="IN3782" s="29"/>
      <c r="IO3782" s="29"/>
      <c r="IP3782" s="29"/>
      <c r="IQ3782" s="29"/>
      <c r="IR3782" s="29"/>
      <c r="IS3782" s="29"/>
      <c r="IT3782" s="29"/>
      <c r="IU3782" s="29"/>
      <c r="IV3782" s="29"/>
      <c r="IW3782" s="29"/>
      <c r="IX3782" s="29"/>
      <c r="IY3782" s="29"/>
      <c r="IZ3782" s="29"/>
      <c r="JA3782" s="29"/>
      <c r="JB3782" s="29"/>
    </row>
    <row r="3783" spans="1:262" s="28" customFormat="1">
      <c r="A3783" s="29"/>
      <c r="B3783" s="29"/>
      <c r="C3783" s="29"/>
      <c r="D3783" s="29"/>
      <c r="E3783" s="29"/>
      <c r="F3783" s="29"/>
      <c r="G3783" s="29"/>
      <c r="H3783" s="29"/>
      <c r="I3783" s="29"/>
      <c r="J3783" s="29"/>
      <c r="K3783" s="29"/>
      <c r="L3783" s="29"/>
      <c r="M3783" s="29"/>
      <c r="N3783" s="29"/>
      <c r="O3783" s="29"/>
      <c r="P3783" s="29"/>
      <c r="Q3783" s="29"/>
      <c r="R3783" s="29"/>
      <c r="S3783" s="29"/>
      <c r="T3783" s="29"/>
      <c r="U3783" s="29"/>
      <c r="V3783" s="29"/>
      <c r="GK3783" s="29"/>
      <c r="GL3783" s="29"/>
      <c r="GM3783" s="29"/>
      <c r="GN3783" s="29"/>
      <c r="GO3783" s="29"/>
      <c r="GP3783" s="29"/>
      <c r="GQ3783" s="29"/>
      <c r="GR3783" s="29"/>
      <c r="GS3783" s="29"/>
      <c r="GT3783" s="29"/>
      <c r="GU3783" s="29"/>
      <c r="GV3783" s="29"/>
      <c r="GW3783" s="29"/>
      <c r="GX3783" s="29"/>
      <c r="GY3783" s="29"/>
      <c r="GZ3783" s="29"/>
      <c r="HA3783" s="29"/>
      <c r="HB3783" s="29"/>
      <c r="HC3783" s="29"/>
      <c r="HD3783" s="29"/>
      <c r="HE3783" s="29"/>
      <c r="HF3783" s="29"/>
      <c r="HG3783" s="29"/>
      <c r="HH3783" s="29"/>
      <c r="HI3783" s="29"/>
      <c r="HJ3783" s="29"/>
      <c r="HK3783" s="29"/>
      <c r="HL3783" s="29"/>
      <c r="HM3783" s="29"/>
      <c r="HN3783" s="29"/>
      <c r="HO3783" s="29"/>
      <c r="HP3783" s="29"/>
      <c r="HQ3783" s="29"/>
      <c r="HR3783" s="29"/>
      <c r="HS3783" s="29"/>
      <c r="HT3783" s="29"/>
      <c r="HU3783" s="29"/>
      <c r="HV3783" s="29"/>
      <c r="HW3783" s="29"/>
      <c r="HX3783" s="29"/>
      <c r="HY3783" s="29"/>
      <c r="HZ3783" s="29"/>
      <c r="IA3783" s="29"/>
      <c r="IB3783" s="29"/>
      <c r="IC3783" s="29"/>
      <c r="ID3783" s="29"/>
      <c r="IE3783" s="29"/>
      <c r="IF3783" s="29"/>
      <c r="IG3783" s="29"/>
      <c r="IH3783" s="29"/>
      <c r="II3783" s="29"/>
      <c r="IJ3783" s="29"/>
      <c r="IK3783" s="29"/>
      <c r="IL3783" s="29"/>
      <c r="IM3783" s="29"/>
      <c r="IN3783" s="29"/>
      <c r="IO3783" s="29"/>
      <c r="IP3783" s="29"/>
      <c r="IQ3783" s="29"/>
      <c r="IR3783" s="29"/>
      <c r="IS3783" s="29"/>
      <c r="IT3783" s="29"/>
      <c r="IU3783" s="29"/>
      <c r="IV3783" s="29"/>
      <c r="IW3783" s="29"/>
      <c r="IX3783" s="29"/>
      <c r="IY3783" s="29"/>
      <c r="IZ3783" s="29"/>
      <c r="JA3783" s="29"/>
      <c r="JB3783" s="29"/>
    </row>
    <row r="3784" spans="1:262" s="28" customFormat="1">
      <c r="A3784" s="29"/>
      <c r="B3784" s="29"/>
      <c r="C3784" s="29"/>
      <c r="D3784" s="29"/>
      <c r="E3784" s="29"/>
      <c r="F3784" s="29"/>
      <c r="G3784" s="29"/>
      <c r="H3784" s="29"/>
      <c r="I3784" s="29"/>
      <c r="J3784" s="29"/>
      <c r="K3784" s="29"/>
      <c r="L3784" s="29"/>
      <c r="M3784" s="29"/>
      <c r="N3784" s="29"/>
      <c r="O3784" s="29"/>
      <c r="P3784" s="29"/>
      <c r="Q3784" s="29"/>
      <c r="R3784" s="29"/>
      <c r="S3784" s="29"/>
      <c r="T3784" s="29"/>
      <c r="U3784" s="29"/>
      <c r="V3784" s="29"/>
      <c r="GK3784" s="29"/>
      <c r="GL3784" s="29"/>
      <c r="GM3784" s="29"/>
      <c r="GN3784" s="29"/>
      <c r="GO3784" s="29"/>
      <c r="GP3784" s="29"/>
      <c r="GQ3784" s="29"/>
      <c r="GR3784" s="29"/>
      <c r="GS3784" s="29"/>
      <c r="GT3784" s="29"/>
      <c r="GU3784" s="29"/>
      <c r="GV3784" s="29"/>
      <c r="GW3784" s="29"/>
      <c r="GX3784" s="29"/>
      <c r="GY3784" s="29"/>
      <c r="GZ3784" s="29"/>
      <c r="HA3784" s="29"/>
      <c r="HB3784" s="29"/>
      <c r="HC3784" s="29"/>
      <c r="HD3784" s="29"/>
      <c r="HE3784" s="29"/>
      <c r="HF3784" s="29"/>
      <c r="HG3784" s="29"/>
      <c r="HH3784" s="29"/>
      <c r="HI3784" s="29"/>
      <c r="HJ3784" s="29"/>
      <c r="HK3784" s="29"/>
      <c r="HL3784" s="29"/>
      <c r="HM3784" s="29"/>
      <c r="HN3784" s="29"/>
      <c r="HO3784" s="29"/>
      <c r="HP3784" s="29"/>
      <c r="HQ3784" s="29"/>
      <c r="HR3784" s="29"/>
      <c r="HS3784" s="29"/>
      <c r="HT3784" s="29"/>
      <c r="HU3784" s="29"/>
      <c r="HV3784" s="29"/>
      <c r="HW3784" s="29"/>
      <c r="HX3784" s="29"/>
      <c r="HY3784" s="29"/>
      <c r="HZ3784" s="29"/>
      <c r="IA3784" s="29"/>
      <c r="IB3784" s="29"/>
      <c r="IC3784" s="29"/>
      <c r="ID3784" s="29"/>
      <c r="IE3784" s="29"/>
      <c r="IF3784" s="29"/>
      <c r="IG3784" s="29"/>
      <c r="IH3784" s="29"/>
      <c r="II3784" s="29"/>
      <c r="IJ3784" s="29"/>
      <c r="IK3784" s="29"/>
      <c r="IL3784" s="29"/>
      <c r="IM3784" s="29"/>
      <c r="IN3784" s="29"/>
      <c r="IO3784" s="29"/>
      <c r="IP3784" s="29"/>
      <c r="IQ3784" s="29"/>
      <c r="IR3784" s="29"/>
      <c r="IS3784" s="29"/>
      <c r="IT3784" s="29"/>
      <c r="IU3784" s="29"/>
      <c r="IV3784" s="29"/>
      <c r="IW3784" s="29"/>
      <c r="IX3784" s="29"/>
      <c r="IY3784" s="29"/>
      <c r="IZ3784" s="29"/>
      <c r="JA3784" s="29"/>
      <c r="JB3784" s="29"/>
    </row>
    <row r="3785" spans="1:262" s="28" customFormat="1">
      <c r="A3785" s="29"/>
      <c r="B3785" s="29"/>
      <c r="C3785" s="29"/>
      <c r="D3785" s="29"/>
      <c r="E3785" s="29"/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29"/>
      <c r="S3785" s="29"/>
      <c r="T3785" s="29"/>
      <c r="U3785" s="29"/>
      <c r="V3785" s="29"/>
      <c r="GK3785" s="29"/>
      <c r="GL3785" s="29"/>
      <c r="GM3785" s="29"/>
      <c r="GN3785" s="29"/>
      <c r="GO3785" s="29"/>
      <c r="GP3785" s="29"/>
      <c r="GQ3785" s="29"/>
      <c r="GR3785" s="29"/>
      <c r="GS3785" s="29"/>
      <c r="GT3785" s="29"/>
      <c r="GU3785" s="29"/>
      <c r="GV3785" s="29"/>
      <c r="GW3785" s="29"/>
      <c r="GX3785" s="29"/>
      <c r="GY3785" s="29"/>
      <c r="GZ3785" s="29"/>
      <c r="HA3785" s="29"/>
      <c r="HB3785" s="29"/>
      <c r="HC3785" s="29"/>
      <c r="HD3785" s="29"/>
      <c r="HE3785" s="29"/>
      <c r="HF3785" s="29"/>
      <c r="HG3785" s="29"/>
      <c r="HH3785" s="29"/>
      <c r="HI3785" s="29"/>
      <c r="HJ3785" s="29"/>
      <c r="HK3785" s="29"/>
      <c r="HL3785" s="29"/>
      <c r="HM3785" s="29"/>
      <c r="HN3785" s="29"/>
      <c r="HO3785" s="29"/>
      <c r="HP3785" s="29"/>
      <c r="HQ3785" s="29"/>
      <c r="HR3785" s="29"/>
      <c r="HS3785" s="29"/>
      <c r="HT3785" s="29"/>
      <c r="HU3785" s="29"/>
      <c r="HV3785" s="29"/>
      <c r="HW3785" s="29"/>
      <c r="HX3785" s="29"/>
      <c r="HY3785" s="29"/>
      <c r="HZ3785" s="29"/>
      <c r="IA3785" s="29"/>
      <c r="IB3785" s="29"/>
      <c r="IC3785" s="29"/>
      <c r="ID3785" s="29"/>
      <c r="IE3785" s="29"/>
      <c r="IF3785" s="29"/>
      <c r="IG3785" s="29"/>
      <c r="IH3785" s="29"/>
      <c r="II3785" s="29"/>
      <c r="IJ3785" s="29"/>
      <c r="IK3785" s="29"/>
      <c r="IL3785" s="29"/>
      <c r="IM3785" s="29"/>
      <c r="IN3785" s="29"/>
      <c r="IO3785" s="29"/>
      <c r="IP3785" s="29"/>
      <c r="IQ3785" s="29"/>
      <c r="IR3785" s="29"/>
      <c r="IS3785" s="29"/>
      <c r="IT3785" s="29"/>
      <c r="IU3785" s="29"/>
      <c r="IV3785" s="29"/>
      <c r="IW3785" s="29"/>
      <c r="IX3785" s="29"/>
      <c r="IY3785" s="29"/>
      <c r="IZ3785" s="29"/>
      <c r="JA3785" s="29"/>
      <c r="JB3785" s="29"/>
    </row>
    <row r="3786" spans="1:262" s="28" customFormat="1">
      <c r="A3786" s="29"/>
      <c r="B3786" s="29"/>
      <c r="C3786" s="29"/>
      <c r="D3786" s="29"/>
      <c r="E3786" s="29"/>
      <c r="F3786" s="29"/>
      <c r="G3786" s="29"/>
      <c r="H3786" s="29"/>
      <c r="I3786" s="29"/>
      <c r="J3786" s="29"/>
      <c r="K3786" s="29"/>
      <c r="L3786" s="29"/>
      <c r="M3786" s="29"/>
      <c r="N3786" s="29"/>
      <c r="O3786" s="29"/>
      <c r="P3786" s="29"/>
      <c r="Q3786" s="29"/>
      <c r="R3786" s="29"/>
      <c r="S3786" s="29"/>
      <c r="T3786" s="29"/>
      <c r="U3786" s="29"/>
      <c r="V3786" s="29"/>
      <c r="GK3786" s="29"/>
      <c r="GL3786" s="29"/>
      <c r="GM3786" s="29"/>
      <c r="GN3786" s="29"/>
      <c r="GO3786" s="29"/>
      <c r="GP3786" s="29"/>
      <c r="GQ3786" s="29"/>
      <c r="GR3786" s="29"/>
      <c r="GS3786" s="29"/>
      <c r="GT3786" s="29"/>
      <c r="GU3786" s="29"/>
      <c r="GV3786" s="29"/>
      <c r="GW3786" s="29"/>
      <c r="GX3786" s="29"/>
      <c r="GY3786" s="29"/>
      <c r="GZ3786" s="29"/>
      <c r="HA3786" s="29"/>
      <c r="HB3786" s="29"/>
      <c r="HC3786" s="29"/>
      <c r="HD3786" s="29"/>
      <c r="HE3786" s="29"/>
      <c r="HF3786" s="29"/>
      <c r="HG3786" s="29"/>
      <c r="HH3786" s="29"/>
      <c r="HI3786" s="29"/>
      <c r="HJ3786" s="29"/>
      <c r="HK3786" s="29"/>
      <c r="HL3786" s="29"/>
      <c r="HM3786" s="29"/>
      <c r="HN3786" s="29"/>
      <c r="HO3786" s="29"/>
      <c r="HP3786" s="29"/>
      <c r="HQ3786" s="29"/>
      <c r="HR3786" s="29"/>
      <c r="HS3786" s="29"/>
      <c r="HT3786" s="29"/>
      <c r="HU3786" s="29"/>
      <c r="HV3786" s="29"/>
      <c r="HW3786" s="29"/>
      <c r="HX3786" s="29"/>
      <c r="HY3786" s="29"/>
      <c r="HZ3786" s="29"/>
      <c r="IA3786" s="29"/>
      <c r="IB3786" s="29"/>
      <c r="IC3786" s="29"/>
      <c r="ID3786" s="29"/>
      <c r="IE3786" s="29"/>
      <c r="IF3786" s="29"/>
      <c r="IG3786" s="29"/>
      <c r="IH3786" s="29"/>
      <c r="II3786" s="29"/>
      <c r="IJ3786" s="29"/>
      <c r="IK3786" s="29"/>
      <c r="IL3786" s="29"/>
      <c r="IM3786" s="29"/>
      <c r="IN3786" s="29"/>
      <c r="IO3786" s="29"/>
      <c r="IP3786" s="29"/>
      <c r="IQ3786" s="29"/>
      <c r="IR3786" s="29"/>
      <c r="IS3786" s="29"/>
      <c r="IT3786" s="29"/>
      <c r="IU3786" s="29"/>
      <c r="IV3786" s="29"/>
      <c r="IW3786" s="29"/>
      <c r="IX3786" s="29"/>
      <c r="IY3786" s="29"/>
      <c r="IZ3786" s="29"/>
      <c r="JA3786" s="29"/>
      <c r="JB3786" s="29"/>
    </row>
    <row r="3787" spans="1:262" s="28" customFormat="1">
      <c r="A3787" s="29"/>
      <c r="B3787" s="29"/>
      <c r="C3787" s="29"/>
      <c r="D3787" s="29"/>
      <c r="E3787" s="29"/>
      <c r="F3787" s="29"/>
      <c r="G3787" s="29"/>
      <c r="H3787" s="29"/>
      <c r="I3787" s="29"/>
      <c r="J3787" s="29"/>
      <c r="K3787" s="29"/>
      <c r="L3787" s="29"/>
      <c r="M3787" s="29"/>
      <c r="N3787" s="29"/>
      <c r="O3787" s="29"/>
      <c r="P3787" s="29"/>
      <c r="Q3787" s="29"/>
      <c r="R3787" s="29"/>
      <c r="S3787" s="29"/>
      <c r="T3787" s="29"/>
      <c r="U3787" s="29"/>
      <c r="V3787" s="29"/>
      <c r="GK3787" s="29"/>
      <c r="GL3787" s="29"/>
      <c r="GM3787" s="29"/>
      <c r="GN3787" s="29"/>
      <c r="GO3787" s="29"/>
      <c r="GP3787" s="29"/>
      <c r="GQ3787" s="29"/>
      <c r="GR3787" s="29"/>
      <c r="GS3787" s="29"/>
      <c r="GT3787" s="29"/>
      <c r="GU3787" s="29"/>
      <c r="GV3787" s="29"/>
      <c r="GW3787" s="29"/>
      <c r="GX3787" s="29"/>
      <c r="GY3787" s="29"/>
      <c r="GZ3787" s="29"/>
      <c r="HA3787" s="29"/>
      <c r="HB3787" s="29"/>
      <c r="HC3787" s="29"/>
      <c r="HD3787" s="29"/>
      <c r="HE3787" s="29"/>
      <c r="HF3787" s="29"/>
      <c r="HG3787" s="29"/>
      <c r="HH3787" s="29"/>
      <c r="HI3787" s="29"/>
      <c r="HJ3787" s="29"/>
      <c r="HK3787" s="29"/>
      <c r="HL3787" s="29"/>
      <c r="HM3787" s="29"/>
      <c r="HN3787" s="29"/>
      <c r="HO3787" s="29"/>
      <c r="HP3787" s="29"/>
      <c r="HQ3787" s="29"/>
      <c r="HR3787" s="29"/>
      <c r="HS3787" s="29"/>
      <c r="HT3787" s="29"/>
      <c r="HU3787" s="29"/>
      <c r="HV3787" s="29"/>
      <c r="HW3787" s="29"/>
      <c r="HX3787" s="29"/>
      <c r="HY3787" s="29"/>
      <c r="HZ3787" s="29"/>
      <c r="IA3787" s="29"/>
      <c r="IB3787" s="29"/>
      <c r="IC3787" s="29"/>
      <c r="ID3787" s="29"/>
      <c r="IE3787" s="29"/>
      <c r="IF3787" s="29"/>
      <c r="IG3787" s="29"/>
      <c r="IH3787" s="29"/>
      <c r="II3787" s="29"/>
      <c r="IJ3787" s="29"/>
      <c r="IK3787" s="29"/>
      <c r="IL3787" s="29"/>
      <c r="IM3787" s="29"/>
      <c r="IN3787" s="29"/>
      <c r="IO3787" s="29"/>
      <c r="IP3787" s="29"/>
      <c r="IQ3787" s="29"/>
      <c r="IR3787" s="29"/>
      <c r="IS3787" s="29"/>
      <c r="IT3787" s="29"/>
      <c r="IU3787" s="29"/>
      <c r="IV3787" s="29"/>
      <c r="IW3787" s="29"/>
      <c r="IX3787" s="29"/>
      <c r="IY3787" s="29"/>
      <c r="IZ3787" s="29"/>
      <c r="JA3787" s="29"/>
      <c r="JB3787" s="29"/>
    </row>
    <row r="3788" spans="1:262" s="28" customFormat="1">
      <c r="A3788" s="29"/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  <c r="M3788" s="29"/>
      <c r="N3788" s="29"/>
      <c r="O3788" s="29"/>
      <c r="P3788" s="29"/>
      <c r="Q3788" s="29"/>
      <c r="R3788" s="29"/>
      <c r="S3788" s="29"/>
      <c r="T3788" s="29"/>
      <c r="U3788" s="29"/>
      <c r="V3788" s="29"/>
      <c r="GK3788" s="29"/>
      <c r="GL3788" s="29"/>
      <c r="GM3788" s="29"/>
      <c r="GN3788" s="29"/>
      <c r="GO3788" s="29"/>
      <c r="GP3788" s="29"/>
      <c r="GQ3788" s="29"/>
      <c r="GR3788" s="29"/>
      <c r="GS3788" s="29"/>
      <c r="GT3788" s="29"/>
      <c r="GU3788" s="29"/>
      <c r="GV3788" s="29"/>
      <c r="GW3788" s="29"/>
      <c r="GX3788" s="29"/>
      <c r="GY3788" s="29"/>
      <c r="GZ3788" s="29"/>
      <c r="HA3788" s="29"/>
      <c r="HB3788" s="29"/>
      <c r="HC3788" s="29"/>
      <c r="HD3788" s="29"/>
      <c r="HE3788" s="29"/>
      <c r="HF3788" s="29"/>
      <c r="HG3788" s="29"/>
      <c r="HH3788" s="29"/>
      <c r="HI3788" s="29"/>
      <c r="HJ3788" s="29"/>
      <c r="HK3788" s="29"/>
      <c r="HL3788" s="29"/>
      <c r="HM3788" s="29"/>
      <c r="HN3788" s="29"/>
      <c r="HO3788" s="29"/>
      <c r="HP3788" s="29"/>
      <c r="HQ3788" s="29"/>
      <c r="HR3788" s="29"/>
      <c r="HS3788" s="29"/>
      <c r="HT3788" s="29"/>
      <c r="HU3788" s="29"/>
      <c r="HV3788" s="29"/>
      <c r="HW3788" s="29"/>
      <c r="HX3788" s="29"/>
      <c r="HY3788" s="29"/>
      <c r="HZ3788" s="29"/>
      <c r="IA3788" s="29"/>
      <c r="IB3788" s="29"/>
      <c r="IC3788" s="29"/>
      <c r="ID3788" s="29"/>
      <c r="IE3788" s="29"/>
      <c r="IF3788" s="29"/>
      <c r="IG3788" s="29"/>
      <c r="IH3788" s="29"/>
      <c r="II3788" s="29"/>
      <c r="IJ3788" s="29"/>
      <c r="IK3788" s="29"/>
      <c r="IL3788" s="29"/>
      <c r="IM3788" s="29"/>
      <c r="IN3788" s="29"/>
      <c r="IO3788" s="29"/>
      <c r="IP3788" s="29"/>
      <c r="IQ3788" s="29"/>
      <c r="IR3788" s="29"/>
      <c r="IS3788" s="29"/>
      <c r="IT3788" s="29"/>
      <c r="IU3788" s="29"/>
      <c r="IV3788" s="29"/>
      <c r="IW3788" s="29"/>
      <c r="IX3788" s="29"/>
      <c r="IY3788" s="29"/>
      <c r="IZ3788" s="29"/>
      <c r="JA3788" s="29"/>
      <c r="JB3788" s="29"/>
    </row>
    <row r="3789" spans="1:262" s="28" customFormat="1">
      <c r="A3789" s="29"/>
      <c r="B3789" s="29"/>
      <c r="C3789" s="29"/>
      <c r="D3789" s="29"/>
      <c r="E3789" s="29"/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GK3789" s="29"/>
      <c r="GL3789" s="29"/>
      <c r="GM3789" s="29"/>
      <c r="GN3789" s="29"/>
      <c r="GO3789" s="29"/>
      <c r="GP3789" s="29"/>
      <c r="GQ3789" s="29"/>
      <c r="GR3789" s="29"/>
      <c r="GS3789" s="29"/>
      <c r="GT3789" s="29"/>
      <c r="GU3789" s="29"/>
      <c r="GV3789" s="29"/>
      <c r="GW3789" s="29"/>
      <c r="GX3789" s="29"/>
      <c r="GY3789" s="29"/>
      <c r="GZ3789" s="29"/>
      <c r="HA3789" s="29"/>
      <c r="HB3789" s="29"/>
      <c r="HC3789" s="29"/>
      <c r="HD3789" s="29"/>
      <c r="HE3789" s="29"/>
      <c r="HF3789" s="29"/>
      <c r="HG3789" s="29"/>
      <c r="HH3789" s="29"/>
      <c r="HI3789" s="29"/>
      <c r="HJ3789" s="29"/>
      <c r="HK3789" s="29"/>
      <c r="HL3789" s="29"/>
      <c r="HM3789" s="29"/>
      <c r="HN3789" s="29"/>
      <c r="HO3789" s="29"/>
      <c r="HP3789" s="29"/>
      <c r="HQ3789" s="29"/>
      <c r="HR3789" s="29"/>
      <c r="HS3789" s="29"/>
      <c r="HT3789" s="29"/>
      <c r="HU3789" s="29"/>
      <c r="HV3789" s="29"/>
      <c r="HW3789" s="29"/>
      <c r="HX3789" s="29"/>
      <c r="HY3789" s="29"/>
      <c r="HZ3789" s="29"/>
      <c r="IA3789" s="29"/>
      <c r="IB3789" s="29"/>
      <c r="IC3789" s="29"/>
      <c r="ID3789" s="29"/>
      <c r="IE3789" s="29"/>
      <c r="IF3789" s="29"/>
      <c r="IG3789" s="29"/>
      <c r="IH3789" s="29"/>
      <c r="II3789" s="29"/>
      <c r="IJ3789" s="29"/>
      <c r="IK3789" s="29"/>
      <c r="IL3789" s="29"/>
      <c r="IM3789" s="29"/>
      <c r="IN3789" s="29"/>
      <c r="IO3789" s="29"/>
      <c r="IP3789" s="29"/>
      <c r="IQ3789" s="29"/>
      <c r="IR3789" s="29"/>
      <c r="IS3789" s="29"/>
      <c r="IT3789" s="29"/>
      <c r="IU3789" s="29"/>
      <c r="IV3789" s="29"/>
      <c r="IW3789" s="29"/>
      <c r="IX3789" s="29"/>
      <c r="IY3789" s="29"/>
      <c r="IZ3789" s="29"/>
      <c r="JA3789" s="29"/>
      <c r="JB3789" s="29"/>
    </row>
    <row r="3790" spans="1:262" s="28" customFormat="1">
      <c r="A3790" s="29"/>
      <c r="B3790" s="29"/>
      <c r="C3790" s="29"/>
      <c r="D3790" s="29"/>
      <c r="E3790" s="29"/>
      <c r="F3790" s="29"/>
      <c r="G3790" s="29"/>
      <c r="H3790" s="29"/>
      <c r="I3790" s="29"/>
      <c r="J3790" s="29"/>
      <c r="K3790" s="29"/>
      <c r="L3790" s="29"/>
      <c r="M3790" s="29"/>
      <c r="N3790" s="29"/>
      <c r="O3790" s="29"/>
      <c r="P3790" s="29"/>
      <c r="Q3790" s="29"/>
      <c r="R3790" s="29"/>
      <c r="S3790" s="29"/>
      <c r="T3790" s="29"/>
      <c r="U3790" s="29"/>
      <c r="V3790" s="29"/>
      <c r="GK3790" s="29"/>
      <c r="GL3790" s="29"/>
      <c r="GM3790" s="29"/>
      <c r="GN3790" s="29"/>
      <c r="GO3790" s="29"/>
      <c r="GP3790" s="29"/>
      <c r="GQ3790" s="29"/>
      <c r="GR3790" s="29"/>
      <c r="GS3790" s="29"/>
      <c r="GT3790" s="29"/>
      <c r="GU3790" s="29"/>
      <c r="GV3790" s="29"/>
      <c r="GW3790" s="29"/>
      <c r="GX3790" s="29"/>
      <c r="GY3790" s="29"/>
      <c r="GZ3790" s="29"/>
      <c r="HA3790" s="29"/>
      <c r="HB3790" s="29"/>
      <c r="HC3790" s="29"/>
      <c r="HD3790" s="29"/>
      <c r="HE3790" s="29"/>
      <c r="HF3790" s="29"/>
      <c r="HG3790" s="29"/>
      <c r="HH3790" s="29"/>
      <c r="HI3790" s="29"/>
      <c r="HJ3790" s="29"/>
      <c r="HK3790" s="29"/>
      <c r="HL3790" s="29"/>
      <c r="HM3790" s="29"/>
      <c r="HN3790" s="29"/>
      <c r="HO3790" s="29"/>
      <c r="HP3790" s="29"/>
      <c r="HQ3790" s="29"/>
      <c r="HR3790" s="29"/>
      <c r="HS3790" s="29"/>
      <c r="HT3790" s="29"/>
      <c r="HU3790" s="29"/>
      <c r="HV3790" s="29"/>
      <c r="HW3790" s="29"/>
      <c r="HX3790" s="29"/>
      <c r="HY3790" s="29"/>
      <c r="HZ3790" s="29"/>
      <c r="IA3790" s="29"/>
      <c r="IB3790" s="29"/>
      <c r="IC3790" s="29"/>
      <c r="ID3790" s="29"/>
      <c r="IE3790" s="29"/>
      <c r="IF3790" s="29"/>
      <c r="IG3790" s="29"/>
      <c r="IH3790" s="29"/>
      <c r="II3790" s="29"/>
      <c r="IJ3790" s="29"/>
      <c r="IK3790" s="29"/>
      <c r="IL3790" s="29"/>
      <c r="IM3790" s="29"/>
      <c r="IN3790" s="29"/>
      <c r="IO3790" s="29"/>
      <c r="IP3790" s="29"/>
      <c r="IQ3790" s="29"/>
      <c r="IR3790" s="29"/>
      <c r="IS3790" s="29"/>
      <c r="IT3790" s="29"/>
      <c r="IU3790" s="29"/>
      <c r="IV3790" s="29"/>
      <c r="IW3790" s="29"/>
      <c r="IX3790" s="29"/>
      <c r="IY3790" s="29"/>
      <c r="IZ3790" s="29"/>
      <c r="JA3790" s="29"/>
      <c r="JB3790" s="29"/>
    </row>
    <row r="3791" spans="1:262" s="28" customFormat="1">
      <c r="A3791" s="29"/>
      <c r="B3791" s="29"/>
      <c r="C3791" s="29"/>
      <c r="D3791" s="29"/>
      <c r="E3791" s="29"/>
      <c r="F3791" s="29"/>
      <c r="G3791" s="29"/>
      <c r="H3791" s="29"/>
      <c r="I3791" s="29"/>
      <c r="J3791" s="29"/>
      <c r="K3791" s="29"/>
      <c r="L3791" s="29"/>
      <c r="M3791" s="29"/>
      <c r="N3791" s="29"/>
      <c r="O3791" s="29"/>
      <c r="P3791" s="29"/>
      <c r="Q3791" s="29"/>
      <c r="R3791" s="29"/>
      <c r="S3791" s="29"/>
      <c r="T3791" s="29"/>
      <c r="U3791" s="29"/>
      <c r="V3791" s="29"/>
      <c r="GK3791" s="29"/>
      <c r="GL3791" s="29"/>
      <c r="GM3791" s="29"/>
      <c r="GN3791" s="29"/>
      <c r="GO3791" s="29"/>
      <c r="GP3791" s="29"/>
      <c r="GQ3791" s="29"/>
      <c r="GR3791" s="29"/>
      <c r="GS3791" s="29"/>
      <c r="GT3791" s="29"/>
      <c r="GU3791" s="29"/>
      <c r="GV3791" s="29"/>
      <c r="GW3791" s="29"/>
      <c r="GX3791" s="29"/>
      <c r="GY3791" s="29"/>
      <c r="GZ3791" s="29"/>
      <c r="HA3791" s="29"/>
      <c r="HB3791" s="29"/>
      <c r="HC3791" s="29"/>
      <c r="HD3791" s="29"/>
      <c r="HE3791" s="29"/>
      <c r="HF3791" s="29"/>
      <c r="HG3791" s="29"/>
      <c r="HH3791" s="29"/>
      <c r="HI3791" s="29"/>
      <c r="HJ3791" s="29"/>
      <c r="HK3791" s="29"/>
      <c r="HL3791" s="29"/>
      <c r="HM3791" s="29"/>
      <c r="HN3791" s="29"/>
      <c r="HO3791" s="29"/>
      <c r="HP3791" s="29"/>
      <c r="HQ3791" s="29"/>
      <c r="HR3791" s="29"/>
      <c r="HS3791" s="29"/>
      <c r="HT3791" s="29"/>
      <c r="HU3791" s="29"/>
      <c r="HV3791" s="29"/>
      <c r="HW3791" s="29"/>
      <c r="HX3791" s="29"/>
      <c r="HY3791" s="29"/>
      <c r="HZ3791" s="29"/>
      <c r="IA3791" s="29"/>
      <c r="IB3791" s="29"/>
      <c r="IC3791" s="29"/>
      <c r="ID3791" s="29"/>
      <c r="IE3791" s="29"/>
      <c r="IF3791" s="29"/>
      <c r="IG3791" s="29"/>
      <c r="IH3791" s="29"/>
      <c r="II3791" s="29"/>
      <c r="IJ3791" s="29"/>
      <c r="IK3791" s="29"/>
      <c r="IL3791" s="29"/>
      <c r="IM3791" s="29"/>
      <c r="IN3791" s="29"/>
      <c r="IO3791" s="29"/>
      <c r="IP3791" s="29"/>
      <c r="IQ3791" s="29"/>
      <c r="IR3791" s="29"/>
      <c r="IS3791" s="29"/>
      <c r="IT3791" s="29"/>
      <c r="IU3791" s="29"/>
      <c r="IV3791" s="29"/>
      <c r="IW3791" s="29"/>
      <c r="IX3791" s="29"/>
      <c r="IY3791" s="29"/>
      <c r="IZ3791" s="29"/>
      <c r="JA3791" s="29"/>
      <c r="JB3791" s="29"/>
    </row>
    <row r="3792" spans="1:262" s="28" customFormat="1">
      <c r="A3792" s="29"/>
      <c r="B3792" s="29"/>
      <c r="C3792" s="29"/>
      <c r="D3792" s="29"/>
      <c r="E3792" s="29"/>
      <c r="F3792" s="29"/>
      <c r="G3792" s="29"/>
      <c r="H3792" s="29"/>
      <c r="I3792" s="29"/>
      <c r="J3792" s="29"/>
      <c r="K3792" s="29"/>
      <c r="L3792" s="29"/>
      <c r="M3792" s="29"/>
      <c r="N3792" s="29"/>
      <c r="O3792" s="29"/>
      <c r="P3792" s="29"/>
      <c r="Q3792" s="29"/>
      <c r="R3792" s="29"/>
      <c r="S3792" s="29"/>
      <c r="T3792" s="29"/>
      <c r="U3792" s="29"/>
      <c r="V3792" s="29"/>
      <c r="GK3792" s="29"/>
      <c r="GL3792" s="29"/>
      <c r="GM3792" s="29"/>
      <c r="GN3792" s="29"/>
      <c r="GO3792" s="29"/>
      <c r="GP3792" s="29"/>
      <c r="GQ3792" s="29"/>
      <c r="GR3792" s="29"/>
      <c r="GS3792" s="29"/>
      <c r="GT3792" s="29"/>
      <c r="GU3792" s="29"/>
      <c r="GV3792" s="29"/>
      <c r="GW3792" s="29"/>
      <c r="GX3792" s="29"/>
      <c r="GY3792" s="29"/>
      <c r="GZ3792" s="29"/>
      <c r="HA3792" s="29"/>
      <c r="HB3792" s="29"/>
      <c r="HC3792" s="29"/>
      <c r="HD3792" s="29"/>
      <c r="HE3792" s="29"/>
      <c r="HF3792" s="29"/>
      <c r="HG3792" s="29"/>
      <c r="HH3792" s="29"/>
      <c r="HI3792" s="29"/>
      <c r="HJ3792" s="29"/>
      <c r="HK3792" s="29"/>
      <c r="HL3792" s="29"/>
      <c r="HM3792" s="29"/>
      <c r="HN3792" s="29"/>
      <c r="HO3792" s="29"/>
      <c r="HP3792" s="29"/>
      <c r="HQ3792" s="29"/>
      <c r="HR3792" s="29"/>
      <c r="HS3792" s="29"/>
      <c r="HT3792" s="29"/>
      <c r="HU3792" s="29"/>
      <c r="HV3792" s="29"/>
      <c r="HW3792" s="29"/>
      <c r="HX3792" s="29"/>
      <c r="HY3792" s="29"/>
      <c r="HZ3792" s="29"/>
      <c r="IA3792" s="29"/>
      <c r="IB3792" s="29"/>
      <c r="IC3792" s="29"/>
      <c r="ID3792" s="29"/>
      <c r="IE3792" s="29"/>
      <c r="IF3792" s="29"/>
      <c r="IG3792" s="29"/>
      <c r="IH3792" s="29"/>
      <c r="II3792" s="29"/>
      <c r="IJ3792" s="29"/>
      <c r="IK3792" s="29"/>
      <c r="IL3792" s="29"/>
      <c r="IM3792" s="29"/>
      <c r="IN3792" s="29"/>
      <c r="IO3792" s="29"/>
      <c r="IP3792" s="29"/>
      <c r="IQ3792" s="29"/>
      <c r="IR3792" s="29"/>
      <c r="IS3792" s="29"/>
      <c r="IT3792" s="29"/>
      <c r="IU3792" s="29"/>
      <c r="IV3792" s="29"/>
      <c r="IW3792" s="29"/>
      <c r="IX3792" s="29"/>
      <c r="IY3792" s="29"/>
      <c r="IZ3792" s="29"/>
      <c r="JA3792" s="29"/>
      <c r="JB3792" s="29"/>
    </row>
    <row r="3793" spans="1:262" s="28" customFormat="1">
      <c r="A3793" s="29"/>
      <c r="B3793" s="29"/>
      <c r="C3793" s="29"/>
      <c r="D3793" s="29"/>
      <c r="E3793" s="29"/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29"/>
      <c r="Q3793" s="29"/>
      <c r="R3793" s="29"/>
      <c r="S3793" s="29"/>
      <c r="T3793" s="29"/>
      <c r="U3793" s="29"/>
      <c r="V3793" s="29"/>
      <c r="GK3793" s="29"/>
      <c r="GL3793" s="29"/>
      <c r="GM3793" s="29"/>
      <c r="GN3793" s="29"/>
      <c r="GO3793" s="29"/>
      <c r="GP3793" s="29"/>
      <c r="GQ3793" s="29"/>
      <c r="GR3793" s="29"/>
      <c r="GS3793" s="29"/>
      <c r="GT3793" s="29"/>
      <c r="GU3793" s="29"/>
      <c r="GV3793" s="29"/>
      <c r="GW3793" s="29"/>
      <c r="GX3793" s="29"/>
      <c r="GY3793" s="29"/>
      <c r="GZ3793" s="29"/>
      <c r="HA3793" s="29"/>
      <c r="HB3793" s="29"/>
      <c r="HC3793" s="29"/>
      <c r="HD3793" s="29"/>
      <c r="HE3793" s="29"/>
      <c r="HF3793" s="29"/>
      <c r="HG3793" s="29"/>
      <c r="HH3793" s="29"/>
      <c r="HI3793" s="29"/>
      <c r="HJ3793" s="29"/>
      <c r="HK3793" s="29"/>
      <c r="HL3793" s="29"/>
      <c r="HM3793" s="29"/>
      <c r="HN3793" s="29"/>
      <c r="HO3793" s="29"/>
      <c r="HP3793" s="29"/>
      <c r="HQ3793" s="29"/>
      <c r="HR3793" s="29"/>
      <c r="HS3793" s="29"/>
      <c r="HT3793" s="29"/>
      <c r="HU3793" s="29"/>
      <c r="HV3793" s="29"/>
      <c r="HW3793" s="29"/>
      <c r="HX3793" s="29"/>
      <c r="HY3793" s="29"/>
      <c r="HZ3793" s="29"/>
      <c r="IA3793" s="29"/>
      <c r="IB3793" s="29"/>
      <c r="IC3793" s="29"/>
      <c r="ID3793" s="29"/>
      <c r="IE3793" s="29"/>
      <c r="IF3793" s="29"/>
      <c r="IG3793" s="29"/>
      <c r="IH3793" s="29"/>
      <c r="II3793" s="29"/>
      <c r="IJ3793" s="29"/>
      <c r="IK3793" s="29"/>
      <c r="IL3793" s="29"/>
      <c r="IM3793" s="29"/>
      <c r="IN3793" s="29"/>
      <c r="IO3793" s="29"/>
      <c r="IP3793" s="29"/>
      <c r="IQ3793" s="29"/>
      <c r="IR3793" s="29"/>
      <c r="IS3793" s="29"/>
      <c r="IT3793" s="29"/>
      <c r="IU3793" s="29"/>
      <c r="IV3793" s="29"/>
      <c r="IW3793" s="29"/>
      <c r="IX3793" s="29"/>
      <c r="IY3793" s="29"/>
      <c r="IZ3793" s="29"/>
      <c r="JA3793" s="29"/>
      <c r="JB3793" s="29"/>
    </row>
    <row r="3794" spans="1:262" s="28" customFormat="1">
      <c r="A3794" s="29"/>
      <c r="B3794" s="29"/>
      <c r="C3794" s="29"/>
      <c r="D3794" s="29"/>
      <c r="E3794" s="29"/>
      <c r="F3794" s="29"/>
      <c r="G3794" s="29"/>
      <c r="H3794" s="29"/>
      <c r="I3794" s="29"/>
      <c r="J3794" s="29"/>
      <c r="K3794" s="29"/>
      <c r="L3794" s="29"/>
      <c r="M3794" s="29"/>
      <c r="N3794" s="29"/>
      <c r="O3794" s="29"/>
      <c r="P3794" s="29"/>
      <c r="Q3794" s="29"/>
      <c r="R3794" s="29"/>
      <c r="S3794" s="29"/>
      <c r="T3794" s="29"/>
      <c r="U3794" s="29"/>
      <c r="V3794" s="29"/>
      <c r="GK3794" s="29"/>
      <c r="GL3794" s="29"/>
      <c r="GM3794" s="29"/>
      <c r="GN3794" s="29"/>
      <c r="GO3794" s="29"/>
      <c r="GP3794" s="29"/>
      <c r="GQ3794" s="29"/>
      <c r="GR3794" s="29"/>
      <c r="GS3794" s="29"/>
      <c r="GT3794" s="29"/>
      <c r="GU3794" s="29"/>
      <c r="GV3794" s="29"/>
      <c r="GW3794" s="29"/>
      <c r="GX3794" s="29"/>
      <c r="GY3794" s="29"/>
      <c r="GZ3794" s="29"/>
      <c r="HA3794" s="29"/>
      <c r="HB3794" s="29"/>
      <c r="HC3794" s="29"/>
      <c r="HD3794" s="29"/>
      <c r="HE3794" s="29"/>
      <c r="HF3794" s="29"/>
      <c r="HG3794" s="29"/>
      <c r="HH3794" s="29"/>
      <c r="HI3794" s="29"/>
      <c r="HJ3794" s="29"/>
      <c r="HK3794" s="29"/>
      <c r="HL3794" s="29"/>
      <c r="HM3794" s="29"/>
      <c r="HN3794" s="29"/>
      <c r="HO3794" s="29"/>
      <c r="HP3794" s="29"/>
      <c r="HQ3794" s="29"/>
      <c r="HR3794" s="29"/>
      <c r="HS3794" s="29"/>
      <c r="HT3794" s="29"/>
      <c r="HU3794" s="29"/>
      <c r="HV3794" s="29"/>
      <c r="HW3794" s="29"/>
      <c r="HX3794" s="29"/>
      <c r="HY3794" s="29"/>
      <c r="HZ3794" s="29"/>
      <c r="IA3794" s="29"/>
      <c r="IB3794" s="29"/>
      <c r="IC3794" s="29"/>
      <c r="ID3794" s="29"/>
      <c r="IE3794" s="29"/>
      <c r="IF3794" s="29"/>
      <c r="IG3794" s="29"/>
      <c r="IH3794" s="29"/>
      <c r="II3794" s="29"/>
      <c r="IJ3794" s="29"/>
      <c r="IK3794" s="29"/>
      <c r="IL3794" s="29"/>
      <c r="IM3794" s="29"/>
      <c r="IN3794" s="29"/>
      <c r="IO3794" s="29"/>
      <c r="IP3794" s="29"/>
      <c r="IQ3794" s="29"/>
      <c r="IR3794" s="29"/>
      <c r="IS3794" s="29"/>
      <c r="IT3794" s="29"/>
      <c r="IU3794" s="29"/>
      <c r="IV3794" s="29"/>
      <c r="IW3794" s="29"/>
      <c r="IX3794" s="29"/>
      <c r="IY3794" s="29"/>
      <c r="IZ3794" s="29"/>
      <c r="JA3794" s="29"/>
      <c r="JB3794" s="29"/>
    </row>
    <row r="3795" spans="1:262" s="28" customFormat="1">
      <c r="A3795" s="29"/>
      <c r="B3795" s="29"/>
      <c r="C3795" s="29"/>
      <c r="D3795" s="29"/>
      <c r="E3795" s="29"/>
      <c r="F3795" s="29"/>
      <c r="G3795" s="29"/>
      <c r="H3795" s="29"/>
      <c r="I3795" s="29"/>
      <c r="J3795" s="29"/>
      <c r="K3795" s="29"/>
      <c r="L3795" s="29"/>
      <c r="M3795" s="29"/>
      <c r="N3795" s="29"/>
      <c r="O3795" s="29"/>
      <c r="P3795" s="29"/>
      <c r="Q3795" s="29"/>
      <c r="R3795" s="29"/>
      <c r="S3795" s="29"/>
      <c r="T3795" s="29"/>
      <c r="U3795" s="29"/>
      <c r="V3795" s="29"/>
      <c r="GK3795" s="29"/>
      <c r="GL3795" s="29"/>
      <c r="GM3795" s="29"/>
      <c r="GN3795" s="29"/>
      <c r="GO3795" s="29"/>
      <c r="GP3795" s="29"/>
      <c r="GQ3795" s="29"/>
      <c r="GR3795" s="29"/>
      <c r="GS3795" s="29"/>
      <c r="GT3795" s="29"/>
      <c r="GU3795" s="29"/>
      <c r="GV3795" s="29"/>
      <c r="GW3795" s="29"/>
      <c r="GX3795" s="29"/>
      <c r="GY3795" s="29"/>
      <c r="GZ3795" s="29"/>
      <c r="HA3795" s="29"/>
      <c r="HB3795" s="29"/>
      <c r="HC3795" s="29"/>
      <c r="HD3795" s="29"/>
      <c r="HE3795" s="29"/>
      <c r="HF3795" s="29"/>
      <c r="HG3795" s="29"/>
      <c r="HH3795" s="29"/>
      <c r="HI3795" s="29"/>
      <c r="HJ3795" s="29"/>
      <c r="HK3795" s="29"/>
      <c r="HL3795" s="29"/>
      <c r="HM3795" s="29"/>
      <c r="HN3795" s="29"/>
      <c r="HO3795" s="29"/>
      <c r="HP3795" s="29"/>
      <c r="HQ3795" s="29"/>
      <c r="HR3795" s="29"/>
      <c r="HS3795" s="29"/>
      <c r="HT3795" s="29"/>
      <c r="HU3795" s="29"/>
      <c r="HV3795" s="29"/>
      <c r="HW3795" s="29"/>
      <c r="HX3795" s="29"/>
      <c r="HY3795" s="29"/>
      <c r="HZ3795" s="29"/>
      <c r="IA3795" s="29"/>
      <c r="IB3795" s="29"/>
      <c r="IC3795" s="29"/>
      <c r="ID3795" s="29"/>
      <c r="IE3795" s="29"/>
      <c r="IF3795" s="29"/>
      <c r="IG3795" s="29"/>
      <c r="IH3795" s="29"/>
      <c r="II3795" s="29"/>
      <c r="IJ3795" s="29"/>
      <c r="IK3795" s="29"/>
      <c r="IL3795" s="29"/>
      <c r="IM3795" s="29"/>
      <c r="IN3795" s="29"/>
      <c r="IO3795" s="29"/>
      <c r="IP3795" s="29"/>
      <c r="IQ3795" s="29"/>
      <c r="IR3795" s="29"/>
      <c r="IS3795" s="29"/>
      <c r="IT3795" s="29"/>
      <c r="IU3795" s="29"/>
      <c r="IV3795" s="29"/>
      <c r="IW3795" s="29"/>
      <c r="IX3795" s="29"/>
      <c r="IY3795" s="29"/>
      <c r="IZ3795" s="29"/>
      <c r="JA3795" s="29"/>
      <c r="JB3795" s="29"/>
    </row>
    <row r="3796" spans="1:262" s="28" customFormat="1">
      <c r="A3796" s="29"/>
      <c r="B3796" s="29"/>
      <c r="C3796" s="29"/>
      <c r="D3796" s="29"/>
      <c r="E3796" s="29"/>
      <c r="F3796" s="29"/>
      <c r="G3796" s="29"/>
      <c r="H3796" s="29"/>
      <c r="I3796" s="29"/>
      <c r="J3796" s="29"/>
      <c r="K3796" s="29"/>
      <c r="L3796" s="29"/>
      <c r="M3796" s="29"/>
      <c r="N3796" s="29"/>
      <c r="O3796" s="29"/>
      <c r="P3796" s="29"/>
      <c r="Q3796" s="29"/>
      <c r="R3796" s="29"/>
      <c r="S3796" s="29"/>
      <c r="T3796" s="29"/>
      <c r="U3796" s="29"/>
      <c r="V3796" s="29"/>
      <c r="GK3796" s="29"/>
      <c r="GL3796" s="29"/>
      <c r="GM3796" s="29"/>
      <c r="GN3796" s="29"/>
      <c r="GO3796" s="29"/>
      <c r="GP3796" s="29"/>
      <c r="GQ3796" s="29"/>
      <c r="GR3796" s="29"/>
      <c r="GS3796" s="29"/>
      <c r="GT3796" s="29"/>
      <c r="GU3796" s="29"/>
      <c r="GV3796" s="29"/>
      <c r="GW3796" s="29"/>
      <c r="GX3796" s="29"/>
      <c r="GY3796" s="29"/>
      <c r="GZ3796" s="29"/>
      <c r="HA3796" s="29"/>
      <c r="HB3796" s="29"/>
      <c r="HC3796" s="29"/>
      <c r="HD3796" s="29"/>
      <c r="HE3796" s="29"/>
      <c r="HF3796" s="29"/>
      <c r="HG3796" s="29"/>
      <c r="HH3796" s="29"/>
      <c r="HI3796" s="29"/>
      <c r="HJ3796" s="29"/>
      <c r="HK3796" s="29"/>
      <c r="HL3796" s="29"/>
      <c r="HM3796" s="29"/>
      <c r="HN3796" s="29"/>
      <c r="HO3796" s="29"/>
      <c r="HP3796" s="29"/>
      <c r="HQ3796" s="29"/>
      <c r="HR3796" s="29"/>
      <c r="HS3796" s="29"/>
      <c r="HT3796" s="29"/>
      <c r="HU3796" s="29"/>
      <c r="HV3796" s="29"/>
      <c r="HW3796" s="29"/>
      <c r="HX3796" s="29"/>
      <c r="HY3796" s="29"/>
      <c r="HZ3796" s="29"/>
      <c r="IA3796" s="29"/>
      <c r="IB3796" s="29"/>
      <c r="IC3796" s="29"/>
      <c r="ID3796" s="29"/>
      <c r="IE3796" s="29"/>
      <c r="IF3796" s="29"/>
      <c r="IG3796" s="29"/>
      <c r="IH3796" s="29"/>
      <c r="II3796" s="29"/>
      <c r="IJ3796" s="29"/>
      <c r="IK3796" s="29"/>
      <c r="IL3796" s="29"/>
      <c r="IM3796" s="29"/>
      <c r="IN3796" s="29"/>
      <c r="IO3796" s="29"/>
      <c r="IP3796" s="29"/>
      <c r="IQ3796" s="29"/>
      <c r="IR3796" s="29"/>
      <c r="IS3796" s="29"/>
      <c r="IT3796" s="29"/>
      <c r="IU3796" s="29"/>
      <c r="IV3796" s="29"/>
      <c r="IW3796" s="29"/>
      <c r="IX3796" s="29"/>
      <c r="IY3796" s="29"/>
      <c r="IZ3796" s="29"/>
      <c r="JA3796" s="29"/>
      <c r="JB3796" s="29"/>
    </row>
    <row r="3797" spans="1:262" s="28" customFormat="1">
      <c r="A3797" s="29"/>
      <c r="B3797" s="29"/>
      <c r="C3797" s="29"/>
      <c r="D3797" s="29"/>
      <c r="E3797" s="29"/>
      <c r="F3797" s="29"/>
      <c r="G3797" s="29"/>
      <c r="H3797" s="29"/>
      <c r="I3797" s="29"/>
      <c r="J3797" s="29"/>
      <c r="K3797" s="29"/>
      <c r="L3797" s="29"/>
      <c r="M3797" s="29"/>
      <c r="N3797" s="29"/>
      <c r="O3797" s="29"/>
      <c r="P3797" s="29"/>
      <c r="Q3797" s="29"/>
      <c r="R3797" s="29"/>
      <c r="S3797" s="29"/>
      <c r="T3797" s="29"/>
      <c r="U3797" s="29"/>
      <c r="V3797" s="29"/>
      <c r="GK3797" s="29"/>
      <c r="GL3797" s="29"/>
      <c r="GM3797" s="29"/>
      <c r="GN3797" s="29"/>
      <c r="GO3797" s="29"/>
      <c r="GP3797" s="29"/>
      <c r="GQ3797" s="29"/>
      <c r="GR3797" s="29"/>
      <c r="GS3797" s="29"/>
      <c r="GT3797" s="29"/>
      <c r="GU3797" s="29"/>
      <c r="GV3797" s="29"/>
      <c r="GW3797" s="29"/>
      <c r="GX3797" s="29"/>
      <c r="GY3797" s="29"/>
      <c r="GZ3797" s="29"/>
      <c r="HA3797" s="29"/>
      <c r="HB3797" s="29"/>
      <c r="HC3797" s="29"/>
      <c r="HD3797" s="29"/>
      <c r="HE3797" s="29"/>
      <c r="HF3797" s="29"/>
      <c r="HG3797" s="29"/>
      <c r="HH3797" s="29"/>
      <c r="HI3797" s="29"/>
      <c r="HJ3797" s="29"/>
      <c r="HK3797" s="29"/>
      <c r="HL3797" s="29"/>
      <c r="HM3797" s="29"/>
      <c r="HN3797" s="29"/>
      <c r="HO3797" s="29"/>
      <c r="HP3797" s="29"/>
      <c r="HQ3797" s="29"/>
      <c r="HR3797" s="29"/>
      <c r="HS3797" s="29"/>
      <c r="HT3797" s="29"/>
      <c r="HU3797" s="29"/>
      <c r="HV3797" s="29"/>
      <c r="HW3797" s="29"/>
      <c r="HX3797" s="29"/>
      <c r="HY3797" s="29"/>
      <c r="HZ3797" s="29"/>
      <c r="IA3797" s="29"/>
      <c r="IB3797" s="29"/>
      <c r="IC3797" s="29"/>
      <c r="ID3797" s="29"/>
      <c r="IE3797" s="29"/>
      <c r="IF3797" s="29"/>
      <c r="IG3797" s="29"/>
      <c r="IH3797" s="29"/>
      <c r="II3797" s="29"/>
      <c r="IJ3797" s="29"/>
      <c r="IK3797" s="29"/>
      <c r="IL3797" s="29"/>
      <c r="IM3797" s="29"/>
      <c r="IN3797" s="29"/>
      <c r="IO3797" s="29"/>
      <c r="IP3797" s="29"/>
      <c r="IQ3797" s="29"/>
      <c r="IR3797" s="29"/>
      <c r="IS3797" s="29"/>
      <c r="IT3797" s="29"/>
      <c r="IU3797" s="29"/>
      <c r="IV3797" s="29"/>
      <c r="IW3797" s="29"/>
      <c r="IX3797" s="29"/>
      <c r="IY3797" s="29"/>
      <c r="IZ3797" s="29"/>
      <c r="JA3797" s="29"/>
      <c r="JB3797" s="29"/>
    </row>
    <row r="3798" spans="1:262" s="28" customFormat="1">
      <c r="A3798" s="29"/>
      <c r="B3798" s="29"/>
      <c r="C3798" s="29"/>
      <c r="D3798" s="29"/>
      <c r="E3798" s="29"/>
      <c r="F3798" s="29"/>
      <c r="G3798" s="29"/>
      <c r="H3798" s="29"/>
      <c r="I3798" s="29"/>
      <c r="J3798" s="29"/>
      <c r="K3798" s="29"/>
      <c r="L3798" s="29"/>
      <c r="M3798" s="29"/>
      <c r="N3798" s="29"/>
      <c r="O3798" s="29"/>
      <c r="P3798" s="29"/>
      <c r="Q3798" s="29"/>
      <c r="R3798" s="29"/>
      <c r="S3798" s="29"/>
      <c r="T3798" s="29"/>
      <c r="U3798" s="29"/>
      <c r="V3798" s="29"/>
      <c r="GK3798" s="29"/>
      <c r="GL3798" s="29"/>
      <c r="GM3798" s="29"/>
      <c r="GN3798" s="29"/>
      <c r="GO3798" s="29"/>
      <c r="GP3798" s="29"/>
      <c r="GQ3798" s="29"/>
      <c r="GR3798" s="29"/>
      <c r="GS3798" s="29"/>
      <c r="GT3798" s="29"/>
      <c r="GU3798" s="29"/>
      <c r="GV3798" s="29"/>
      <c r="GW3798" s="29"/>
      <c r="GX3798" s="29"/>
      <c r="GY3798" s="29"/>
      <c r="GZ3798" s="29"/>
      <c r="HA3798" s="29"/>
      <c r="HB3798" s="29"/>
      <c r="HC3798" s="29"/>
      <c r="HD3798" s="29"/>
      <c r="HE3798" s="29"/>
      <c r="HF3798" s="29"/>
      <c r="HG3798" s="29"/>
      <c r="HH3798" s="29"/>
      <c r="HI3798" s="29"/>
      <c r="HJ3798" s="29"/>
      <c r="HK3798" s="29"/>
      <c r="HL3798" s="29"/>
      <c r="HM3798" s="29"/>
      <c r="HN3798" s="29"/>
      <c r="HO3798" s="29"/>
      <c r="HP3798" s="29"/>
      <c r="HQ3798" s="29"/>
      <c r="HR3798" s="29"/>
      <c r="HS3798" s="29"/>
      <c r="HT3798" s="29"/>
      <c r="HU3798" s="29"/>
      <c r="HV3798" s="29"/>
      <c r="HW3798" s="29"/>
      <c r="HX3798" s="29"/>
      <c r="HY3798" s="29"/>
      <c r="HZ3798" s="29"/>
      <c r="IA3798" s="29"/>
      <c r="IB3798" s="29"/>
      <c r="IC3798" s="29"/>
      <c r="ID3798" s="29"/>
      <c r="IE3798" s="29"/>
      <c r="IF3798" s="29"/>
      <c r="IG3798" s="29"/>
      <c r="IH3798" s="29"/>
      <c r="II3798" s="29"/>
      <c r="IJ3798" s="29"/>
      <c r="IK3798" s="29"/>
      <c r="IL3798" s="29"/>
      <c r="IM3798" s="29"/>
      <c r="IN3798" s="29"/>
      <c r="IO3798" s="29"/>
      <c r="IP3798" s="29"/>
      <c r="IQ3798" s="29"/>
      <c r="IR3798" s="29"/>
      <c r="IS3798" s="29"/>
      <c r="IT3798" s="29"/>
      <c r="IU3798" s="29"/>
      <c r="IV3798" s="29"/>
      <c r="IW3798" s="29"/>
      <c r="IX3798" s="29"/>
      <c r="IY3798" s="29"/>
      <c r="IZ3798" s="29"/>
      <c r="JA3798" s="29"/>
      <c r="JB3798" s="29"/>
    </row>
    <row r="3799" spans="1:262" s="28" customFormat="1">
      <c r="A3799" s="29"/>
      <c r="B3799" s="29"/>
      <c r="C3799" s="29"/>
      <c r="D3799" s="29"/>
      <c r="E3799" s="29"/>
      <c r="F3799" s="29"/>
      <c r="G3799" s="29"/>
      <c r="H3799" s="29"/>
      <c r="I3799" s="29"/>
      <c r="J3799" s="29"/>
      <c r="K3799" s="29"/>
      <c r="L3799" s="29"/>
      <c r="M3799" s="29"/>
      <c r="N3799" s="29"/>
      <c r="O3799" s="29"/>
      <c r="P3799" s="29"/>
      <c r="Q3799" s="29"/>
      <c r="R3799" s="29"/>
      <c r="S3799" s="29"/>
      <c r="T3799" s="29"/>
      <c r="U3799" s="29"/>
      <c r="V3799" s="29"/>
      <c r="GK3799" s="29"/>
      <c r="GL3799" s="29"/>
      <c r="GM3799" s="29"/>
      <c r="GN3799" s="29"/>
      <c r="GO3799" s="29"/>
      <c r="GP3799" s="29"/>
      <c r="GQ3799" s="29"/>
      <c r="GR3799" s="29"/>
      <c r="GS3799" s="29"/>
      <c r="GT3799" s="29"/>
      <c r="GU3799" s="29"/>
      <c r="GV3799" s="29"/>
      <c r="GW3799" s="29"/>
      <c r="GX3799" s="29"/>
      <c r="GY3799" s="29"/>
      <c r="GZ3799" s="29"/>
      <c r="HA3799" s="29"/>
      <c r="HB3799" s="29"/>
      <c r="HC3799" s="29"/>
      <c r="HD3799" s="29"/>
      <c r="HE3799" s="29"/>
      <c r="HF3799" s="29"/>
      <c r="HG3799" s="29"/>
      <c r="HH3799" s="29"/>
      <c r="HI3799" s="29"/>
      <c r="HJ3799" s="29"/>
      <c r="HK3799" s="29"/>
      <c r="HL3799" s="29"/>
      <c r="HM3799" s="29"/>
      <c r="HN3799" s="29"/>
      <c r="HO3799" s="29"/>
      <c r="HP3799" s="29"/>
      <c r="HQ3799" s="29"/>
      <c r="HR3799" s="29"/>
      <c r="HS3799" s="29"/>
      <c r="HT3799" s="29"/>
      <c r="HU3799" s="29"/>
      <c r="HV3799" s="29"/>
      <c r="HW3799" s="29"/>
      <c r="HX3799" s="29"/>
      <c r="HY3799" s="29"/>
      <c r="HZ3799" s="29"/>
      <c r="IA3799" s="29"/>
      <c r="IB3799" s="29"/>
      <c r="IC3799" s="29"/>
      <c r="ID3799" s="29"/>
      <c r="IE3799" s="29"/>
      <c r="IF3799" s="29"/>
      <c r="IG3799" s="29"/>
      <c r="IH3799" s="29"/>
      <c r="II3799" s="29"/>
      <c r="IJ3799" s="29"/>
      <c r="IK3799" s="29"/>
      <c r="IL3799" s="29"/>
      <c r="IM3799" s="29"/>
      <c r="IN3799" s="29"/>
      <c r="IO3799" s="29"/>
      <c r="IP3799" s="29"/>
      <c r="IQ3799" s="29"/>
      <c r="IR3799" s="29"/>
      <c r="IS3799" s="29"/>
      <c r="IT3799" s="29"/>
      <c r="IU3799" s="29"/>
      <c r="IV3799" s="29"/>
      <c r="IW3799" s="29"/>
      <c r="IX3799" s="29"/>
      <c r="IY3799" s="29"/>
      <c r="IZ3799" s="29"/>
      <c r="JA3799" s="29"/>
      <c r="JB3799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76" max="16383" man="1"/>
    <brk id="1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K35"/>
  <sheetViews>
    <sheetView workbookViewId="0">
      <selection activeCell="C20" sqref="C20:E20"/>
    </sheetView>
  </sheetViews>
  <sheetFormatPr defaultRowHeight="15"/>
  <cols>
    <col min="1" max="1" width="9.140625" style="294" customWidth="1"/>
    <col min="2" max="2" width="34" customWidth="1"/>
    <col min="3" max="5" width="14.140625" customWidth="1"/>
  </cols>
  <sheetData>
    <row r="1" spans="1:193" s="29" customFormat="1" ht="24" customHeight="1">
      <c r="A1" s="401" t="s">
        <v>5107</v>
      </c>
      <c r="B1" s="401"/>
      <c r="C1" s="401"/>
      <c r="D1" s="401"/>
      <c r="E1" s="401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4" t="s">
        <v>5251</v>
      </c>
    </row>
    <row r="4" spans="1:193" ht="38.25">
      <c r="A4" s="292" t="s">
        <v>5108</v>
      </c>
      <c r="B4" s="2" t="s">
        <v>5119</v>
      </c>
      <c r="C4" s="326" t="s">
        <v>5265</v>
      </c>
      <c r="D4" s="326" t="s">
        <v>5266</v>
      </c>
      <c r="E4" s="326" t="s">
        <v>5267</v>
      </c>
    </row>
    <row r="5" spans="1:193" ht="28.5" customHeight="1">
      <c r="A5" s="59"/>
      <c r="B5" s="59" t="s">
        <v>5130</v>
      </c>
      <c r="C5" s="320">
        <f>+C6+C9+C11+C14+C25+C28+C30</f>
        <v>8299538</v>
      </c>
      <c r="D5" s="320">
        <f t="shared" ref="D5:E5" si="0">+D6+D9+D11+D14+D25+D28+D30</f>
        <v>-2038203</v>
      </c>
      <c r="E5" s="320">
        <f t="shared" si="0"/>
        <v>6261335</v>
      </c>
    </row>
    <row r="6" spans="1:193">
      <c r="A6" s="293">
        <v>1</v>
      </c>
      <c r="B6" s="58" t="s">
        <v>5122</v>
      </c>
      <c r="C6" s="319">
        <f>+C7+C8</f>
        <v>4346525</v>
      </c>
      <c r="D6" s="319">
        <f t="shared" ref="D6:E6" si="1">+D7+D8</f>
        <v>-1174713</v>
      </c>
      <c r="E6" s="319">
        <f t="shared" si="1"/>
        <v>3171812</v>
      </c>
    </row>
    <row r="7" spans="1:193">
      <c r="A7" s="290">
        <v>11</v>
      </c>
      <c r="B7" s="43" t="s">
        <v>5109</v>
      </c>
      <c r="C7" s="318">
        <f>SUM('Unos rashoda i izdataka'!J3:J56)</f>
        <v>4234730</v>
      </c>
      <c r="D7" s="318">
        <f>SUM('Unos rashoda i izdataka'!K3:K56)</f>
        <v>-1107561</v>
      </c>
      <c r="E7" s="318">
        <f>SUM('Unos rashoda i izdataka'!L3:L56)</f>
        <v>3127169</v>
      </c>
    </row>
    <row r="8" spans="1:193">
      <c r="A8" s="290">
        <v>12</v>
      </c>
      <c r="B8" s="43" t="s">
        <v>232</v>
      </c>
      <c r="C8" s="318">
        <f>SUM('Unos rashoda P4'!H3+'Unos rashoda P4'!H6+'Unos rashoda P4'!H7)</f>
        <v>111795</v>
      </c>
      <c r="D8" s="318">
        <f>SUM('Unos rashoda P4'!I3+'Unos rashoda P4'!I6+'Unos rashoda P4'!I7)</f>
        <v>-67152</v>
      </c>
      <c r="E8" s="318">
        <f>SUM('Unos rashoda P4'!J3+'Unos rashoda P4'!J6+'Unos rashoda P4'!J7)</f>
        <v>44643</v>
      </c>
    </row>
    <row r="9" spans="1:193">
      <c r="A9" s="293">
        <v>3</v>
      </c>
      <c r="B9" s="58" t="s">
        <v>5123</v>
      </c>
      <c r="C9" s="319">
        <f>+C10</f>
        <v>93691</v>
      </c>
      <c r="D9" s="319">
        <f t="shared" ref="D9:E9" si="2">+D10</f>
        <v>-16191</v>
      </c>
      <c r="E9" s="319">
        <f t="shared" si="2"/>
        <v>77500</v>
      </c>
    </row>
    <row r="10" spans="1:193">
      <c r="A10" s="290">
        <v>31</v>
      </c>
      <c r="B10" s="43" t="s">
        <v>5110</v>
      </c>
      <c r="C10" s="318">
        <f>SUM('Unos rashoda i izdataka'!J57:J66)</f>
        <v>93691</v>
      </c>
      <c r="D10" s="318">
        <f>SUM('Unos rashoda i izdataka'!K57:K66)</f>
        <v>-16191</v>
      </c>
      <c r="E10" s="318">
        <f>SUM('Unos rashoda i izdataka'!L57:L66)</f>
        <v>77500</v>
      </c>
    </row>
    <row r="11" spans="1:193">
      <c r="A11" s="293">
        <v>4</v>
      </c>
      <c r="B11" s="58" t="s">
        <v>5124</v>
      </c>
      <c r="C11" s="319">
        <f>+C12+C13</f>
        <v>724808</v>
      </c>
      <c r="D11" s="319">
        <f t="shared" ref="D11:E11" si="3">+D12+D13</f>
        <v>19702</v>
      </c>
      <c r="E11" s="319">
        <f t="shared" si="3"/>
        <v>744510</v>
      </c>
    </row>
    <row r="12" spans="1:193">
      <c r="A12" s="290">
        <v>41</v>
      </c>
      <c r="B12" s="43" t="s">
        <v>1208</v>
      </c>
      <c r="C12" s="318">
        <f>+'A.2 RASHODI'!G4</f>
        <v>0</v>
      </c>
      <c r="D12" s="318">
        <f>+'A.2 RASHODI'!G78</f>
        <v>0</v>
      </c>
      <c r="E12" s="318">
        <f>+'A.2 RASHODI'!G152</f>
        <v>0</v>
      </c>
    </row>
    <row r="13" spans="1:193">
      <c r="A13" s="290">
        <v>43</v>
      </c>
      <c r="B13" s="43" t="s">
        <v>5112</v>
      </c>
      <c r="C13" s="318">
        <f>SUM('Unos rashoda i izdataka'!J67:J104)</f>
        <v>724808</v>
      </c>
      <c r="D13" s="318">
        <f>SUM('Unos rashoda i izdataka'!K67:K104)</f>
        <v>19702</v>
      </c>
      <c r="E13" s="318">
        <f>SUM('Unos rashoda i izdataka'!L67:L104)</f>
        <v>744510</v>
      </c>
    </row>
    <row r="14" spans="1:193">
      <c r="A14" s="293">
        <v>5</v>
      </c>
      <c r="B14" s="58" t="s">
        <v>5125</v>
      </c>
      <c r="C14" s="319">
        <f>SUM(C15:C24)</f>
        <v>3134514</v>
      </c>
      <c r="D14" s="319">
        <f t="shared" ref="D14:E14" si="4">SUM(D15:D24)</f>
        <v>-867001</v>
      </c>
      <c r="E14" s="319">
        <f t="shared" si="4"/>
        <v>2267513</v>
      </c>
    </row>
    <row r="15" spans="1:193">
      <c r="A15" s="290">
        <v>51</v>
      </c>
      <c r="B15" s="43" t="s">
        <v>5113</v>
      </c>
      <c r="C15" s="318">
        <f>+'A.2 RASHODI'!I4</f>
        <v>0</v>
      </c>
      <c r="D15" s="318">
        <f>+'A.2 RASHODI'!I78</f>
        <v>0</v>
      </c>
      <c r="E15" s="318">
        <f>+'A.1 PRIHODI'!I36</f>
        <v>0</v>
      </c>
    </row>
    <row r="16" spans="1:193">
      <c r="A16" s="290">
        <v>52</v>
      </c>
      <c r="B16" s="43" t="s">
        <v>5114</v>
      </c>
      <c r="C16" s="318">
        <f>48046+1073638</f>
        <v>1121684</v>
      </c>
      <c r="D16" s="318">
        <f>67416+212182</f>
        <v>279598</v>
      </c>
      <c r="E16" s="318">
        <f>115462+1285820</f>
        <v>1401282</v>
      </c>
    </row>
    <row r="17" spans="1:5">
      <c r="A17" s="290">
        <v>552</v>
      </c>
      <c r="B17" s="43" t="s">
        <v>5115</v>
      </c>
      <c r="C17" s="318">
        <f>+'A.2 RASHODI'!K4</f>
        <v>0</v>
      </c>
      <c r="D17" s="318">
        <f>+'A.2 RASHODI'!K78</f>
        <v>0</v>
      </c>
      <c r="E17" s="318">
        <f>+'A.2 RASHODI'!K152</f>
        <v>0</v>
      </c>
    </row>
    <row r="18" spans="1:5">
      <c r="A18" s="290">
        <v>559</v>
      </c>
      <c r="B18" s="43" t="s">
        <v>5116</v>
      </c>
      <c r="C18" s="318">
        <f>+'A.2 RASHODI'!L4</f>
        <v>0</v>
      </c>
      <c r="D18" s="318">
        <f>+'A.2 RASHODI'!L78</f>
        <v>0</v>
      </c>
      <c r="E18" s="318">
        <f>+'A.2 RASHODI'!L152</f>
        <v>0</v>
      </c>
    </row>
    <row r="19" spans="1:5">
      <c r="A19" s="290">
        <v>561</v>
      </c>
      <c r="B19" s="43" t="s">
        <v>111</v>
      </c>
      <c r="C19" s="318">
        <f>+'A.2 RASHODI'!M4</f>
        <v>0</v>
      </c>
      <c r="D19" s="318">
        <f>+'A.2 RASHODI'!M78</f>
        <v>0</v>
      </c>
      <c r="E19" s="318">
        <f>+'A.2 RASHODI'!M152</f>
        <v>0</v>
      </c>
    </row>
    <row r="20" spans="1:5">
      <c r="A20" s="290">
        <v>563</v>
      </c>
      <c r="B20" s="43" t="s">
        <v>1747</v>
      </c>
      <c r="C20" s="318">
        <f>+'A.2 RASHODI'!N4</f>
        <v>2012830</v>
      </c>
      <c r="D20" s="318">
        <v>-1146599</v>
      </c>
      <c r="E20" s="318">
        <v>866231</v>
      </c>
    </row>
    <row r="21" spans="1:5" ht="25.5">
      <c r="A21" s="290">
        <v>573</v>
      </c>
      <c r="B21" s="43" t="s">
        <v>1220</v>
      </c>
      <c r="C21" s="318">
        <f>+'A.2 RASHODI'!O4</f>
        <v>0</v>
      </c>
      <c r="D21" s="318">
        <f>+'A.2 RASHODI'!O78</f>
        <v>0</v>
      </c>
      <c r="E21" s="318">
        <f>+'A.2 RASHODI'!O152</f>
        <v>0</v>
      </c>
    </row>
    <row r="22" spans="1:5">
      <c r="A22" s="290">
        <v>575</v>
      </c>
      <c r="B22" s="43" t="s">
        <v>1222</v>
      </c>
      <c r="C22" s="318">
        <f>+'A.2 RASHODI'!P4</f>
        <v>0</v>
      </c>
      <c r="D22" s="318">
        <f>+'A.2 RASHODI'!P78</f>
        <v>0</v>
      </c>
      <c r="E22" s="318">
        <f>+'A.2 RASHODI'!P152</f>
        <v>0</v>
      </c>
    </row>
    <row r="23" spans="1:5">
      <c r="A23" s="290">
        <v>576</v>
      </c>
      <c r="B23" s="43" t="s">
        <v>1702</v>
      </c>
      <c r="C23" s="318">
        <f>+'A.2 RASHODI'!Q4</f>
        <v>0</v>
      </c>
      <c r="D23" s="318">
        <f>+'A.2 RASHODI'!Q78</f>
        <v>0</v>
      </c>
      <c r="E23" s="318">
        <f>+'A.2 RASHODI'!Q152</f>
        <v>0</v>
      </c>
    </row>
    <row r="24" spans="1:5">
      <c r="A24" s="290">
        <v>581</v>
      </c>
      <c r="B24" s="43" t="s">
        <v>1777</v>
      </c>
      <c r="C24" s="318">
        <f>+'A.2 RASHODI'!R4</f>
        <v>0</v>
      </c>
      <c r="D24" s="318">
        <f>+'A.2 RASHODI'!R78</f>
        <v>0</v>
      </c>
      <c r="E24" s="318">
        <f>+'A.2 RASHODI'!R152</f>
        <v>0</v>
      </c>
    </row>
    <row r="25" spans="1:5">
      <c r="A25" s="293">
        <v>6</v>
      </c>
      <c r="B25" s="58" t="s">
        <v>5126</v>
      </c>
      <c r="C25" s="319">
        <f>+C26+C27</f>
        <v>0</v>
      </c>
      <c r="D25" s="319">
        <f t="shared" ref="D25:E25" si="5">+D26+D27</f>
        <v>0</v>
      </c>
      <c r="E25" s="319">
        <f t="shared" si="5"/>
        <v>0</v>
      </c>
    </row>
    <row r="26" spans="1:5">
      <c r="A26" s="290">
        <v>61</v>
      </c>
      <c r="B26" s="43" t="s">
        <v>1683</v>
      </c>
      <c r="C26" s="318">
        <f>+'A.2 RASHODI'!S4</f>
        <v>0</v>
      </c>
      <c r="D26" s="318">
        <f>+'A.2 RASHODI'!S78</f>
        <v>0</v>
      </c>
      <c r="E26" s="318">
        <f>+'A.2 RASHODI'!S152</f>
        <v>0</v>
      </c>
    </row>
    <row r="27" spans="1:5">
      <c r="A27" s="290">
        <v>63</v>
      </c>
      <c r="B27" s="43" t="s">
        <v>5120</v>
      </c>
      <c r="C27" s="318">
        <f>+'A.2 RASHODI'!T4</f>
        <v>0</v>
      </c>
      <c r="D27" s="318">
        <f>+'A.2 RASHODI'!T78</f>
        <v>0</v>
      </c>
      <c r="E27" s="318">
        <f>+'A.2 RASHODI'!T152</f>
        <v>0</v>
      </c>
    </row>
    <row r="28" spans="1:5" ht="38.25">
      <c r="A28" s="293">
        <v>7</v>
      </c>
      <c r="B28" s="58" t="s">
        <v>5127</v>
      </c>
      <c r="C28" s="319">
        <f>+C29</f>
        <v>0</v>
      </c>
      <c r="D28" s="319">
        <f t="shared" ref="D28:E28" si="6">+D29</f>
        <v>0</v>
      </c>
      <c r="E28" s="319">
        <f t="shared" si="6"/>
        <v>0</v>
      </c>
    </row>
    <row r="29" spans="1:5" ht="25.5">
      <c r="A29" s="290">
        <v>71</v>
      </c>
      <c r="B29" s="43" t="s">
        <v>5121</v>
      </c>
      <c r="C29" s="318">
        <f>+'A.2 RASHODI'!U4</f>
        <v>0</v>
      </c>
      <c r="D29" s="318">
        <f>+'A.2 RASHODI'!U78</f>
        <v>0</v>
      </c>
      <c r="E29" s="318">
        <f>+'A.2 RASHODI'!V152</f>
        <v>0</v>
      </c>
    </row>
    <row r="30" spans="1:5">
      <c r="A30" s="293">
        <v>8</v>
      </c>
      <c r="B30" s="58" t="s">
        <v>5128</v>
      </c>
      <c r="C30" s="319">
        <f>+C31</f>
        <v>0</v>
      </c>
      <c r="D30" s="319">
        <f t="shared" ref="D30:E30" si="7">+D31</f>
        <v>0</v>
      </c>
      <c r="E30" s="319">
        <f t="shared" si="7"/>
        <v>0</v>
      </c>
    </row>
    <row r="31" spans="1:5">
      <c r="A31" s="290">
        <v>81</v>
      </c>
      <c r="B31" s="43" t="s">
        <v>56</v>
      </c>
      <c r="C31" s="318">
        <f>+'A.2 RASHODI'!V4</f>
        <v>0</v>
      </c>
      <c r="D31" s="318">
        <f>+'A.2 RASHODI'!V78</f>
        <v>0</v>
      </c>
      <c r="E31" s="318">
        <f>+'A.2 RASHODI'!V152</f>
        <v>0</v>
      </c>
    </row>
    <row r="32" spans="1:5">
      <c r="B32" s="289"/>
    </row>
    <row r="33" spans="2:2">
      <c r="B33" s="289"/>
    </row>
    <row r="34" spans="2:2">
      <c r="B34" s="289"/>
    </row>
    <row r="35" spans="2:2">
      <c r="B35" s="28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GK84"/>
  <sheetViews>
    <sheetView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E70" sqref="E70"/>
    </sheetView>
  </sheetViews>
  <sheetFormatPr defaultRowHeight="15"/>
  <cols>
    <col min="1" max="1" width="9.28515625" style="312" bestFit="1" customWidth="1"/>
    <col min="2" max="2" width="41.85546875" style="289" customWidth="1"/>
    <col min="3" max="5" width="15.85546875" customWidth="1"/>
  </cols>
  <sheetData>
    <row r="1" spans="1:193" s="29" customFormat="1" ht="24" customHeight="1">
      <c r="A1" s="401" t="s">
        <v>5129</v>
      </c>
      <c r="B1" s="401"/>
      <c r="C1" s="401"/>
      <c r="D1" s="401"/>
      <c r="E1" s="401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4"/>
      <c r="B2" s="284"/>
      <c r="C2" s="284"/>
      <c r="D2" s="284"/>
      <c r="E2" s="284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4" t="s">
        <v>5251</v>
      </c>
    </row>
    <row r="4" spans="1:193" ht="30">
      <c r="A4" s="41" t="s">
        <v>5108</v>
      </c>
      <c r="B4" s="2" t="s">
        <v>5134</v>
      </c>
      <c r="C4" s="326" t="s">
        <v>5265</v>
      </c>
      <c r="D4" s="326" t="s">
        <v>5266</v>
      </c>
      <c r="E4" s="326" t="s">
        <v>5267</v>
      </c>
    </row>
    <row r="5" spans="1:193" ht="28.5" customHeight="1">
      <c r="A5" s="310"/>
      <c r="B5" s="59" t="s">
        <v>5130</v>
      </c>
      <c r="C5" s="61">
        <f>+C6+C15+C21+C28+C38+C45+C52+C59+C66+C75</f>
        <v>8452779</v>
      </c>
      <c r="D5" s="61">
        <f t="shared" ref="D5:E5" si="0">+D6+D15+D21+D28+D38+D45+D52+D59+D66+D75</f>
        <v>-1603941</v>
      </c>
      <c r="E5" s="61">
        <f t="shared" si="0"/>
        <v>6848838</v>
      </c>
    </row>
    <row r="6" spans="1:193">
      <c r="A6" s="291">
        <v>1</v>
      </c>
      <c r="B6" s="58" t="s">
        <v>5131</v>
      </c>
      <c r="C6" s="319">
        <f>SUM(C7:C14)</f>
        <v>0</v>
      </c>
      <c r="D6" s="319">
        <f>SUM(D7:D14)</f>
        <v>0</v>
      </c>
      <c r="E6" s="319">
        <f>SUM(E7:E14)</f>
        <v>0</v>
      </c>
    </row>
    <row r="7" spans="1:193" ht="25.5">
      <c r="A7" s="311">
        <v>11</v>
      </c>
      <c r="B7" s="43" t="s">
        <v>5132</v>
      </c>
      <c r="C7" s="318">
        <f>SUMIF('Unos rashoda i izdataka'!$R$3:$R$511,'A.4 RASHODI FUNK'!$A7,'Unos rashoda i izdataka'!$J$3:$J$511)+SUMIF('Unos rashoda P4'!$T$3:$T$512,'A.4 RASHODI FUNK'!$A7,'Unos rashoda P4'!$H$3:$H$512)</f>
        <v>0</v>
      </c>
      <c r="D7" s="318">
        <f>SUMIF('Unos rashoda i izdataka'!$R$3:$R$511,'A.4 RASHODI FUNK'!$A7,'Unos rashoda i izdataka'!$K$3:$K$511)+SUMIF('Unos rashoda P4'!$T$3:$T$512,'A.4 RASHODI FUNK'!$A7,'Unos rashoda P4'!$I$3:$I$512)</f>
        <v>0</v>
      </c>
      <c r="E7" s="318">
        <f>SUMIF('Unos rashoda i izdataka'!$R$3:$R$511,'A.4 RASHODI FUNK'!$A7,'Unos rashoda i izdataka'!$L$3:$L$511)+SUMIF('Unos rashoda P4'!$T$3:$T$512,'A.4 RASHODI FUNK'!$A7,'Unos rashoda P4'!$J$3:$J$512)</f>
        <v>0</v>
      </c>
    </row>
    <row r="8" spans="1:193">
      <c r="A8" s="311">
        <v>12</v>
      </c>
      <c r="B8" s="43" t="s">
        <v>5133</v>
      </c>
      <c r="C8" s="318">
        <f>SUMIF('Unos rashoda i izdataka'!$R$3:$R$511,'A.4 RASHODI FUNK'!$A8,'Unos rashoda i izdataka'!$J$3:$J$511)+SUMIF('Unos rashoda P4'!$T$3:$T$512,'A.4 RASHODI FUNK'!$A8,'Unos rashoda P4'!$H$3:$H$512)</f>
        <v>0</v>
      </c>
      <c r="D8" s="318">
        <f>SUMIF('Unos rashoda i izdataka'!$R$3:$R$511,'A.4 RASHODI FUNK'!$A8,'Unos rashoda i izdataka'!$K$3:$K$511)+SUMIF('Unos rashoda P4'!$T$3:$T$512,'A.4 RASHODI FUNK'!$A8,'Unos rashoda P4'!$I$3:$I$512)</f>
        <v>0</v>
      </c>
      <c r="E8" s="318">
        <f>SUMIF('Unos rashoda i izdataka'!$R$3:$R$511,'A.4 RASHODI FUNK'!$A8,'Unos rashoda i izdataka'!$L$3:$L$511)+SUMIF('Unos rashoda P4'!$T$3:$T$512,'A.4 RASHODI FUNK'!$A8,'Unos rashoda P4'!$J$3:$J$512)</f>
        <v>0</v>
      </c>
    </row>
    <row r="9" spans="1:193">
      <c r="A9" s="311">
        <v>13</v>
      </c>
      <c r="B9" s="43" t="s">
        <v>5135</v>
      </c>
      <c r="C9" s="318">
        <f>SUMIF('Unos rashoda i izdataka'!$R$3:$R$511,'A.4 RASHODI FUNK'!$A9,'Unos rashoda i izdataka'!$J$3:$J$511)+SUMIF('Unos rashoda P4'!$T$3:$T$512,'A.4 RASHODI FUNK'!$A9,'Unos rashoda P4'!$H$3:$H$512)</f>
        <v>0</v>
      </c>
      <c r="D9" s="318">
        <f>SUMIF('Unos rashoda i izdataka'!$R$3:$R$511,'A.4 RASHODI FUNK'!$A9,'Unos rashoda i izdataka'!$K$3:$K$511)+SUMIF('Unos rashoda P4'!$T$3:$T$512,'A.4 RASHODI FUNK'!$A9,'Unos rashoda P4'!$I$3:$I$512)</f>
        <v>0</v>
      </c>
      <c r="E9" s="318">
        <f>SUMIF('Unos rashoda i izdataka'!$R$3:$R$511,'A.4 RASHODI FUNK'!$A9,'Unos rashoda i izdataka'!$L$3:$L$511)+SUMIF('Unos rashoda P4'!$T$3:$T$512,'A.4 RASHODI FUNK'!$A9,'Unos rashoda P4'!$J$3:$J$512)</f>
        <v>0</v>
      </c>
    </row>
    <row r="10" spans="1:193">
      <c r="A10" s="311">
        <v>14</v>
      </c>
      <c r="B10" s="43" t="s">
        <v>5183</v>
      </c>
      <c r="C10" s="318">
        <f>SUMIF('Unos rashoda i izdataka'!$R$3:$R$511,'A.4 RASHODI FUNK'!$A10,'Unos rashoda i izdataka'!$J$3:$J$511)+SUMIF('Unos rashoda P4'!$T$3:$T$512,'A.4 RASHODI FUNK'!$A10,'Unos rashoda P4'!$H$3:$H$512)</f>
        <v>0</v>
      </c>
      <c r="D10" s="318">
        <f>SUMIF('Unos rashoda i izdataka'!$R$3:$R$511,'A.4 RASHODI FUNK'!$A10,'Unos rashoda i izdataka'!$K$3:$K$511)+SUMIF('Unos rashoda P4'!$T$3:$T$512,'A.4 RASHODI FUNK'!$A10,'Unos rashoda P4'!$I$3:$I$512)</f>
        <v>0</v>
      </c>
      <c r="E10" s="318">
        <f>SUMIF('Unos rashoda i izdataka'!$R$3:$R$511,'A.4 RASHODI FUNK'!$A10,'Unos rashoda i izdataka'!$L$3:$L$511)+SUMIF('Unos rashoda P4'!$T$3:$T$512,'A.4 RASHODI FUNK'!$A10,'Unos rashoda P4'!$J$3:$J$512)</f>
        <v>0</v>
      </c>
    </row>
    <row r="11" spans="1:193">
      <c r="A11" s="311">
        <v>15</v>
      </c>
      <c r="B11" s="43" t="s">
        <v>5142</v>
      </c>
      <c r="C11" s="318">
        <f>SUMIF('Unos rashoda i izdataka'!$R$3:$R$511,'A.4 RASHODI FUNK'!$A11,'Unos rashoda i izdataka'!$J$3:$J$511)+SUMIF('Unos rashoda P4'!$T$3:$T$512,'A.4 RASHODI FUNK'!$A11,'Unos rashoda P4'!$H$3:$H$512)</f>
        <v>0</v>
      </c>
      <c r="D11" s="318">
        <f>SUMIF('Unos rashoda i izdataka'!$R$3:$R$511,'A.4 RASHODI FUNK'!$A11,'Unos rashoda i izdataka'!$K$3:$K$511)+SUMIF('Unos rashoda P4'!$T$3:$T$512,'A.4 RASHODI FUNK'!$A11,'Unos rashoda P4'!$I$3:$I$512)</f>
        <v>0</v>
      </c>
      <c r="E11" s="318">
        <f>SUMIF('Unos rashoda i izdataka'!$R$3:$R$511,'A.4 RASHODI FUNK'!$A11,'Unos rashoda i izdataka'!$L$3:$L$511)+SUMIF('Unos rashoda P4'!$T$3:$T$512,'A.4 RASHODI FUNK'!$A11,'Unos rashoda P4'!$J$3:$J$512)</f>
        <v>0</v>
      </c>
    </row>
    <row r="12" spans="1:193">
      <c r="A12" s="311">
        <v>16</v>
      </c>
      <c r="B12" s="43" t="s">
        <v>5184</v>
      </c>
      <c r="C12" s="318">
        <f>SUMIF('Unos rashoda i izdataka'!$R$3:$R$511,'A.4 RASHODI FUNK'!$A12,'Unos rashoda i izdataka'!$J$3:$J$511)+SUMIF('Unos rashoda P4'!$T$3:$T$512,'A.4 RASHODI FUNK'!$A12,'Unos rashoda P4'!$H$3:$H$512)</f>
        <v>0</v>
      </c>
      <c r="D12" s="318">
        <f>SUMIF('Unos rashoda i izdataka'!$R$3:$R$511,'A.4 RASHODI FUNK'!$A12,'Unos rashoda i izdataka'!$K$3:$K$511)+SUMIF('Unos rashoda P4'!$T$3:$T$512,'A.4 RASHODI FUNK'!$A12,'Unos rashoda P4'!$I$3:$I$512)</f>
        <v>0</v>
      </c>
      <c r="E12" s="318">
        <f>SUMIF('Unos rashoda i izdataka'!$R$3:$R$511,'A.4 RASHODI FUNK'!$A12,'Unos rashoda i izdataka'!$L$3:$L$511)+SUMIF('Unos rashoda P4'!$T$3:$T$512,'A.4 RASHODI FUNK'!$A12,'Unos rashoda P4'!$J$3:$J$512)</f>
        <v>0</v>
      </c>
    </row>
    <row r="13" spans="1:193">
      <c r="A13" s="311">
        <v>17</v>
      </c>
      <c r="B13" s="43" t="s">
        <v>5185</v>
      </c>
      <c r="C13" s="318">
        <f>SUMIF('Unos rashoda i izdataka'!$R$3:$R$511,'A.4 RASHODI FUNK'!$A13,'Unos rashoda i izdataka'!$J$3:$J$511)+SUMIF('Unos rashoda P4'!$T$3:$T$512,'A.4 RASHODI FUNK'!$A13,'Unos rashoda P4'!$H$3:$H$512)</f>
        <v>0</v>
      </c>
      <c r="D13" s="318">
        <f>SUMIF('Unos rashoda i izdataka'!$R$3:$R$511,'A.4 RASHODI FUNK'!$A13,'Unos rashoda i izdataka'!$K$3:$K$511)+SUMIF('Unos rashoda P4'!$T$3:$T$512,'A.4 RASHODI FUNK'!$A13,'Unos rashoda P4'!$I$3:$I$512)</f>
        <v>0</v>
      </c>
      <c r="E13" s="318">
        <f>SUMIF('Unos rashoda i izdataka'!$R$3:$R$511,'A.4 RASHODI FUNK'!$A13,'Unos rashoda i izdataka'!$L$3:$L$511)+SUMIF('Unos rashoda P4'!$T$3:$T$512,'A.4 RASHODI FUNK'!$A13,'Unos rashoda P4'!$J$3:$J$512)</f>
        <v>0</v>
      </c>
    </row>
    <row r="14" spans="1:193" ht="25.5">
      <c r="A14" s="311">
        <v>18</v>
      </c>
      <c r="B14" s="43" t="s">
        <v>5154</v>
      </c>
      <c r="C14" s="318">
        <f>SUMIF('Unos rashoda i izdataka'!$R$3:$R$511,'A.4 RASHODI FUNK'!$A14,'Unos rashoda i izdataka'!$J$3:$J$511)+SUMIF('Unos rashoda P4'!$T$3:$T$512,'A.4 RASHODI FUNK'!$A14,'Unos rashoda P4'!$H$3:$H$512)</f>
        <v>0</v>
      </c>
      <c r="D14" s="318">
        <f>SUMIF('Unos rashoda i izdataka'!$R$3:$R$511,'A.4 RASHODI FUNK'!$A14,'Unos rashoda i izdataka'!$K$3:$K$511)+SUMIF('Unos rashoda P4'!$T$3:$T$512,'A.4 RASHODI FUNK'!$A14,'Unos rashoda P4'!$I$3:$I$512)</f>
        <v>0</v>
      </c>
      <c r="E14" s="318">
        <f>SUMIF('Unos rashoda i izdataka'!$R$3:$R$511,'A.4 RASHODI FUNK'!$A14,'Unos rashoda i izdataka'!$L$3:$L$511)+SUMIF('Unos rashoda P4'!$T$3:$T$512,'A.4 RASHODI FUNK'!$A14,'Unos rashoda P4'!$J$3:$J$512)</f>
        <v>0</v>
      </c>
    </row>
    <row r="15" spans="1:193">
      <c r="A15" s="291">
        <v>2</v>
      </c>
      <c r="B15" s="58" t="s">
        <v>5186</v>
      </c>
      <c r="C15" s="319">
        <f>SUM(C16:C20)</f>
        <v>0</v>
      </c>
      <c r="D15" s="319">
        <f>SUM(D16:D20)</f>
        <v>0</v>
      </c>
      <c r="E15" s="319">
        <f>SUM(E16:E20)</f>
        <v>0</v>
      </c>
    </row>
    <row r="16" spans="1:193">
      <c r="A16" s="311">
        <v>21</v>
      </c>
      <c r="B16" s="43" t="s">
        <v>5187</v>
      </c>
      <c r="C16" s="318">
        <f>SUMIF('Unos rashoda i izdataka'!$R$3:$R$511,'A.4 RASHODI FUNK'!$A16,'Unos rashoda i izdataka'!$J$3:$J$511)+SUMIF('Unos rashoda P4'!$T$3:$T$512,'A.4 RASHODI FUNK'!$A16,'Unos rashoda P4'!$H$3:$H$512)</f>
        <v>0</v>
      </c>
      <c r="D16" s="318">
        <f>SUMIF('Unos rashoda i izdataka'!$R$3:$R$511,'A.4 RASHODI FUNK'!$A16,'Unos rashoda i izdataka'!$K$3:$K$511)+SUMIF('Unos rashoda P4'!$T$3:$T$512,'A.4 RASHODI FUNK'!$A16,'Unos rashoda P4'!$I$3:$I$512)</f>
        <v>0</v>
      </c>
      <c r="E16" s="318">
        <f>SUMIF('Unos rashoda i izdataka'!$R$3:$R$511,'A.4 RASHODI FUNK'!$A16,'Unos rashoda i izdataka'!$L$3:$L$511)+SUMIF('Unos rashoda P4'!$T$3:$T$512,'A.4 RASHODI FUNK'!$A16,'Unos rashoda P4'!$J$3:$J$512)</f>
        <v>0</v>
      </c>
    </row>
    <row r="17" spans="1:5">
      <c r="A17" s="311">
        <v>22</v>
      </c>
      <c r="B17" s="43" t="s">
        <v>5188</v>
      </c>
      <c r="C17" s="318">
        <f>SUMIF('Unos rashoda i izdataka'!$R$3:$R$511,'A.4 RASHODI FUNK'!$A17,'Unos rashoda i izdataka'!$J$3:$J$511)+SUMIF('Unos rashoda P4'!$T$3:$T$512,'A.4 RASHODI FUNK'!$A17,'Unos rashoda P4'!$H$3:$H$512)</f>
        <v>0</v>
      </c>
      <c r="D17" s="318">
        <f>SUMIF('Unos rashoda i izdataka'!$R$3:$R$511,'A.4 RASHODI FUNK'!$A17,'Unos rashoda i izdataka'!$K$3:$K$511)+SUMIF('Unos rashoda P4'!$T$3:$T$512,'A.4 RASHODI FUNK'!$A17,'Unos rashoda P4'!$I$3:$I$512)</f>
        <v>0</v>
      </c>
      <c r="E17" s="318">
        <f>SUMIF('Unos rashoda i izdataka'!$R$3:$R$511,'A.4 RASHODI FUNK'!$A17,'Unos rashoda i izdataka'!$L$3:$L$511)+SUMIF('Unos rashoda P4'!$T$3:$T$512,'A.4 RASHODI FUNK'!$A17,'Unos rashoda P4'!$J$3:$J$512)</f>
        <v>0</v>
      </c>
    </row>
    <row r="18" spans="1:5">
      <c r="A18" s="311">
        <v>23</v>
      </c>
      <c r="B18" s="43" t="s">
        <v>5189</v>
      </c>
      <c r="C18" s="318">
        <f>SUMIF('Unos rashoda i izdataka'!$R$3:$R$511,'A.4 RASHODI FUNK'!$A18,'Unos rashoda i izdataka'!$J$3:$J$511)+SUMIF('Unos rashoda P4'!$T$3:$T$512,'A.4 RASHODI FUNK'!$A18,'Unos rashoda P4'!$H$3:$H$512)</f>
        <v>0</v>
      </c>
      <c r="D18" s="318">
        <f>SUMIF('Unos rashoda i izdataka'!$R$3:$R$511,'A.4 RASHODI FUNK'!$A18,'Unos rashoda i izdataka'!$K$3:$K$511)+SUMIF('Unos rashoda P4'!$T$3:$T$512,'A.4 RASHODI FUNK'!$A18,'Unos rashoda P4'!$I$3:$I$512)</f>
        <v>0</v>
      </c>
      <c r="E18" s="318">
        <f>SUMIF('Unos rashoda i izdataka'!$R$3:$R$511,'A.4 RASHODI FUNK'!$A18,'Unos rashoda i izdataka'!$L$3:$L$511)+SUMIF('Unos rashoda P4'!$T$3:$T$512,'A.4 RASHODI FUNK'!$A18,'Unos rashoda P4'!$J$3:$J$512)</f>
        <v>0</v>
      </c>
    </row>
    <row r="19" spans="1:5">
      <c r="A19" s="311">
        <v>24</v>
      </c>
      <c r="B19" s="43" t="s">
        <v>5190</v>
      </c>
      <c r="C19" s="318">
        <f>SUMIF('Unos rashoda i izdataka'!$R$3:$R$511,'A.4 RASHODI FUNK'!$A19,'Unos rashoda i izdataka'!$J$3:$J$511)+SUMIF('Unos rashoda P4'!$T$3:$T$512,'A.4 RASHODI FUNK'!$A19,'Unos rashoda P4'!$H$3:$H$512)</f>
        <v>0</v>
      </c>
      <c r="D19" s="318">
        <f>SUMIF('Unos rashoda i izdataka'!$R$3:$R$511,'A.4 RASHODI FUNK'!$A19,'Unos rashoda i izdataka'!$K$3:$K$511)+SUMIF('Unos rashoda P4'!$T$3:$T$512,'A.4 RASHODI FUNK'!$A19,'Unos rashoda P4'!$I$3:$I$512)</f>
        <v>0</v>
      </c>
      <c r="E19" s="318">
        <f>SUMIF('Unos rashoda i izdataka'!$R$3:$R$511,'A.4 RASHODI FUNK'!$A19,'Unos rashoda i izdataka'!$L$3:$L$511)+SUMIF('Unos rashoda P4'!$T$3:$T$512,'A.4 RASHODI FUNK'!$A19,'Unos rashoda P4'!$J$3:$J$512)</f>
        <v>0</v>
      </c>
    </row>
    <row r="20" spans="1:5">
      <c r="A20" s="311">
        <v>25</v>
      </c>
      <c r="B20" s="43" t="s">
        <v>5191</v>
      </c>
      <c r="C20" s="318">
        <f>SUMIF('Unos rashoda i izdataka'!$R$3:$R$511,'A.4 RASHODI FUNK'!$A20,'Unos rashoda i izdataka'!$J$3:$J$511)+SUMIF('Unos rashoda P4'!$T$3:$T$512,'A.4 RASHODI FUNK'!$A20,'Unos rashoda P4'!$H$3:$H$512)</f>
        <v>0</v>
      </c>
      <c r="D20" s="318">
        <f>SUMIF('Unos rashoda i izdataka'!$R$3:$R$511,'A.4 RASHODI FUNK'!$A20,'Unos rashoda i izdataka'!$K$3:$K$511)+SUMIF('Unos rashoda P4'!$T$3:$T$512,'A.4 RASHODI FUNK'!$A20,'Unos rashoda P4'!$I$3:$I$512)</f>
        <v>0</v>
      </c>
      <c r="E20" s="318">
        <f>SUMIF('Unos rashoda i izdataka'!$R$3:$R$511,'A.4 RASHODI FUNK'!$A20,'Unos rashoda i izdataka'!$L$3:$L$511)+SUMIF('Unos rashoda P4'!$T$3:$T$512,'A.4 RASHODI FUNK'!$A20,'Unos rashoda P4'!$J$3:$J$512)</f>
        <v>0</v>
      </c>
    </row>
    <row r="21" spans="1:5">
      <c r="A21" s="291">
        <v>3</v>
      </c>
      <c r="B21" s="58" t="s">
        <v>5192</v>
      </c>
      <c r="C21" s="324">
        <f>SUM(C22:C27)</f>
        <v>0</v>
      </c>
      <c r="D21" s="324">
        <f>SUM(D22:D27)</f>
        <v>0</v>
      </c>
      <c r="E21" s="324">
        <f>SUM(E22:E27)</f>
        <v>0</v>
      </c>
    </row>
    <row r="22" spans="1:5">
      <c r="A22" s="311">
        <v>31</v>
      </c>
      <c r="B22" s="43" t="s">
        <v>5193</v>
      </c>
      <c r="C22" s="318">
        <f>SUMIF('Unos rashoda i izdataka'!$R$3:$R$511,'A.4 RASHODI FUNK'!$A22,'Unos rashoda i izdataka'!$J$3:$J$511)+SUMIF('Unos rashoda P4'!$T$3:$T$512,'A.4 RASHODI FUNK'!$A22,'Unos rashoda P4'!$H$3:$H$512)</f>
        <v>0</v>
      </c>
      <c r="D22" s="318">
        <f>SUMIF('Unos rashoda i izdataka'!$R$3:$R$511,'A.4 RASHODI FUNK'!$A22,'Unos rashoda i izdataka'!$K$3:$K$511)+SUMIF('Unos rashoda P4'!$T$3:$T$512,'A.4 RASHODI FUNK'!$A22,'Unos rashoda P4'!$I$3:$I$512)</f>
        <v>0</v>
      </c>
      <c r="E22" s="318">
        <f>SUMIF('Unos rashoda i izdataka'!$R$3:$R$511,'A.4 RASHODI FUNK'!$A22,'Unos rashoda i izdataka'!$L$3:$L$511)+SUMIF('Unos rashoda P4'!$T$3:$T$512,'A.4 RASHODI FUNK'!$A22,'Unos rashoda P4'!$J$3:$J$512)</f>
        <v>0</v>
      </c>
    </row>
    <row r="23" spans="1:5">
      <c r="A23" s="311">
        <v>32</v>
      </c>
      <c r="B23" s="43" t="s">
        <v>5194</v>
      </c>
      <c r="C23" s="318">
        <f>SUMIF('Unos rashoda i izdataka'!$R$3:$R$511,'A.4 RASHODI FUNK'!$A23,'Unos rashoda i izdataka'!$J$3:$J$511)+SUMIF('Unos rashoda P4'!$T$3:$T$512,'A.4 RASHODI FUNK'!$A23,'Unos rashoda P4'!$H$3:$H$512)</f>
        <v>0</v>
      </c>
      <c r="D23" s="318">
        <f>SUMIF('Unos rashoda i izdataka'!$R$3:$R$511,'A.4 RASHODI FUNK'!$A23,'Unos rashoda i izdataka'!$K$3:$K$511)+SUMIF('Unos rashoda P4'!$T$3:$T$512,'A.4 RASHODI FUNK'!$A23,'Unos rashoda P4'!$I$3:$I$512)</f>
        <v>0</v>
      </c>
      <c r="E23" s="318">
        <f>SUMIF('Unos rashoda i izdataka'!$R$3:$R$511,'A.4 RASHODI FUNK'!$A23,'Unos rashoda i izdataka'!$L$3:$L$511)+SUMIF('Unos rashoda P4'!$T$3:$T$512,'A.4 RASHODI FUNK'!$A23,'Unos rashoda P4'!$J$3:$J$512)</f>
        <v>0</v>
      </c>
    </row>
    <row r="24" spans="1:5">
      <c r="A24" s="311">
        <v>33</v>
      </c>
      <c r="B24" s="43" t="s">
        <v>5195</v>
      </c>
      <c r="C24" s="318">
        <f>SUMIF('Unos rashoda i izdataka'!$R$3:$R$511,'A.4 RASHODI FUNK'!$A24,'Unos rashoda i izdataka'!$J$3:$J$511)+SUMIF('Unos rashoda P4'!$T$3:$T$512,'A.4 RASHODI FUNK'!$A24,'Unos rashoda P4'!$H$3:$H$512)</f>
        <v>0</v>
      </c>
      <c r="D24" s="318">
        <f>SUMIF('Unos rashoda i izdataka'!$R$3:$R$511,'A.4 RASHODI FUNK'!$A24,'Unos rashoda i izdataka'!$K$3:$K$511)+SUMIF('Unos rashoda P4'!$T$3:$T$512,'A.4 RASHODI FUNK'!$A24,'Unos rashoda P4'!$I$3:$I$512)</f>
        <v>0</v>
      </c>
      <c r="E24" s="318">
        <f>SUMIF('Unos rashoda i izdataka'!$R$3:$R$511,'A.4 RASHODI FUNK'!$A24,'Unos rashoda i izdataka'!$L$3:$L$511)+SUMIF('Unos rashoda P4'!$T$3:$T$512,'A.4 RASHODI FUNK'!$A24,'Unos rashoda P4'!$J$3:$J$512)</f>
        <v>0</v>
      </c>
    </row>
    <row r="25" spans="1:5">
      <c r="A25" s="311">
        <v>34</v>
      </c>
      <c r="B25" s="43" t="s">
        <v>5196</v>
      </c>
      <c r="C25" s="318">
        <f>SUMIF('Unos rashoda i izdataka'!$R$3:$R$511,'A.4 RASHODI FUNK'!$A25,'Unos rashoda i izdataka'!$J$3:$J$511)+SUMIF('Unos rashoda P4'!$T$3:$T$512,'A.4 RASHODI FUNK'!$A25,'Unos rashoda P4'!$H$3:$H$512)</f>
        <v>0</v>
      </c>
      <c r="D25" s="318">
        <f>SUMIF('Unos rashoda i izdataka'!$R$3:$R$511,'A.4 RASHODI FUNK'!$A25,'Unos rashoda i izdataka'!$K$3:$K$511)+SUMIF('Unos rashoda P4'!$T$3:$T$512,'A.4 RASHODI FUNK'!$A25,'Unos rashoda P4'!$I$3:$I$512)</f>
        <v>0</v>
      </c>
      <c r="E25" s="318">
        <f>SUMIF('Unos rashoda i izdataka'!$R$3:$R$511,'A.4 RASHODI FUNK'!$A25,'Unos rashoda i izdataka'!$L$3:$L$511)+SUMIF('Unos rashoda P4'!$T$3:$T$512,'A.4 RASHODI FUNK'!$A25,'Unos rashoda P4'!$J$3:$J$512)</f>
        <v>0</v>
      </c>
    </row>
    <row r="26" spans="1:5">
      <c r="A26" s="311">
        <v>35</v>
      </c>
      <c r="B26" s="43" t="s">
        <v>5197</v>
      </c>
      <c r="C26" s="318">
        <f>SUMIF('Unos rashoda i izdataka'!$R$3:$R$511,'A.4 RASHODI FUNK'!$A26,'Unos rashoda i izdataka'!$J$3:$J$511)+SUMIF('Unos rashoda P4'!$T$3:$T$512,'A.4 RASHODI FUNK'!$A26,'Unos rashoda P4'!$H$3:$H$512)</f>
        <v>0</v>
      </c>
      <c r="D26" s="318">
        <f>SUMIF('Unos rashoda i izdataka'!$R$3:$R$511,'A.4 RASHODI FUNK'!$A26,'Unos rashoda i izdataka'!$K$3:$K$511)+SUMIF('Unos rashoda P4'!$T$3:$T$512,'A.4 RASHODI FUNK'!$A26,'Unos rashoda P4'!$I$3:$I$512)</f>
        <v>0</v>
      </c>
      <c r="E26" s="318">
        <f>SUMIF('Unos rashoda i izdataka'!$R$3:$R$511,'A.4 RASHODI FUNK'!$A26,'Unos rashoda i izdataka'!$L$3:$L$511)+SUMIF('Unos rashoda P4'!$T$3:$T$512,'A.4 RASHODI FUNK'!$A26,'Unos rashoda P4'!$J$3:$J$512)</f>
        <v>0</v>
      </c>
    </row>
    <row r="27" spans="1:5" ht="25.5">
      <c r="A27" s="311">
        <v>36</v>
      </c>
      <c r="B27" s="43" t="s">
        <v>5198</v>
      </c>
      <c r="C27" s="318">
        <f>SUMIF('Unos rashoda i izdataka'!$R$3:$R$511,'A.4 RASHODI FUNK'!$A27,'Unos rashoda i izdataka'!$J$3:$J$511)+SUMIF('Unos rashoda P4'!$T$3:$T$512,'A.4 RASHODI FUNK'!$A27,'Unos rashoda P4'!$H$3:$H$512)</f>
        <v>0</v>
      </c>
      <c r="D27" s="318">
        <f>SUMIF('Unos rashoda i izdataka'!$R$3:$R$511,'A.4 RASHODI FUNK'!$A27,'Unos rashoda i izdataka'!$K$3:$K$511)+SUMIF('Unos rashoda P4'!$T$3:$T$512,'A.4 RASHODI FUNK'!$A27,'Unos rashoda P4'!$I$3:$I$512)</f>
        <v>0</v>
      </c>
      <c r="E27" s="318">
        <f>SUMIF('Unos rashoda i izdataka'!$R$3:$R$511,'A.4 RASHODI FUNK'!$A27,'Unos rashoda i izdataka'!$L$3:$L$511)+SUMIF('Unos rashoda P4'!$T$3:$T$512,'A.4 RASHODI FUNK'!$A27,'Unos rashoda P4'!$J$3:$J$512)</f>
        <v>0</v>
      </c>
    </row>
    <row r="28" spans="1:5">
      <c r="A28" s="291">
        <v>4</v>
      </c>
      <c r="B28" s="58" t="s">
        <v>5199</v>
      </c>
      <c r="C28" s="324">
        <f>SUM(C29:C37)</f>
        <v>0</v>
      </c>
      <c r="D28" s="324">
        <f>SUM(D29:D37)</f>
        <v>0</v>
      </c>
      <c r="E28" s="324">
        <f>SUM(E29:E37)</f>
        <v>0</v>
      </c>
    </row>
    <row r="29" spans="1:5">
      <c r="A29" s="311">
        <v>41</v>
      </c>
      <c r="B29" s="43" t="s">
        <v>5200</v>
      </c>
      <c r="C29" s="318">
        <f>SUMIF('Unos rashoda i izdataka'!$R$3:$R$511,'A.4 RASHODI FUNK'!$A29,'Unos rashoda i izdataka'!$J$3:$J$511)+SUMIF('Unos rashoda P4'!$T$3:$T$512,'A.4 RASHODI FUNK'!$A29,'Unos rashoda P4'!$H$3:$H$512)</f>
        <v>0</v>
      </c>
      <c r="D29" s="318">
        <f>SUMIF('Unos rashoda i izdataka'!$R$3:$R$511,'A.4 RASHODI FUNK'!$A29,'Unos rashoda i izdataka'!$K$3:$K$511)+SUMIF('Unos rashoda P4'!$T$3:$T$512,'A.4 RASHODI FUNK'!$A29,'Unos rashoda P4'!$I$3:$I$512)</f>
        <v>0</v>
      </c>
      <c r="E29" s="318">
        <f>SUMIF('Unos rashoda i izdataka'!$R$3:$R$511,'A.4 RASHODI FUNK'!$A29,'Unos rashoda i izdataka'!$L$3:$L$511)+SUMIF('Unos rashoda P4'!$T$3:$T$512,'A.4 RASHODI FUNK'!$A29,'Unos rashoda P4'!$J$3:$J$512)</f>
        <v>0</v>
      </c>
    </row>
    <row r="30" spans="1:5">
      <c r="A30" s="311">
        <v>42</v>
      </c>
      <c r="B30" s="43" t="s">
        <v>5201</v>
      </c>
      <c r="C30" s="318">
        <f>SUMIF('Unos rashoda i izdataka'!$R$3:$R$511,'A.4 RASHODI FUNK'!$A30,'Unos rashoda i izdataka'!$J$3:$J$511)+SUMIF('Unos rashoda P4'!$T$3:$T$512,'A.4 RASHODI FUNK'!$A30,'Unos rashoda P4'!$H$3:$H$512)</f>
        <v>0</v>
      </c>
      <c r="D30" s="318">
        <f>SUMIF('Unos rashoda i izdataka'!$R$3:$R$511,'A.4 RASHODI FUNK'!$A30,'Unos rashoda i izdataka'!$K$3:$K$511)+SUMIF('Unos rashoda P4'!$T$3:$T$512,'A.4 RASHODI FUNK'!$A30,'Unos rashoda P4'!$I$3:$I$512)</f>
        <v>0</v>
      </c>
      <c r="E30" s="318">
        <f>SUMIF('Unos rashoda i izdataka'!$R$3:$R$511,'A.4 RASHODI FUNK'!$A30,'Unos rashoda i izdataka'!$L$3:$L$511)+SUMIF('Unos rashoda P4'!$T$3:$T$512,'A.4 RASHODI FUNK'!$A30,'Unos rashoda P4'!$J$3:$J$512)</f>
        <v>0</v>
      </c>
    </row>
    <row r="31" spans="1:5">
      <c r="A31" s="311">
        <v>43</v>
      </c>
      <c r="B31" s="43" t="s">
        <v>5202</v>
      </c>
      <c r="C31" s="318">
        <f>SUMIF('Unos rashoda i izdataka'!$R$3:$R$511,'A.4 RASHODI FUNK'!$A31,'Unos rashoda i izdataka'!$J$3:$J$511)+SUMIF('Unos rashoda P4'!$T$3:$T$512,'A.4 RASHODI FUNK'!$A31,'Unos rashoda P4'!$H$3:$H$512)</f>
        <v>0</v>
      </c>
      <c r="D31" s="318">
        <f>SUMIF('Unos rashoda i izdataka'!$R$3:$R$511,'A.4 RASHODI FUNK'!$A31,'Unos rashoda i izdataka'!$K$3:$K$511)+SUMIF('Unos rashoda P4'!$T$3:$T$512,'A.4 RASHODI FUNK'!$A31,'Unos rashoda P4'!$I$3:$I$512)</f>
        <v>0</v>
      </c>
      <c r="E31" s="318">
        <f>SUMIF('Unos rashoda i izdataka'!$R$3:$R$511,'A.4 RASHODI FUNK'!$A31,'Unos rashoda i izdataka'!$L$3:$L$511)+SUMIF('Unos rashoda P4'!$T$3:$T$512,'A.4 RASHODI FUNK'!$A31,'Unos rashoda P4'!$J$3:$J$512)</f>
        <v>0</v>
      </c>
    </row>
    <row r="32" spans="1:5">
      <c r="A32" s="311">
        <v>44</v>
      </c>
      <c r="B32" s="43" t="s">
        <v>5203</v>
      </c>
      <c r="C32" s="318">
        <f>SUMIF('Unos rashoda i izdataka'!$R$3:$R$511,'A.4 RASHODI FUNK'!$A32,'Unos rashoda i izdataka'!$J$3:$J$511)+SUMIF('Unos rashoda P4'!$T$3:$T$512,'A.4 RASHODI FUNK'!$A32,'Unos rashoda P4'!$H$3:$H$512)</f>
        <v>0</v>
      </c>
      <c r="D32" s="318">
        <f>SUMIF('Unos rashoda i izdataka'!$R$3:$R$511,'A.4 RASHODI FUNK'!$A32,'Unos rashoda i izdataka'!$K$3:$K$511)+SUMIF('Unos rashoda P4'!$T$3:$T$512,'A.4 RASHODI FUNK'!$A32,'Unos rashoda P4'!$I$3:$I$512)</f>
        <v>0</v>
      </c>
      <c r="E32" s="318">
        <f>SUMIF('Unos rashoda i izdataka'!$R$3:$R$511,'A.4 RASHODI FUNK'!$A32,'Unos rashoda i izdataka'!$L$3:$L$511)+SUMIF('Unos rashoda P4'!$T$3:$T$512,'A.4 RASHODI FUNK'!$A32,'Unos rashoda P4'!$J$3:$J$512)</f>
        <v>0</v>
      </c>
    </row>
    <row r="33" spans="1:5">
      <c r="A33" s="311">
        <v>45</v>
      </c>
      <c r="B33" s="43" t="s">
        <v>5204</v>
      </c>
      <c r="C33" s="318">
        <f>SUMIF('Unos rashoda i izdataka'!$R$3:$R$511,'A.4 RASHODI FUNK'!$A33,'Unos rashoda i izdataka'!$J$3:$J$511)+SUMIF('Unos rashoda P4'!$T$3:$T$512,'A.4 RASHODI FUNK'!$A33,'Unos rashoda P4'!$H$3:$H$512)</f>
        <v>0</v>
      </c>
      <c r="D33" s="318">
        <f>SUMIF('Unos rashoda i izdataka'!$R$3:$R$511,'A.4 RASHODI FUNK'!$A33,'Unos rashoda i izdataka'!$K$3:$K$511)+SUMIF('Unos rashoda P4'!$T$3:$T$512,'A.4 RASHODI FUNK'!$A33,'Unos rashoda P4'!$I$3:$I$512)</f>
        <v>0</v>
      </c>
      <c r="E33" s="318">
        <f>SUMIF('Unos rashoda i izdataka'!$R$3:$R$511,'A.4 RASHODI FUNK'!$A33,'Unos rashoda i izdataka'!$L$3:$L$511)+SUMIF('Unos rashoda P4'!$T$3:$T$512,'A.4 RASHODI FUNK'!$A33,'Unos rashoda P4'!$J$3:$J$512)</f>
        <v>0</v>
      </c>
    </row>
    <row r="34" spans="1:5">
      <c r="A34" s="311">
        <v>46</v>
      </c>
      <c r="B34" s="43" t="s">
        <v>5164</v>
      </c>
      <c r="C34" s="318">
        <f>SUMIF('Unos rashoda i izdataka'!$R$3:$R$511,'A.4 RASHODI FUNK'!$A34,'Unos rashoda i izdataka'!$J$3:$J$511)+SUMIF('Unos rashoda P4'!$T$3:$T$512,'A.4 RASHODI FUNK'!$A34,'Unos rashoda P4'!$H$3:$H$512)</f>
        <v>0</v>
      </c>
      <c r="D34" s="318">
        <f>SUMIF('Unos rashoda i izdataka'!$R$3:$R$511,'A.4 RASHODI FUNK'!$A34,'Unos rashoda i izdataka'!$K$3:$K$511)+SUMIF('Unos rashoda P4'!$T$3:$T$512,'A.4 RASHODI FUNK'!$A34,'Unos rashoda P4'!$I$3:$I$512)</f>
        <v>0</v>
      </c>
      <c r="E34" s="318">
        <f>SUMIF('Unos rashoda i izdataka'!$R$3:$R$511,'A.4 RASHODI FUNK'!$A34,'Unos rashoda i izdataka'!$L$3:$L$511)+SUMIF('Unos rashoda P4'!$T$3:$T$512,'A.4 RASHODI FUNK'!$A34,'Unos rashoda P4'!$J$3:$J$512)</f>
        <v>0</v>
      </c>
    </row>
    <row r="35" spans="1:5">
      <c r="A35" s="311">
        <v>47</v>
      </c>
      <c r="B35" s="43" t="s">
        <v>5205</v>
      </c>
      <c r="C35" s="318">
        <f>SUMIF('Unos rashoda i izdataka'!$R$3:$R$511,'A.4 RASHODI FUNK'!$A35,'Unos rashoda i izdataka'!$J$3:$J$511)+SUMIF('Unos rashoda P4'!$T$3:$T$512,'A.4 RASHODI FUNK'!$A35,'Unos rashoda P4'!$H$3:$H$512)</f>
        <v>0</v>
      </c>
      <c r="D35" s="318">
        <f>SUMIF('Unos rashoda i izdataka'!$R$3:$R$511,'A.4 RASHODI FUNK'!$A35,'Unos rashoda i izdataka'!$K$3:$K$511)+SUMIF('Unos rashoda P4'!$T$3:$T$512,'A.4 RASHODI FUNK'!$A35,'Unos rashoda P4'!$I$3:$I$512)</f>
        <v>0</v>
      </c>
      <c r="E35" s="318">
        <f>SUMIF('Unos rashoda i izdataka'!$R$3:$R$511,'A.4 RASHODI FUNK'!$A35,'Unos rashoda i izdataka'!$L$3:$L$511)+SUMIF('Unos rashoda P4'!$T$3:$T$512,'A.4 RASHODI FUNK'!$A35,'Unos rashoda P4'!$J$3:$J$512)</f>
        <v>0</v>
      </c>
    </row>
    <row r="36" spans="1:5">
      <c r="A36" s="311">
        <v>48</v>
      </c>
      <c r="B36" s="43" t="s">
        <v>5206</v>
      </c>
      <c r="C36" s="318">
        <f>SUMIF('Unos rashoda i izdataka'!$R$3:$R$511,'A.4 RASHODI FUNK'!$A36,'Unos rashoda i izdataka'!$J$3:$J$511)+SUMIF('Unos rashoda P4'!$T$3:$T$512,'A.4 RASHODI FUNK'!$A36,'Unos rashoda P4'!$H$3:$H$512)</f>
        <v>0</v>
      </c>
      <c r="D36" s="318">
        <f>SUMIF('Unos rashoda i izdataka'!$R$3:$R$511,'A.4 RASHODI FUNK'!$A36,'Unos rashoda i izdataka'!$K$3:$K$511)+SUMIF('Unos rashoda P4'!$T$3:$T$512,'A.4 RASHODI FUNK'!$A36,'Unos rashoda P4'!$I$3:$I$512)</f>
        <v>0</v>
      </c>
      <c r="E36" s="318">
        <f>SUMIF('Unos rashoda i izdataka'!$R$3:$R$511,'A.4 RASHODI FUNK'!$A36,'Unos rashoda i izdataka'!$L$3:$L$511)+SUMIF('Unos rashoda P4'!$T$3:$T$512,'A.4 RASHODI FUNK'!$A36,'Unos rashoda P4'!$J$3:$J$512)</f>
        <v>0</v>
      </c>
    </row>
    <row r="37" spans="1:5">
      <c r="A37" s="311">
        <v>49</v>
      </c>
      <c r="B37" s="43" t="s">
        <v>5207</v>
      </c>
      <c r="C37" s="318">
        <f>SUMIF('Unos rashoda i izdataka'!$R$3:$R$511,'A.4 RASHODI FUNK'!$A37,'Unos rashoda i izdataka'!$J$3:$J$511)+SUMIF('Unos rashoda P4'!$T$3:$T$512,'A.4 RASHODI FUNK'!$A37,'Unos rashoda P4'!$H$3:$H$512)</f>
        <v>0</v>
      </c>
      <c r="D37" s="318">
        <f>SUMIF('Unos rashoda i izdataka'!$R$3:$R$511,'A.4 RASHODI FUNK'!$A37,'Unos rashoda i izdataka'!$K$3:$K$511)+SUMIF('Unos rashoda P4'!$T$3:$T$512,'A.4 RASHODI FUNK'!$A37,'Unos rashoda P4'!$I$3:$I$512)</f>
        <v>0</v>
      </c>
      <c r="E37" s="318">
        <f>SUMIF('Unos rashoda i izdataka'!$R$3:$R$511,'A.4 RASHODI FUNK'!$A37,'Unos rashoda i izdataka'!$L$3:$L$511)+SUMIF('Unos rashoda P4'!$T$3:$T$512,'A.4 RASHODI FUNK'!$A37,'Unos rashoda P4'!$J$3:$J$512)</f>
        <v>0</v>
      </c>
    </row>
    <row r="38" spans="1:5">
      <c r="A38" s="291">
        <v>5</v>
      </c>
      <c r="B38" s="58" t="s">
        <v>5208</v>
      </c>
      <c r="C38" s="324">
        <f>SUM(C39:C44)</f>
        <v>0</v>
      </c>
      <c r="D38" s="324">
        <f>SUM(D39:D44)</f>
        <v>0</v>
      </c>
      <c r="E38" s="324">
        <f>SUM(E39:E44)</f>
        <v>0</v>
      </c>
    </row>
    <row r="39" spans="1:5">
      <c r="A39" s="311">
        <v>51</v>
      </c>
      <c r="B39" s="43" t="s">
        <v>5209</v>
      </c>
      <c r="C39" s="318">
        <f>SUMIF('Unos rashoda i izdataka'!$R$3:$R$511,'A.4 RASHODI FUNK'!$A39,'Unos rashoda i izdataka'!$J$3:$J$511)+SUMIF('Unos rashoda P4'!$T$3:$T$512,'A.4 RASHODI FUNK'!$A39,'Unos rashoda P4'!$H$3:$H$512)</f>
        <v>0</v>
      </c>
      <c r="D39" s="318">
        <f>SUMIF('Unos rashoda i izdataka'!$R$3:$R$511,'A.4 RASHODI FUNK'!$A39,'Unos rashoda i izdataka'!$K$3:$K$511)+SUMIF('Unos rashoda P4'!$T$3:$T$512,'A.4 RASHODI FUNK'!$A39,'Unos rashoda P4'!$I$3:$I$512)</f>
        <v>0</v>
      </c>
      <c r="E39" s="318">
        <f>SUMIF('Unos rashoda i izdataka'!$R$3:$R$511,'A.4 RASHODI FUNK'!$A39,'Unos rashoda i izdataka'!$L$3:$L$511)+SUMIF('Unos rashoda P4'!$T$3:$T$512,'A.4 RASHODI FUNK'!$A39,'Unos rashoda P4'!$J$3:$J$512)</f>
        <v>0</v>
      </c>
    </row>
    <row r="40" spans="1:5">
      <c r="A40" s="311">
        <v>52</v>
      </c>
      <c r="B40" s="43" t="s">
        <v>5210</v>
      </c>
      <c r="C40" s="318">
        <f>SUMIF('Unos rashoda i izdataka'!$R$3:$R$511,'A.4 RASHODI FUNK'!$A40,'Unos rashoda i izdataka'!$J$3:$J$511)+SUMIF('Unos rashoda P4'!$T$3:$T$512,'A.4 RASHODI FUNK'!$A40,'Unos rashoda P4'!$H$3:$H$512)</f>
        <v>0</v>
      </c>
      <c r="D40" s="318">
        <f>SUMIF('Unos rashoda i izdataka'!$R$3:$R$511,'A.4 RASHODI FUNK'!$A40,'Unos rashoda i izdataka'!$K$3:$K$511)+SUMIF('Unos rashoda P4'!$T$3:$T$512,'A.4 RASHODI FUNK'!$A40,'Unos rashoda P4'!$I$3:$I$512)</f>
        <v>0</v>
      </c>
      <c r="E40" s="318">
        <f>SUMIF('Unos rashoda i izdataka'!$R$3:$R$511,'A.4 RASHODI FUNK'!$A40,'Unos rashoda i izdataka'!$L$3:$L$511)+SUMIF('Unos rashoda P4'!$T$3:$T$512,'A.4 RASHODI FUNK'!$A40,'Unos rashoda P4'!$J$3:$J$512)</f>
        <v>0</v>
      </c>
    </row>
    <row r="41" spans="1:5">
      <c r="A41" s="311">
        <v>53</v>
      </c>
      <c r="B41" s="43" t="s">
        <v>5211</v>
      </c>
      <c r="C41" s="318">
        <f>SUMIF('Unos rashoda i izdataka'!$R$3:$R$511,'A.4 RASHODI FUNK'!$A41,'Unos rashoda i izdataka'!$J$3:$J$511)+SUMIF('Unos rashoda P4'!$T$3:$T$512,'A.4 RASHODI FUNK'!$A41,'Unos rashoda P4'!$H$3:$H$512)</f>
        <v>0</v>
      </c>
      <c r="D41" s="318">
        <f>SUMIF('Unos rashoda i izdataka'!$R$3:$R$511,'A.4 RASHODI FUNK'!$A41,'Unos rashoda i izdataka'!$K$3:$K$511)+SUMIF('Unos rashoda P4'!$T$3:$T$512,'A.4 RASHODI FUNK'!$A41,'Unos rashoda P4'!$I$3:$I$512)</f>
        <v>0</v>
      </c>
      <c r="E41" s="318">
        <f>SUMIF('Unos rashoda i izdataka'!$R$3:$R$511,'A.4 RASHODI FUNK'!$A41,'Unos rashoda i izdataka'!$L$3:$L$511)+SUMIF('Unos rashoda P4'!$T$3:$T$512,'A.4 RASHODI FUNK'!$A41,'Unos rashoda P4'!$J$3:$J$512)</f>
        <v>0</v>
      </c>
    </row>
    <row r="42" spans="1:5">
      <c r="A42" s="311">
        <v>54</v>
      </c>
      <c r="B42" s="43" t="s">
        <v>5212</v>
      </c>
      <c r="C42" s="318">
        <f>SUMIF('Unos rashoda i izdataka'!$R$3:$R$511,'A.4 RASHODI FUNK'!$A42,'Unos rashoda i izdataka'!$J$3:$J$511)+SUMIF('Unos rashoda P4'!$T$3:$T$512,'A.4 RASHODI FUNK'!$A42,'Unos rashoda P4'!$H$3:$H$512)</f>
        <v>0</v>
      </c>
      <c r="D42" s="318">
        <f>SUMIF('Unos rashoda i izdataka'!$R$3:$R$511,'A.4 RASHODI FUNK'!$A42,'Unos rashoda i izdataka'!$K$3:$K$511)+SUMIF('Unos rashoda P4'!$T$3:$T$512,'A.4 RASHODI FUNK'!$A42,'Unos rashoda P4'!$I$3:$I$512)</f>
        <v>0</v>
      </c>
      <c r="E42" s="318">
        <f>SUMIF('Unos rashoda i izdataka'!$R$3:$R$511,'A.4 RASHODI FUNK'!$A42,'Unos rashoda i izdataka'!$L$3:$L$511)+SUMIF('Unos rashoda P4'!$T$3:$T$512,'A.4 RASHODI FUNK'!$A42,'Unos rashoda P4'!$J$3:$J$512)</f>
        <v>0</v>
      </c>
    </row>
    <row r="43" spans="1:5">
      <c r="A43" s="311">
        <v>55</v>
      </c>
      <c r="B43" s="43" t="s">
        <v>5213</v>
      </c>
      <c r="C43" s="318">
        <f>SUMIF('Unos rashoda i izdataka'!$R$3:$R$511,'A.4 RASHODI FUNK'!$A43,'Unos rashoda i izdataka'!$J$3:$J$511)+SUMIF('Unos rashoda P4'!$T$3:$T$512,'A.4 RASHODI FUNK'!$A43,'Unos rashoda P4'!$H$3:$H$512)</f>
        <v>0</v>
      </c>
      <c r="D43" s="318">
        <f>SUMIF('Unos rashoda i izdataka'!$R$3:$R$511,'A.4 RASHODI FUNK'!$A43,'Unos rashoda i izdataka'!$K$3:$K$511)+SUMIF('Unos rashoda P4'!$T$3:$T$512,'A.4 RASHODI FUNK'!$A43,'Unos rashoda P4'!$I$3:$I$512)</f>
        <v>0</v>
      </c>
      <c r="E43" s="318">
        <f>SUMIF('Unos rashoda i izdataka'!$R$3:$R$511,'A.4 RASHODI FUNK'!$A43,'Unos rashoda i izdataka'!$L$3:$L$511)+SUMIF('Unos rashoda P4'!$T$3:$T$512,'A.4 RASHODI FUNK'!$A43,'Unos rashoda P4'!$J$3:$J$512)</f>
        <v>0</v>
      </c>
    </row>
    <row r="44" spans="1:5" ht="25.5">
      <c r="A44" s="311">
        <v>56</v>
      </c>
      <c r="B44" s="43" t="s">
        <v>5214</v>
      </c>
      <c r="C44" s="318">
        <f>SUMIF('Unos rashoda i izdataka'!$R$3:$R$511,'A.4 RASHODI FUNK'!$A44,'Unos rashoda i izdataka'!$J$3:$J$511)+SUMIF('Unos rashoda P4'!$T$3:$T$512,'A.4 RASHODI FUNK'!$A44,'Unos rashoda P4'!$H$3:$H$512)</f>
        <v>0</v>
      </c>
      <c r="D44" s="318">
        <f>SUMIF('Unos rashoda i izdataka'!$R$3:$R$511,'A.4 RASHODI FUNK'!$A44,'Unos rashoda i izdataka'!$K$3:$K$511)+SUMIF('Unos rashoda P4'!$T$3:$T$512,'A.4 RASHODI FUNK'!$A44,'Unos rashoda P4'!$I$3:$I$512)</f>
        <v>0</v>
      </c>
      <c r="E44" s="318">
        <f>SUMIF('Unos rashoda i izdataka'!$R$3:$R$511,'A.4 RASHODI FUNK'!$A44,'Unos rashoda i izdataka'!$L$3:$L$511)+SUMIF('Unos rashoda P4'!$T$3:$T$512,'A.4 RASHODI FUNK'!$A44,'Unos rashoda P4'!$J$3:$J$512)</f>
        <v>0</v>
      </c>
    </row>
    <row r="45" spans="1:5">
      <c r="A45" s="291">
        <v>6</v>
      </c>
      <c r="B45" s="58" t="s">
        <v>5215</v>
      </c>
      <c r="C45" s="324">
        <f>SUM(C46:C51)</f>
        <v>0</v>
      </c>
      <c r="D45" s="324">
        <f>SUM(D46:D51)</f>
        <v>0</v>
      </c>
      <c r="E45" s="324">
        <f>SUM(E46:E51)</f>
        <v>0</v>
      </c>
    </row>
    <row r="46" spans="1:5">
      <c r="A46" s="311">
        <v>61</v>
      </c>
      <c r="B46" s="43" t="s">
        <v>5216</v>
      </c>
      <c r="C46" s="318">
        <f>SUMIF('Unos rashoda i izdataka'!$R$3:$R$511,'A.4 RASHODI FUNK'!$A46,'Unos rashoda i izdataka'!$J$3:$J$511)+SUMIF('Unos rashoda P4'!$T$3:$T$512,'A.4 RASHODI FUNK'!$A46,'Unos rashoda P4'!$H$3:$H$512)</f>
        <v>0</v>
      </c>
      <c r="D46" s="318">
        <f>SUMIF('Unos rashoda i izdataka'!$R$3:$R$511,'A.4 RASHODI FUNK'!$A46,'Unos rashoda i izdataka'!$K$3:$K$511)+SUMIF('Unos rashoda P4'!$T$3:$T$512,'A.4 RASHODI FUNK'!$A46,'Unos rashoda P4'!$I$3:$I$512)</f>
        <v>0</v>
      </c>
      <c r="E46" s="318">
        <f>SUMIF('Unos rashoda i izdataka'!$R$3:$R$511,'A.4 RASHODI FUNK'!$A46,'Unos rashoda i izdataka'!$L$3:$L$511)+SUMIF('Unos rashoda P4'!$T$3:$T$512,'A.4 RASHODI FUNK'!$A46,'Unos rashoda P4'!$J$3:$J$512)</f>
        <v>0</v>
      </c>
    </row>
    <row r="47" spans="1:5">
      <c r="A47" s="311">
        <v>62</v>
      </c>
      <c r="B47" s="43" t="s">
        <v>5217</v>
      </c>
      <c r="C47" s="318">
        <f>SUMIF('Unos rashoda i izdataka'!$R$3:$R$511,'A.4 RASHODI FUNK'!$A47,'Unos rashoda i izdataka'!$J$3:$J$511)+SUMIF('Unos rashoda P4'!$T$3:$T$512,'A.4 RASHODI FUNK'!$A47,'Unos rashoda P4'!$H$3:$H$512)</f>
        <v>0</v>
      </c>
      <c r="D47" s="318">
        <f>SUMIF('Unos rashoda i izdataka'!$R$3:$R$511,'A.4 RASHODI FUNK'!$A47,'Unos rashoda i izdataka'!$K$3:$K$511)+SUMIF('Unos rashoda P4'!$T$3:$T$512,'A.4 RASHODI FUNK'!$A47,'Unos rashoda P4'!$I$3:$I$512)</f>
        <v>0</v>
      </c>
      <c r="E47" s="318">
        <f>SUMIF('Unos rashoda i izdataka'!$R$3:$R$511,'A.4 RASHODI FUNK'!$A47,'Unos rashoda i izdataka'!$L$3:$L$511)+SUMIF('Unos rashoda P4'!$T$3:$T$512,'A.4 RASHODI FUNK'!$A47,'Unos rashoda P4'!$J$3:$J$512)</f>
        <v>0</v>
      </c>
    </row>
    <row r="48" spans="1:5">
      <c r="A48" s="311">
        <v>63</v>
      </c>
      <c r="B48" s="43" t="s">
        <v>5218</v>
      </c>
      <c r="C48" s="318">
        <f>SUMIF('Unos rashoda i izdataka'!$R$3:$R$511,'A.4 RASHODI FUNK'!$A48,'Unos rashoda i izdataka'!$J$3:$J$511)+SUMIF('Unos rashoda P4'!$T$3:$T$512,'A.4 RASHODI FUNK'!$A48,'Unos rashoda P4'!$H$3:$H$512)</f>
        <v>0</v>
      </c>
      <c r="D48" s="318">
        <f>SUMIF('Unos rashoda i izdataka'!$R$3:$R$511,'A.4 RASHODI FUNK'!$A48,'Unos rashoda i izdataka'!$K$3:$K$511)+SUMIF('Unos rashoda P4'!$T$3:$T$512,'A.4 RASHODI FUNK'!$A48,'Unos rashoda P4'!$I$3:$I$512)</f>
        <v>0</v>
      </c>
      <c r="E48" s="318">
        <f>SUMIF('Unos rashoda i izdataka'!$R$3:$R$511,'A.4 RASHODI FUNK'!$A48,'Unos rashoda i izdataka'!$L$3:$L$511)+SUMIF('Unos rashoda P4'!$T$3:$T$512,'A.4 RASHODI FUNK'!$A48,'Unos rashoda P4'!$J$3:$J$512)</f>
        <v>0</v>
      </c>
    </row>
    <row r="49" spans="1:5">
      <c r="A49" s="311">
        <v>64</v>
      </c>
      <c r="B49" s="43" t="s">
        <v>5219</v>
      </c>
      <c r="C49" s="318">
        <f>SUMIF('Unos rashoda i izdataka'!$R$3:$R$511,'A.4 RASHODI FUNK'!$A49,'Unos rashoda i izdataka'!$J$3:$J$511)+SUMIF('Unos rashoda P4'!$T$3:$T$512,'A.4 RASHODI FUNK'!$A49,'Unos rashoda P4'!$H$3:$H$512)</f>
        <v>0</v>
      </c>
      <c r="D49" s="318">
        <f>SUMIF('Unos rashoda i izdataka'!$R$3:$R$511,'A.4 RASHODI FUNK'!$A49,'Unos rashoda i izdataka'!$K$3:$K$511)+SUMIF('Unos rashoda P4'!$T$3:$T$512,'A.4 RASHODI FUNK'!$A49,'Unos rashoda P4'!$I$3:$I$512)</f>
        <v>0</v>
      </c>
      <c r="E49" s="318">
        <f>SUMIF('Unos rashoda i izdataka'!$R$3:$R$511,'A.4 RASHODI FUNK'!$A49,'Unos rashoda i izdataka'!$L$3:$L$511)+SUMIF('Unos rashoda P4'!$T$3:$T$512,'A.4 RASHODI FUNK'!$A49,'Unos rashoda P4'!$J$3:$J$512)</f>
        <v>0</v>
      </c>
    </row>
    <row r="50" spans="1:5" ht="25.5">
      <c r="A50" s="311">
        <v>65</v>
      </c>
      <c r="B50" s="43" t="s">
        <v>5220</v>
      </c>
      <c r="C50" s="318">
        <f>SUMIF('Unos rashoda i izdataka'!$R$3:$R$511,'A.4 RASHODI FUNK'!$A50,'Unos rashoda i izdataka'!$J$3:$J$511)+SUMIF('Unos rashoda P4'!$T$3:$T$512,'A.4 RASHODI FUNK'!$A50,'Unos rashoda P4'!$H$3:$H$512)</f>
        <v>0</v>
      </c>
      <c r="D50" s="318">
        <f>SUMIF('Unos rashoda i izdataka'!$R$3:$R$511,'A.4 RASHODI FUNK'!$A50,'Unos rashoda i izdataka'!$K$3:$K$511)+SUMIF('Unos rashoda P4'!$T$3:$T$512,'A.4 RASHODI FUNK'!$A50,'Unos rashoda P4'!$I$3:$I$512)</f>
        <v>0</v>
      </c>
      <c r="E50" s="318">
        <f>SUMIF('Unos rashoda i izdataka'!$R$3:$R$511,'A.4 RASHODI FUNK'!$A50,'Unos rashoda i izdataka'!$L$3:$L$511)+SUMIF('Unos rashoda P4'!$T$3:$T$512,'A.4 RASHODI FUNK'!$A50,'Unos rashoda P4'!$J$3:$J$512)</f>
        <v>0</v>
      </c>
    </row>
    <row r="51" spans="1:5" ht="25.5">
      <c r="A51" s="311">
        <v>66</v>
      </c>
      <c r="B51" s="43" t="s">
        <v>5221</v>
      </c>
      <c r="C51" s="318">
        <f>SUMIF('Unos rashoda i izdataka'!$R$3:$R$511,'A.4 RASHODI FUNK'!$A51,'Unos rashoda i izdataka'!$J$3:$J$511)+SUMIF('Unos rashoda P4'!$T$3:$T$512,'A.4 RASHODI FUNK'!$A51,'Unos rashoda P4'!$H$3:$H$512)</f>
        <v>0</v>
      </c>
      <c r="D51" s="318">
        <f>SUMIF('Unos rashoda i izdataka'!$R$3:$R$511,'A.4 RASHODI FUNK'!$A51,'Unos rashoda i izdataka'!$K$3:$K$511)+SUMIF('Unos rashoda P4'!$T$3:$T$512,'A.4 RASHODI FUNK'!$A51,'Unos rashoda P4'!$I$3:$I$512)</f>
        <v>0</v>
      </c>
      <c r="E51" s="318">
        <f>SUMIF('Unos rashoda i izdataka'!$R$3:$R$511,'A.4 RASHODI FUNK'!$A51,'Unos rashoda i izdataka'!$L$3:$L$511)+SUMIF('Unos rashoda P4'!$T$3:$T$512,'A.4 RASHODI FUNK'!$A51,'Unos rashoda P4'!$J$3:$J$512)</f>
        <v>0</v>
      </c>
    </row>
    <row r="52" spans="1:5">
      <c r="A52" s="291">
        <v>7</v>
      </c>
      <c r="B52" s="58" t="s">
        <v>5222</v>
      </c>
      <c r="C52" s="324">
        <f>SUM(C53:C58)</f>
        <v>0</v>
      </c>
      <c r="D52" s="324">
        <f>SUM(D53:D58)</f>
        <v>0</v>
      </c>
      <c r="E52" s="324">
        <f>SUM(E53:E58)</f>
        <v>0</v>
      </c>
    </row>
    <row r="53" spans="1:5">
      <c r="A53" s="311">
        <v>71</v>
      </c>
      <c r="B53" s="43" t="s">
        <v>5223</v>
      </c>
      <c r="C53" s="318">
        <f>SUMIF('Unos rashoda i izdataka'!$R$3:$R$511,'A.4 RASHODI FUNK'!$A53,'Unos rashoda i izdataka'!$J$3:$J$511)+SUMIF('Unos rashoda P4'!$T$3:$T$512,'A.4 RASHODI FUNK'!$A53,'Unos rashoda P4'!$H$3:$H$512)</f>
        <v>0</v>
      </c>
      <c r="D53" s="318">
        <f>SUMIF('Unos rashoda i izdataka'!$R$3:$R$511,'A.4 RASHODI FUNK'!$A53,'Unos rashoda i izdataka'!$K$3:$K$511)+SUMIF('Unos rashoda P4'!$T$3:$T$512,'A.4 RASHODI FUNK'!$A53,'Unos rashoda P4'!$I$3:$I$512)</f>
        <v>0</v>
      </c>
      <c r="E53" s="318">
        <f>SUMIF('Unos rashoda i izdataka'!$R$3:$R$511,'A.4 RASHODI FUNK'!$A53,'Unos rashoda i izdataka'!$L$3:$L$511)+SUMIF('Unos rashoda P4'!$T$3:$T$512,'A.4 RASHODI FUNK'!$A53,'Unos rashoda P4'!$J$3:$J$512)</f>
        <v>0</v>
      </c>
    </row>
    <row r="54" spans="1:5">
      <c r="A54" s="311">
        <v>72</v>
      </c>
      <c r="B54" s="43" t="s">
        <v>5224</v>
      </c>
      <c r="C54" s="318">
        <f>SUMIF('Unos rashoda i izdataka'!$R$3:$R$511,'A.4 RASHODI FUNK'!$A54,'Unos rashoda i izdataka'!$J$3:$J$511)+SUMIF('Unos rashoda P4'!$T$3:$T$512,'A.4 RASHODI FUNK'!$A54,'Unos rashoda P4'!$H$3:$H$512)</f>
        <v>0</v>
      </c>
      <c r="D54" s="318">
        <f>SUMIF('Unos rashoda i izdataka'!$R$3:$R$511,'A.4 RASHODI FUNK'!$A54,'Unos rashoda i izdataka'!$K$3:$K$511)+SUMIF('Unos rashoda P4'!$T$3:$T$512,'A.4 RASHODI FUNK'!$A54,'Unos rashoda P4'!$I$3:$I$512)</f>
        <v>0</v>
      </c>
      <c r="E54" s="318">
        <f>SUMIF('Unos rashoda i izdataka'!$R$3:$R$511,'A.4 RASHODI FUNK'!$A54,'Unos rashoda i izdataka'!$L$3:$L$511)+SUMIF('Unos rashoda P4'!$T$3:$T$512,'A.4 RASHODI FUNK'!$A54,'Unos rashoda P4'!$J$3:$J$512)</f>
        <v>0</v>
      </c>
    </row>
    <row r="55" spans="1:5">
      <c r="A55" s="311">
        <v>73</v>
      </c>
      <c r="B55" s="43" t="s">
        <v>5225</v>
      </c>
      <c r="C55" s="318">
        <f>SUMIF('Unos rashoda i izdataka'!$R$3:$R$511,'A.4 RASHODI FUNK'!$A55,'Unos rashoda i izdataka'!$J$3:$J$511)+SUMIF('Unos rashoda P4'!$T$3:$T$512,'A.4 RASHODI FUNK'!$A55,'Unos rashoda P4'!$H$3:$H$512)</f>
        <v>0</v>
      </c>
      <c r="D55" s="318">
        <f>SUMIF('Unos rashoda i izdataka'!$R$3:$R$511,'A.4 RASHODI FUNK'!$A55,'Unos rashoda i izdataka'!$K$3:$K$511)+SUMIF('Unos rashoda P4'!$T$3:$T$512,'A.4 RASHODI FUNK'!$A55,'Unos rashoda P4'!$I$3:$I$512)</f>
        <v>0</v>
      </c>
      <c r="E55" s="318">
        <f>SUMIF('Unos rashoda i izdataka'!$R$3:$R$511,'A.4 RASHODI FUNK'!$A55,'Unos rashoda i izdataka'!$L$3:$L$511)+SUMIF('Unos rashoda P4'!$T$3:$T$512,'A.4 RASHODI FUNK'!$A55,'Unos rashoda P4'!$J$3:$J$512)</f>
        <v>0</v>
      </c>
    </row>
    <row r="56" spans="1:5">
      <c r="A56" s="311">
        <v>74</v>
      </c>
      <c r="B56" s="43" t="s">
        <v>5226</v>
      </c>
      <c r="C56" s="318">
        <f>SUMIF('Unos rashoda i izdataka'!$R$3:$R$511,'A.4 RASHODI FUNK'!$A56,'Unos rashoda i izdataka'!$J$3:$J$511)+SUMIF('Unos rashoda P4'!$T$3:$T$512,'A.4 RASHODI FUNK'!$A56,'Unos rashoda P4'!$H$3:$H$512)</f>
        <v>0</v>
      </c>
      <c r="D56" s="318">
        <f>SUMIF('Unos rashoda i izdataka'!$R$3:$R$511,'A.4 RASHODI FUNK'!$A56,'Unos rashoda i izdataka'!$K$3:$K$511)+SUMIF('Unos rashoda P4'!$T$3:$T$512,'A.4 RASHODI FUNK'!$A56,'Unos rashoda P4'!$I$3:$I$512)</f>
        <v>0</v>
      </c>
      <c r="E56" s="318">
        <f>SUMIF('Unos rashoda i izdataka'!$R$3:$R$511,'A.4 RASHODI FUNK'!$A56,'Unos rashoda i izdataka'!$L$3:$L$511)+SUMIF('Unos rashoda P4'!$T$3:$T$512,'A.4 RASHODI FUNK'!$A56,'Unos rashoda P4'!$J$3:$J$512)</f>
        <v>0</v>
      </c>
    </row>
    <row r="57" spans="1:5">
      <c r="A57" s="311">
        <v>75</v>
      </c>
      <c r="B57" s="43" t="s">
        <v>5227</v>
      </c>
      <c r="C57" s="318">
        <f>SUMIF('Unos rashoda i izdataka'!$R$3:$R$511,'A.4 RASHODI FUNK'!$A57,'Unos rashoda i izdataka'!$J$3:$J$511)+SUMIF('Unos rashoda P4'!$T$3:$T$512,'A.4 RASHODI FUNK'!$A57,'Unos rashoda P4'!$H$3:$H$512)</f>
        <v>0</v>
      </c>
      <c r="D57" s="318">
        <f>SUMIF('Unos rashoda i izdataka'!$R$3:$R$511,'A.4 RASHODI FUNK'!$A57,'Unos rashoda i izdataka'!$K$3:$K$511)+SUMIF('Unos rashoda P4'!$T$3:$T$512,'A.4 RASHODI FUNK'!$A57,'Unos rashoda P4'!$I$3:$I$512)</f>
        <v>0</v>
      </c>
      <c r="E57" s="318">
        <f>SUMIF('Unos rashoda i izdataka'!$R$3:$R$511,'A.4 RASHODI FUNK'!$A57,'Unos rashoda i izdataka'!$L$3:$L$511)+SUMIF('Unos rashoda P4'!$T$3:$T$512,'A.4 RASHODI FUNK'!$A57,'Unos rashoda P4'!$J$3:$J$512)</f>
        <v>0</v>
      </c>
    </row>
    <row r="58" spans="1:5" ht="25.5">
      <c r="A58" s="311">
        <v>76</v>
      </c>
      <c r="B58" s="43" t="s">
        <v>5228</v>
      </c>
      <c r="C58" s="318">
        <f>SUMIF('Unos rashoda i izdataka'!$R$3:$R$511,'A.4 RASHODI FUNK'!$A58,'Unos rashoda i izdataka'!$J$3:$J$511)+SUMIF('Unos rashoda P4'!$T$3:$T$512,'A.4 RASHODI FUNK'!$A58,'Unos rashoda P4'!$H$3:$H$512)</f>
        <v>0</v>
      </c>
      <c r="D58" s="318">
        <f>SUMIF('Unos rashoda i izdataka'!$R$3:$R$511,'A.4 RASHODI FUNK'!$A58,'Unos rashoda i izdataka'!$K$3:$K$511)+SUMIF('Unos rashoda P4'!$T$3:$T$512,'A.4 RASHODI FUNK'!$A58,'Unos rashoda P4'!$I$3:$I$512)</f>
        <v>0</v>
      </c>
      <c r="E58" s="318">
        <f>SUMIF('Unos rashoda i izdataka'!$R$3:$R$511,'A.4 RASHODI FUNK'!$A58,'Unos rashoda i izdataka'!$L$3:$L$511)+SUMIF('Unos rashoda P4'!$T$3:$T$512,'A.4 RASHODI FUNK'!$A58,'Unos rashoda P4'!$J$3:$J$512)</f>
        <v>0</v>
      </c>
    </row>
    <row r="59" spans="1:5">
      <c r="A59" s="291">
        <v>8</v>
      </c>
      <c r="B59" s="58" t="s">
        <v>5229</v>
      </c>
      <c r="C59" s="324">
        <f>SUM(C60:C65)</f>
        <v>0</v>
      </c>
      <c r="D59" s="324">
        <f>SUM(D60:D65)</f>
        <v>0</v>
      </c>
      <c r="E59" s="324">
        <f>SUM(E60:E65)</f>
        <v>0</v>
      </c>
    </row>
    <row r="60" spans="1:5">
      <c r="A60" s="311">
        <v>81</v>
      </c>
      <c r="B60" s="43" t="s">
        <v>5230</v>
      </c>
      <c r="C60" s="318">
        <f>SUMIF('Unos rashoda i izdataka'!$R$3:$R$511,'A.4 RASHODI FUNK'!$A60,'Unos rashoda i izdataka'!$J$3:$J$511)+SUMIF('Unos rashoda P4'!$T$3:$T$512,'A.4 RASHODI FUNK'!$A60,'Unos rashoda P4'!$H$3:$H$512)</f>
        <v>0</v>
      </c>
      <c r="D60" s="318">
        <f>SUMIF('Unos rashoda i izdataka'!$R$3:$R$511,'A.4 RASHODI FUNK'!$A60,'Unos rashoda i izdataka'!$K$3:$K$511)+SUMIF('Unos rashoda P4'!$T$3:$T$512,'A.4 RASHODI FUNK'!$A60,'Unos rashoda P4'!$I$3:$I$512)</f>
        <v>0</v>
      </c>
      <c r="E60" s="318">
        <f>SUMIF('Unos rashoda i izdataka'!$R$3:$R$511,'A.4 RASHODI FUNK'!$A60,'Unos rashoda i izdataka'!$L$3:$L$511)+SUMIF('Unos rashoda P4'!$T$3:$T$512,'A.4 RASHODI FUNK'!$A60,'Unos rashoda P4'!$J$3:$J$512)</f>
        <v>0</v>
      </c>
    </row>
    <row r="61" spans="1:5">
      <c r="A61" s="311">
        <v>82</v>
      </c>
      <c r="B61" s="43" t="s">
        <v>5150</v>
      </c>
      <c r="C61" s="318">
        <f>SUMIF('Unos rashoda i izdataka'!$R$3:$R$511,'A.4 RASHODI FUNK'!$A61,'Unos rashoda i izdataka'!$J$3:$J$511)+SUMIF('Unos rashoda P4'!$T$3:$T$512,'A.4 RASHODI FUNK'!$A61,'Unos rashoda P4'!$H$3:$H$512)</f>
        <v>0</v>
      </c>
      <c r="D61" s="318">
        <f>SUMIF('Unos rashoda i izdataka'!$R$3:$R$511,'A.4 RASHODI FUNK'!$A61,'Unos rashoda i izdataka'!$K$3:$K$511)+SUMIF('Unos rashoda P4'!$T$3:$T$512,'A.4 RASHODI FUNK'!$A61,'Unos rashoda P4'!$I$3:$I$512)</f>
        <v>0</v>
      </c>
      <c r="E61" s="318">
        <f>SUMIF('Unos rashoda i izdataka'!$R$3:$R$511,'A.4 RASHODI FUNK'!$A61,'Unos rashoda i izdataka'!$L$3:$L$511)+SUMIF('Unos rashoda P4'!$T$3:$T$512,'A.4 RASHODI FUNK'!$A61,'Unos rashoda P4'!$J$3:$J$512)</f>
        <v>0</v>
      </c>
    </row>
    <row r="62" spans="1:5">
      <c r="A62" s="311">
        <v>83</v>
      </c>
      <c r="B62" s="43" t="s">
        <v>5231</v>
      </c>
      <c r="C62" s="318">
        <f>SUMIF('Unos rashoda i izdataka'!$R$3:$R$511,'A.4 RASHODI FUNK'!$A62,'Unos rashoda i izdataka'!$J$3:$J$511)+SUMIF('Unos rashoda P4'!$T$3:$T$512,'A.4 RASHODI FUNK'!$A62,'Unos rashoda P4'!$H$3:$H$512)</f>
        <v>0</v>
      </c>
      <c r="D62" s="318">
        <f>SUMIF('Unos rashoda i izdataka'!$R$3:$R$511,'A.4 RASHODI FUNK'!$A62,'Unos rashoda i izdataka'!$K$3:$K$511)+SUMIF('Unos rashoda P4'!$T$3:$T$512,'A.4 RASHODI FUNK'!$A62,'Unos rashoda P4'!$I$3:$I$512)</f>
        <v>0</v>
      </c>
      <c r="E62" s="318">
        <f>SUMIF('Unos rashoda i izdataka'!$R$3:$R$511,'A.4 RASHODI FUNK'!$A62,'Unos rashoda i izdataka'!$L$3:$L$511)+SUMIF('Unos rashoda P4'!$T$3:$T$512,'A.4 RASHODI FUNK'!$A62,'Unos rashoda P4'!$J$3:$J$512)</f>
        <v>0</v>
      </c>
    </row>
    <row r="63" spans="1:5">
      <c r="A63" s="311">
        <v>84</v>
      </c>
      <c r="B63" s="43" t="s">
        <v>5232</v>
      </c>
      <c r="C63" s="318">
        <f>SUMIF('Unos rashoda i izdataka'!$R$3:$R$511,'A.4 RASHODI FUNK'!$A63,'Unos rashoda i izdataka'!$J$3:$J$511)+SUMIF('Unos rashoda P4'!$T$3:$T$512,'A.4 RASHODI FUNK'!$A63,'Unos rashoda P4'!$H$3:$H$512)</f>
        <v>0</v>
      </c>
      <c r="D63" s="318">
        <f>SUMIF('Unos rashoda i izdataka'!$R$3:$R$511,'A.4 RASHODI FUNK'!$A63,'Unos rashoda i izdataka'!$K$3:$K$511)+SUMIF('Unos rashoda P4'!$T$3:$T$512,'A.4 RASHODI FUNK'!$A63,'Unos rashoda P4'!$I$3:$I$512)</f>
        <v>0</v>
      </c>
      <c r="E63" s="318">
        <f>SUMIF('Unos rashoda i izdataka'!$R$3:$R$511,'A.4 RASHODI FUNK'!$A63,'Unos rashoda i izdataka'!$L$3:$L$511)+SUMIF('Unos rashoda P4'!$T$3:$T$512,'A.4 RASHODI FUNK'!$A63,'Unos rashoda P4'!$J$3:$J$512)</f>
        <v>0</v>
      </c>
    </row>
    <row r="64" spans="1:5">
      <c r="A64" s="311">
        <v>85</v>
      </c>
      <c r="B64" s="43" t="s">
        <v>5233</v>
      </c>
      <c r="C64" s="318">
        <f>SUMIF('Unos rashoda i izdataka'!$R$3:$R$511,'A.4 RASHODI FUNK'!$A64,'Unos rashoda i izdataka'!$J$3:$J$511)+SUMIF('Unos rashoda P4'!$T$3:$T$512,'A.4 RASHODI FUNK'!$A64,'Unos rashoda P4'!$H$3:$H$512)</f>
        <v>0</v>
      </c>
      <c r="D64" s="318">
        <f>SUMIF('Unos rashoda i izdataka'!$R$3:$R$511,'A.4 RASHODI FUNK'!$A64,'Unos rashoda i izdataka'!$K$3:$K$511)+SUMIF('Unos rashoda P4'!$T$3:$T$512,'A.4 RASHODI FUNK'!$A64,'Unos rashoda P4'!$I$3:$I$512)</f>
        <v>0</v>
      </c>
      <c r="E64" s="318">
        <f>SUMIF('Unos rashoda i izdataka'!$R$3:$R$511,'A.4 RASHODI FUNK'!$A64,'Unos rashoda i izdataka'!$L$3:$L$511)+SUMIF('Unos rashoda P4'!$T$3:$T$512,'A.4 RASHODI FUNK'!$A64,'Unos rashoda P4'!$J$3:$J$512)</f>
        <v>0</v>
      </c>
    </row>
    <row r="65" spans="1:5" ht="25.5">
      <c r="A65" s="311">
        <v>86</v>
      </c>
      <c r="B65" s="43" t="s">
        <v>5234</v>
      </c>
      <c r="C65" s="318">
        <f>SUMIF('Unos rashoda i izdataka'!$R$3:$R$511,'A.4 RASHODI FUNK'!$A65,'Unos rashoda i izdataka'!$J$3:$J$511)+SUMIF('Unos rashoda P4'!$T$3:$T$512,'A.4 RASHODI FUNK'!$A65,'Unos rashoda P4'!$H$3:$H$512)</f>
        <v>0</v>
      </c>
      <c r="D65" s="318">
        <f>SUMIF('Unos rashoda i izdataka'!$R$3:$R$511,'A.4 RASHODI FUNK'!$A65,'Unos rashoda i izdataka'!$K$3:$K$511)+SUMIF('Unos rashoda P4'!$T$3:$T$512,'A.4 RASHODI FUNK'!$A65,'Unos rashoda P4'!$I$3:$I$512)</f>
        <v>0</v>
      </c>
      <c r="E65" s="318">
        <f>SUMIF('Unos rashoda i izdataka'!$R$3:$R$511,'A.4 RASHODI FUNK'!$A65,'Unos rashoda i izdataka'!$L$3:$L$511)+SUMIF('Unos rashoda P4'!$T$3:$T$512,'A.4 RASHODI FUNK'!$A65,'Unos rashoda P4'!$J$3:$J$512)</f>
        <v>0</v>
      </c>
    </row>
    <row r="66" spans="1:5">
      <c r="A66" s="291">
        <v>9</v>
      </c>
      <c r="B66" s="58" t="s">
        <v>5235</v>
      </c>
      <c r="C66" s="324">
        <f>SUM(C67:C74)</f>
        <v>8452779</v>
      </c>
      <c r="D66" s="324">
        <f>SUM(D67:D74)</f>
        <v>-1603941</v>
      </c>
      <c r="E66" s="324">
        <f>SUM(E67:E74)</f>
        <v>6848838</v>
      </c>
    </row>
    <row r="67" spans="1:5">
      <c r="A67" s="311">
        <v>91</v>
      </c>
      <c r="B67" s="43" t="s">
        <v>5236</v>
      </c>
      <c r="C67" s="318">
        <f>SUMIF('Unos rashoda i izdataka'!$R$3:$R$511,'A.4 RASHODI FUNK'!$A67,'Unos rashoda i izdataka'!$J$3:$J$511)+SUMIF('Unos rashoda P4'!$T$3:$T$512,'A.4 RASHODI FUNK'!$A67,'Unos rashoda P4'!$H$3:$H$512)</f>
        <v>0</v>
      </c>
      <c r="D67" s="318">
        <f>SUMIF('Unos rashoda i izdataka'!$R$3:$R$511,'A.4 RASHODI FUNK'!$A67,'Unos rashoda i izdataka'!$K$3:$K$511)+SUMIF('Unos rashoda P4'!$T$3:$T$512,'A.4 RASHODI FUNK'!$A67,'Unos rashoda P4'!$I$3:$I$512)</f>
        <v>0</v>
      </c>
      <c r="E67" s="318">
        <f>SUMIF('Unos rashoda i izdataka'!$R$3:$R$511,'A.4 RASHODI FUNK'!$A67,'Unos rashoda i izdataka'!$L$3:$L$511)+SUMIF('Unos rashoda P4'!$T$3:$T$512,'A.4 RASHODI FUNK'!$A67,'Unos rashoda P4'!$J$3:$J$512)</f>
        <v>0</v>
      </c>
    </row>
    <row r="68" spans="1:5">
      <c r="A68" s="311">
        <v>92</v>
      </c>
      <c r="B68" s="43" t="s">
        <v>5237</v>
      </c>
      <c r="C68" s="318">
        <f>SUMIF('Unos rashoda i izdataka'!$R$3:$R$511,'A.4 RASHODI FUNK'!$A68,'Unos rashoda i izdataka'!$J$3:$J$511)+SUMIF('Unos rashoda P4'!$T$3:$T$512,'A.4 RASHODI FUNK'!$A68,'Unos rashoda P4'!$H$3:$H$512)</f>
        <v>0</v>
      </c>
      <c r="D68" s="318">
        <f>SUMIF('Unos rashoda i izdataka'!$R$3:$R$511,'A.4 RASHODI FUNK'!$A68,'Unos rashoda i izdataka'!$K$3:$K$511)+SUMIF('Unos rashoda P4'!$T$3:$T$512,'A.4 RASHODI FUNK'!$A68,'Unos rashoda P4'!$I$3:$I$512)</f>
        <v>0</v>
      </c>
      <c r="E68" s="318">
        <f>SUMIF('Unos rashoda i izdataka'!$R$3:$R$511,'A.4 RASHODI FUNK'!$A68,'Unos rashoda i izdataka'!$L$3:$L$511)+SUMIF('Unos rashoda P4'!$T$3:$T$512,'A.4 RASHODI FUNK'!$A68,'Unos rashoda P4'!$J$3:$J$512)</f>
        <v>0</v>
      </c>
    </row>
    <row r="69" spans="1:5">
      <c r="A69" s="311">
        <v>93</v>
      </c>
      <c r="B69" s="43" t="s">
        <v>5238</v>
      </c>
      <c r="C69" s="318">
        <f>SUMIF('Unos rashoda i izdataka'!$R$3:$R$511,'A.4 RASHODI FUNK'!$A69,'Unos rashoda i izdataka'!$J$3:$J$511)+SUMIF('Unos rashoda P4'!$T$3:$T$512,'A.4 RASHODI FUNK'!$A69,'Unos rashoda P4'!$H$3:$H$512)</f>
        <v>0</v>
      </c>
      <c r="D69" s="318">
        <f>SUMIF('Unos rashoda i izdataka'!$R$3:$R$511,'A.4 RASHODI FUNK'!$A69,'Unos rashoda i izdataka'!$K$3:$K$511)+SUMIF('Unos rashoda P4'!$T$3:$T$512,'A.4 RASHODI FUNK'!$A69,'Unos rashoda P4'!$I$3:$I$512)</f>
        <v>0</v>
      </c>
      <c r="E69" s="318">
        <f>SUMIF('Unos rashoda i izdataka'!$R$3:$R$511,'A.4 RASHODI FUNK'!$A69,'Unos rashoda i izdataka'!$L$3:$L$511)+SUMIF('Unos rashoda P4'!$T$3:$T$512,'A.4 RASHODI FUNK'!$A69,'Unos rashoda P4'!$J$3:$J$512)</f>
        <v>0</v>
      </c>
    </row>
    <row r="70" spans="1:5">
      <c r="A70" s="311">
        <v>94</v>
      </c>
      <c r="B70" s="43" t="s">
        <v>5239</v>
      </c>
      <c r="C70" s="318">
        <v>8452779</v>
      </c>
      <c r="D70" s="318">
        <v>-1603941</v>
      </c>
      <c r="E70" s="318">
        <v>6848838</v>
      </c>
    </row>
    <row r="71" spans="1:5">
      <c r="A71" s="311">
        <v>95</v>
      </c>
      <c r="B71" s="43" t="s">
        <v>5160</v>
      </c>
      <c r="C71" s="318">
        <f>SUMIF('Unos rashoda i izdataka'!$R$3:$R$511,'A.4 RASHODI FUNK'!$A71,'Unos rashoda i izdataka'!$J$3:$J$511)+SUMIF('Unos rashoda P4'!$T$3:$T$512,'A.4 RASHODI FUNK'!$A71,'Unos rashoda P4'!$H$3:$H$512)</f>
        <v>0</v>
      </c>
      <c r="D71" s="318">
        <f>SUMIF('Unos rashoda i izdataka'!$R$3:$R$511,'A.4 RASHODI FUNK'!$A71,'Unos rashoda i izdataka'!$K$3:$K$511)+SUMIF('Unos rashoda P4'!$T$3:$T$512,'A.4 RASHODI FUNK'!$A71,'Unos rashoda P4'!$I$3:$I$512)</f>
        <v>0</v>
      </c>
      <c r="E71" s="318">
        <f>SUMIF('Unos rashoda i izdataka'!$R$3:$R$511,'A.4 RASHODI FUNK'!$A71,'Unos rashoda i izdataka'!$L$3:$L$511)+SUMIF('Unos rashoda P4'!$T$3:$T$512,'A.4 RASHODI FUNK'!$A71,'Unos rashoda P4'!$J$3:$J$512)</f>
        <v>0</v>
      </c>
    </row>
    <row r="72" spans="1:5">
      <c r="A72" s="311">
        <v>96</v>
      </c>
      <c r="B72" s="43" t="s">
        <v>5158</v>
      </c>
      <c r="C72" s="318">
        <f>SUMIF('Unos rashoda i izdataka'!$R$3:$R$511,'A.4 RASHODI FUNK'!$A72,'Unos rashoda i izdataka'!$J$3:$J$511)+SUMIF('Unos rashoda P4'!$T$3:$T$512,'A.4 RASHODI FUNK'!$A72,'Unos rashoda P4'!$H$3:$H$512)</f>
        <v>0</v>
      </c>
      <c r="D72" s="318">
        <f>SUMIF('Unos rashoda i izdataka'!$R$3:$R$511,'A.4 RASHODI FUNK'!$A72,'Unos rashoda i izdataka'!$K$3:$K$511)+SUMIF('Unos rashoda P4'!$T$3:$T$512,'A.4 RASHODI FUNK'!$A72,'Unos rashoda P4'!$I$3:$I$512)</f>
        <v>0</v>
      </c>
      <c r="E72" s="318">
        <f>SUMIF('Unos rashoda i izdataka'!$R$3:$R$511,'A.4 RASHODI FUNK'!$A72,'Unos rashoda i izdataka'!$L$3:$L$511)+SUMIF('Unos rashoda P4'!$T$3:$T$512,'A.4 RASHODI FUNK'!$A72,'Unos rashoda P4'!$J$3:$J$512)</f>
        <v>0</v>
      </c>
    </row>
    <row r="73" spans="1:5">
      <c r="A73" s="311">
        <v>97</v>
      </c>
      <c r="B73" s="43" t="s">
        <v>5144</v>
      </c>
      <c r="C73" s="318">
        <f>SUMIF('Unos rashoda i izdataka'!$R$3:$R$511,'A.4 RASHODI FUNK'!$A73,'Unos rashoda i izdataka'!$J$3:$J$511)+SUMIF('Unos rashoda P4'!$T$3:$T$512,'A.4 RASHODI FUNK'!$A73,'Unos rashoda P4'!$H$3:$H$512)</f>
        <v>0</v>
      </c>
      <c r="D73" s="318">
        <f>SUMIF('Unos rashoda i izdataka'!$R$3:$R$511,'A.4 RASHODI FUNK'!$A73,'Unos rashoda i izdataka'!$K$3:$K$511)+SUMIF('Unos rashoda P4'!$T$3:$T$512,'A.4 RASHODI FUNK'!$A73,'Unos rashoda P4'!$I$3:$I$512)</f>
        <v>0</v>
      </c>
      <c r="E73" s="318">
        <f>SUMIF('Unos rashoda i izdataka'!$R$3:$R$511,'A.4 RASHODI FUNK'!$A73,'Unos rashoda i izdataka'!$L$3:$L$511)+SUMIF('Unos rashoda P4'!$T$3:$T$512,'A.4 RASHODI FUNK'!$A73,'Unos rashoda P4'!$J$3:$J$512)</f>
        <v>0</v>
      </c>
    </row>
    <row r="74" spans="1:5">
      <c r="A74" s="311">
        <v>98</v>
      </c>
      <c r="B74" s="43" t="s">
        <v>5146</v>
      </c>
      <c r="C74" s="318">
        <f>SUMIF('Unos rashoda i izdataka'!$R$3:$R$511,'A.4 RASHODI FUNK'!$A74,'Unos rashoda i izdataka'!$J$3:$J$511)+SUMIF('Unos rashoda P4'!$T$3:$T$512,'A.4 RASHODI FUNK'!$A74,'Unos rashoda P4'!$H$3:$H$512)</f>
        <v>0</v>
      </c>
      <c r="D74" s="318">
        <f>SUMIF('Unos rashoda i izdataka'!$R$3:$R$511,'A.4 RASHODI FUNK'!$A74,'Unos rashoda i izdataka'!$K$3:$K$511)+SUMIF('Unos rashoda P4'!$T$3:$T$512,'A.4 RASHODI FUNK'!$A74,'Unos rashoda P4'!$I$3:$I$512)</f>
        <v>0</v>
      </c>
      <c r="E74" s="318">
        <f>SUMIF('Unos rashoda i izdataka'!$R$3:$R$511,'A.4 RASHODI FUNK'!$A74,'Unos rashoda i izdataka'!$L$3:$L$511)+SUMIF('Unos rashoda P4'!$T$3:$T$512,'A.4 RASHODI FUNK'!$A74,'Unos rashoda P4'!$J$3:$J$512)</f>
        <v>0</v>
      </c>
    </row>
    <row r="75" spans="1:5">
      <c r="A75" s="291">
        <v>10</v>
      </c>
      <c r="B75" s="58" t="s">
        <v>5240</v>
      </c>
      <c r="C75" s="324">
        <f>SUM(C76:C84)</f>
        <v>0</v>
      </c>
      <c r="D75" s="324">
        <f>SUM(D76:D84)</f>
        <v>0</v>
      </c>
      <c r="E75" s="324">
        <f>SUM(E76:E84)</f>
        <v>0</v>
      </c>
    </row>
    <row r="76" spans="1:5">
      <c r="A76" s="311">
        <v>101</v>
      </c>
      <c r="B76" s="43" t="s">
        <v>5241</v>
      </c>
      <c r="C76" s="318">
        <f>SUMIF('Unos rashoda i izdataka'!$R$3:$R$511,'A.4 RASHODI FUNK'!$A76,'Unos rashoda i izdataka'!$J$3:$J$511)+SUMIF('Unos rashoda P4'!$T$3:$T$512,'A.4 RASHODI FUNK'!$A76,'Unos rashoda P4'!$H$3:$H$512)</f>
        <v>0</v>
      </c>
      <c r="D76" s="318">
        <f>SUMIF('Unos rashoda i izdataka'!$R$3:$R$511,'A.4 RASHODI FUNK'!$A76,'Unos rashoda i izdataka'!$K$3:$K$511)+SUMIF('Unos rashoda P4'!$T$3:$T$512,'A.4 RASHODI FUNK'!$A76,'Unos rashoda P4'!$I$3:$I$512)</f>
        <v>0</v>
      </c>
      <c r="E76" s="318">
        <f>SUMIF('Unos rashoda i izdataka'!$R$3:$R$511,'A.4 RASHODI FUNK'!$A76,'Unos rashoda i izdataka'!$L$3:$L$511)+SUMIF('Unos rashoda P4'!$T$3:$T$512,'A.4 RASHODI FUNK'!$A76,'Unos rashoda P4'!$J$3:$J$512)</f>
        <v>0</v>
      </c>
    </row>
    <row r="77" spans="1:5">
      <c r="A77" s="311">
        <v>102</v>
      </c>
      <c r="B77" s="43" t="s">
        <v>5242</v>
      </c>
      <c r="C77" s="318">
        <f>SUMIF('Unos rashoda i izdataka'!$R$3:$R$511,'A.4 RASHODI FUNK'!$A77,'Unos rashoda i izdataka'!$J$3:$J$511)+SUMIF('Unos rashoda P4'!$T$3:$T$512,'A.4 RASHODI FUNK'!$A77,'Unos rashoda P4'!$H$3:$H$512)</f>
        <v>0</v>
      </c>
      <c r="D77" s="318">
        <f>SUMIF('Unos rashoda i izdataka'!$R$3:$R$511,'A.4 RASHODI FUNK'!$A77,'Unos rashoda i izdataka'!$K$3:$K$511)+SUMIF('Unos rashoda P4'!$T$3:$T$512,'A.4 RASHODI FUNK'!$A77,'Unos rashoda P4'!$I$3:$I$512)</f>
        <v>0</v>
      </c>
      <c r="E77" s="318">
        <f>SUMIF('Unos rashoda i izdataka'!$R$3:$R$511,'A.4 RASHODI FUNK'!$A77,'Unos rashoda i izdataka'!$L$3:$L$511)+SUMIF('Unos rashoda P4'!$T$3:$T$512,'A.4 RASHODI FUNK'!$A77,'Unos rashoda P4'!$J$3:$J$512)</f>
        <v>0</v>
      </c>
    </row>
    <row r="78" spans="1:5">
      <c r="A78" s="311">
        <v>103</v>
      </c>
      <c r="B78" s="43" t="s">
        <v>5243</v>
      </c>
      <c r="C78" s="318">
        <f>SUMIF('Unos rashoda i izdataka'!$R$3:$R$511,'A.4 RASHODI FUNK'!$A78,'Unos rashoda i izdataka'!$J$3:$J$511)+SUMIF('Unos rashoda P4'!$T$3:$T$512,'A.4 RASHODI FUNK'!$A78,'Unos rashoda P4'!$H$3:$H$512)</f>
        <v>0</v>
      </c>
      <c r="D78" s="318">
        <f>SUMIF('Unos rashoda i izdataka'!$R$3:$R$511,'A.4 RASHODI FUNK'!$A78,'Unos rashoda i izdataka'!$K$3:$K$511)+SUMIF('Unos rashoda P4'!$T$3:$T$512,'A.4 RASHODI FUNK'!$A78,'Unos rashoda P4'!$I$3:$I$512)</f>
        <v>0</v>
      </c>
      <c r="E78" s="318">
        <f>SUMIF('Unos rashoda i izdataka'!$R$3:$R$511,'A.4 RASHODI FUNK'!$A78,'Unos rashoda i izdataka'!$L$3:$L$511)+SUMIF('Unos rashoda P4'!$T$3:$T$512,'A.4 RASHODI FUNK'!$A78,'Unos rashoda P4'!$J$3:$J$512)</f>
        <v>0</v>
      </c>
    </row>
    <row r="79" spans="1:5">
      <c r="A79" s="311">
        <v>104</v>
      </c>
      <c r="B79" s="43" t="s">
        <v>5244</v>
      </c>
      <c r="C79" s="318">
        <f>SUMIF('Unos rashoda i izdataka'!$R$3:$R$511,'A.4 RASHODI FUNK'!$A79,'Unos rashoda i izdataka'!$J$3:$J$511)+SUMIF('Unos rashoda P4'!$T$3:$T$512,'A.4 RASHODI FUNK'!$A79,'Unos rashoda P4'!$H$3:$H$512)</f>
        <v>0</v>
      </c>
      <c r="D79" s="318">
        <f>SUMIF('Unos rashoda i izdataka'!$R$3:$R$511,'A.4 RASHODI FUNK'!$A79,'Unos rashoda i izdataka'!$K$3:$K$511)+SUMIF('Unos rashoda P4'!$T$3:$T$512,'A.4 RASHODI FUNK'!$A79,'Unos rashoda P4'!$I$3:$I$512)</f>
        <v>0</v>
      </c>
      <c r="E79" s="318">
        <f>SUMIF('Unos rashoda i izdataka'!$R$3:$R$511,'A.4 RASHODI FUNK'!$A79,'Unos rashoda i izdataka'!$L$3:$L$511)+SUMIF('Unos rashoda P4'!$T$3:$T$512,'A.4 RASHODI FUNK'!$A79,'Unos rashoda P4'!$J$3:$J$512)</f>
        <v>0</v>
      </c>
    </row>
    <row r="80" spans="1:5">
      <c r="A80" s="311">
        <v>105</v>
      </c>
      <c r="B80" s="43" t="s">
        <v>5245</v>
      </c>
      <c r="C80" s="318">
        <f>SUMIF('Unos rashoda i izdataka'!$R$3:$R$511,'A.4 RASHODI FUNK'!$A80,'Unos rashoda i izdataka'!$J$3:$J$511)+SUMIF('Unos rashoda P4'!$T$3:$T$512,'A.4 RASHODI FUNK'!$A80,'Unos rashoda P4'!$H$3:$H$512)</f>
        <v>0</v>
      </c>
      <c r="D80" s="318">
        <f>SUMIF('Unos rashoda i izdataka'!$R$3:$R$511,'A.4 RASHODI FUNK'!$A80,'Unos rashoda i izdataka'!$K$3:$K$511)+SUMIF('Unos rashoda P4'!$T$3:$T$512,'A.4 RASHODI FUNK'!$A80,'Unos rashoda P4'!$I$3:$I$512)</f>
        <v>0</v>
      </c>
      <c r="E80" s="318">
        <f>SUMIF('Unos rashoda i izdataka'!$R$3:$R$511,'A.4 RASHODI FUNK'!$A80,'Unos rashoda i izdataka'!$L$3:$L$511)+SUMIF('Unos rashoda P4'!$T$3:$T$512,'A.4 RASHODI FUNK'!$A80,'Unos rashoda P4'!$J$3:$J$512)</f>
        <v>0</v>
      </c>
    </row>
    <row r="81" spans="1:5">
      <c r="A81" s="311">
        <v>106</v>
      </c>
      <c r="B81" s="43" t="s">
        <v>5246</v>
      </c>
      <c r="C81" s="318">
        <f>SUMIF('Unos rashoda i izdataka'!$R$3:$R$511,'A.4 RASHODI FUNK'!$A81,'Unos rashoda i izdataka'!$J$3:$J$511)+SUMIF('Unos rashoda P4'!$T$3:$T$512,'A.4 RASHODI FUNK'!$A81,'Unos rashoda P4'!$H$3:$H$512)</f>
        <v>0</v>
      </c>
      <c r="D81" s="318">
        <f>SUMIF('Unos rashoda i izdataka'!$R$3:$R$511,'A.4 RASHODI FUNK'!$A81,'Unos rashoda i izdataka'!$K$3:$K$511)+SUMIF('Unos rashoda P4'!$T$3:$T$512,'A.4 RASHODI FUNK'!$A81,'Unos rashoda P4'!$I$3:$I$512)</f>
        <v>0</v>
      </c>
      <c r="E81" s="318">
        <f>SUMIF('Unos rashoda i izdataka'!$R$3:$R$511,'A.4 RASHODI FUNK'!$A81,'Unos rashoda i izdataka'!$L$3:$L$511)+SUMIF('Unos rashoda P4'!$T$3:$T$512,'A.4 RASHODI FUNK'!$A81,'Unos rashoda P4'!$J$3:$J$512)</f>
        <v>0</v>
      </c>
    </row>
    <row r="82" spans="1:5" ht="25.5">
      <c r="A82" s="311">
        <v>107</v>
      </c>
      <c r="B82" s="43" t="s">
        <v>5247</v>
      </c>
      <c r="C82" s="318">
        <f>SUMIF('Unos rashoda i izdataka'!$R$3:$R$511,'A.4 RASHODI FUNK'!$A82,'Unos rashoda i izdataka'!$J$3:$J$511)+SUMIF('Unos rashoda P4'!$T$3:$T$512,'A.4 RASHODI FUNK'!$A82,'Unos rashoda P4'!$H$3:$H$512)</f>
        <v>0</v>
      </c>
      <c r="D82" s="318">
        <f>SUMIF('Unos rashoda i izdataka'!$R$3:$R$511,'A.4 RASHODI FUNK'!$A82,'Unos rashoda i izdataka'!$K$3:$K$511)+SUMIF('Unos rashoda P4'!$T$3:$T$512,'A.4 RASHODI FUNK'!$A82,'Unos rashoda P4'!$I$3:$I$512)</f>
        <v>0</v>
      </c>
      <c r="E82" s="318">
        <f>SUMIF('Unos rashoda i izdataka'!$R$3:$R$511,'A.4 RASHODI FUNK'!$A82,'Unos rashoda i izdataka'!$L$3:$L$511)+SUMIF('Unos rashoda P4'!$T$3:$T$512,'A.4 RASHODI FUNK'!$A82,'Unos rashoda P4'!$J$3:$J$512)</f>
        <v>0</v>
      </c>
    </row>
    <row r="83" spans="1:5">
      <c r="A83" s="311">
        <v>108</v>
      </c>
      <c r="B83" s="43" t="s">
        <v>5248</v>
      </c>
      <c r="C83" s="318">
        <f>SUMIF('Unos rashoda i izdataka'!$R$3:$R$511,'A.4 RASHODI FUNK'!$A83,'Unos rashoda i izdataka'!$J$3:$J$511)+SUMIF('Unos rashoda P4'!$T$3:$T$512,'A.4 RASHODI FUNK'!$A83,'Unos rashoda P4'!$H$3:$H$512)</f>
        <v>0</v>
      </c>
      <c r="D83" s="318">
        <f>SUMIF('Unos rashoda i izdataka'!$R$3:$R$511,'A.4 RASHODI FUNK'!$A83,'Unos rashoda i izdataka'!$K$3:$K$511)+SUMIF('Unos rashoda P4'!$T$3:$T$512,'A.4 RASHODI FUNK'!$A83,'Unos rashoda P4'!$I$3:$I$512)</f>
        <v>0</v>
      </c>
      <c r="E83" s="318">
        <f>SUMIF('Unos rashoda i izdataka'!$R$3:$R$511,'A.4 RASHODI FUNK'!$A83,'Unos rashoda i izdataka'!$L$3:$L$511)+SUMIF('Unos rashoda P4'!$T$3:$T$512,'A.4 RASHODI FUNK'!$A83,'Unos rashoda P4'!$J$3:$J$512)</f>
        <v>0</v>
      </c>
    </row>
    <row r="84" spans="1:5" ht="25.5">
      <c r="A84" s="311">
        <v>109</v>
      </c>
      <c r="B84" s="43" t="s">
        <v>5249</v>
      </c>
      <c r="C84" s="318">
        <f>SUMIF('Unos rashoda i izdataka'!$R$3:$R$511,'A.4 RASHODI FUNK'!$A84,'Unos rashoda i izdataka'!$J$3:$J$511)+SUMIF('Unos rashoda P4'!$T$3:$T$512,'A.4 RASHODI FUNK'!$A84,'Unos rashoda P4'!$H$3:$H$512)</f>
        <v>0</v>
      </c>
      <c r="D84" s="318">
        <f>SUMIF('Unos rashoda i izdataka'!$R$3:$R$511,'A.4 RASHODI FUNK'!$A84,'Unos rashoda i izdataka'!$K$3:$K$511)+SUMIF('Unos rashoda P4'!$T$3:$T$512,'A.4 RASHODI FUNK'!$A84,'Unos rashoda P4'!$I$3:$I$512)</f>
        <v>0</v>
      </c>
      <c r="E84" s="318">
        <f>SUMIF('Unos rashoda i izdataka'!$R$3:$R$511,'A.4 RASHODI FUNK'!$A84,'Unos rashoda i izdataka'!$L$3:$L$511)+SUMIF('Unos rashoda P4'!$T$3:$T$512,'A.4 RASHODI FUNK'!$A84,'Unos rashoda P4'!$J$3:$J$512)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zoomScale="80" zoomScaleNormal="80" workbookViewId="0">
      <selection activeCell="C26" sqref="C26:T2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401" t="s">
        <v>5106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</row>
    <row r="3" spans="1:262" s="38" customFormat="1" ht="15">
      <c r="A3" s="37"/>
      <c r="B3" s="37"/>
      <c r="C3" s="37"/>
      <c r="R3" s="39"/>
      <c r="V3" s="294" t="s">
        <v>5251</v>
      </c>
    </row>
    <row r="4" spans="1:262" s="38" customFormat="1" ht="15.6" customHeight="1">
      <c r="A4" s="402" t="s">
        <v>236</v>
      </c>
      <c r="B4" s="403"/>
      <c r="C4" s="404" t="s">
        <v>5265</v>
      </c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6"/>
      <c r="U4" s="135"/>
      <c r="V4" s="135"/>
    </row>
    <row r="5" spans="1:262" s="38" customFormat="1" ht="89.25">
      <c r="A5" s="40" t="s">
        <v>237</v>
      </c>
      <c r="B5" s="40" t="s">
        <v>238</v>
      </c>
      <c r="C5" s="179" t="s">
        <v>239</v>
      </c>
      <c r="D5" s="136" t="s">
        <v>259</v>
      </c>
      <c r="E5" s="136" t="s">
        <v>251</v>
      </c>
      <c r="F5" s="137" t="s">
        <v>16</v>
      </c>
      <c r="G5" s="137" t="s">
        <v>1229</v>
      </c>
      <c r="H5" s="137" t="s">
        <v>17</v>
      </c>
      <c r="I5" s="137" t="s">
        <v>240</v>
      </c>
      <c r="J5" s="137" t="s">
        <v>241</v>
      </c>
      <c r="K5" s="137" t="s">
        <v>1230</v>
      </c>
      <c r="L5" s="137" t="s">
        <v>242</v>
      </c>
      <c r="M5" s="137" t="s">
        <v>243</v>
      </c>
      <c r="N5" s="137" t="s">
        <v>244</v>
      </c>
      <c r="O5" s="137" t="s">
        <v>1231</v>
      </c>
      <c r="P5" s="137" t="s">
        <v>1232</v>
      </c>
      <c r="Q5" s="137" t="s">
        <v>1707</v>
      </c>
      <c r="R5" s="41" t="s">
        <v>3016</v>
      </c>
      <c r="S5" s="137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5">
        <f>+H6+V6</f>
        <v>0</v>
      </c>
      <c r="D6" s="313"/>
      <c r="E6" s="313"/>
      <c r="F6" s="313"/>
      <c r="G6" s="313"/>
      <c r="H6" s="64">
        <f t="shared" ref="H6:V6" si="0">SUM(H7:H10)</f>
        <v>0</v>
      </c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64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5098</v>
      </c>
      <c r="C7" s="27">
        <f>+H7+V7</f>
        <v>0</v>
      </c>
      <c r="D7" s="313"/>
      <c r="E7" s="313"/>
      <c r="F7" s="313"/>
      <c r="G7" s="313"/>
      <c r="H7" s="116">
        <f>SUMIFS('Unos prihoda i primitaka'!$G$3:$G$504,'Unos prihoda i primitaka'!$C$3:$C$504,"=43",'Unos prihoda i primitaka'!$L$3:$L$504,"=81")</f>
        <v>0</v>
      </c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116">
        <f>SUMIFS('Unos prihoda i primitaka'!$G$3:$G$504,'Unos prihoda i primitaka'!$C$3:$C$504,"=81",'Unos prihoda i primitaka'!$L$3:$L$504,"=81")</f>
        <v>0</v>
      </c>
    </row>
    <row r="8" spans="1:262" s="38" customFormat="1">
      <c r="A8" s="48">
        <v>82</v>
      </c>
      <c r="B8" s="49" t="s">
        <v>5099</v>
      </c>
      <c r="C8" s="27">
        <f t="shared" ref="C8:C10" si="1">+H8+V8</f>
        <v>0</v>
      </c>
      <c r="D8" s="313"/>
      <c r="E8" s="313"/>
      <c r="F8" s="313"/>
      <c r="G8" s="313"/>
      <c r="H8" s="116">
        <f>SUMIFS('Unos prihoda i primitaka'!$G$3:$G$504,'Unos prihoda i primitaka'!$C$3:$C$504,"=43",'Unos prihoda i primitaka'!$L$3:$L$504,"=82")</f>
        <v>0</v>
      </c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116">
        <f>SUMIFS('Unos prihoda i primitaka'!$G$3:$G$504,'Unos prihoda i primitaka'!$C$3:$C$504,"=81",'Unos prihoda i primitaka'!$L$3:$L$504,"=82")</f>
        <v>0</v>
      </c>
    </row>
    <row r="9" spans="1:262" s="38" customFormat="1">
      <c r="A9" s="163">
        <v>83</v>
      </c>
      <c r="B9" s="49" t="s">
        <v>5100</v>
      </c>
      <c r="C9" s="27">
        <f t="shared" si="1"/>
        <v>0</v>
      </c>
      <c r="D9" s="313"/>
      <c r="E9" s="313"/>
      <c r="F9" s="313"/>
      <c r="G9" s="313"/>
      <c r="H9" s="116">
        <f>SUMIFS('Unos prihoda i primitaka'!$G$3:$G$504,'Unos prihoda i primitaka'!$C$3:$C$504,"=43",'Unos prihoda i primitaka'!$L$3:$L$504,"=83")</f>
        <v>0</v>
      </c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116">
        <f>SUMIFS('Unos prihoda i primitaka'!$G$3:$G$504,'Unos prihoda i primitaka'!$C$3:$C$504,"=81",'Unos prihoda i primitaka'!$L$3:$L$504,"=83")</f>
        <v>0</v>
      </c>
    </row>
    <row r="10" spans="1:262" s="38" customFormat="1">
      <c r="A10" s="48">
        <v>84</v>
      </c>
      <c r="B10" s="49" t="s">
        <v>5101</v>
      </c>
      <c r="C10" s="27">
        <f t="shared" si="1"/>
        <v>0</v>
      </c>
      <c r="D10" s="313"/>
      <c r="E10" s="313"/>
      <c r="F10" s="313"/>
      <c r="G10" s="313"/>
      <c r="H10" s="116">
        <f>SUMIFS('Unos prihoda i primitaka'!$G$3:$G$504,'Unos prihoda i primitaka'!$C$3:$C$504,"=43",'Unos prihoda i primitaka'!$L$3:$L$504,"=84")</f>
        <v>0</v>
      </c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116">
        <f>SUMIFS('Unos prihoda i primitaka'!$G$3:$G$504,'Unos prihoda i primitaka'!$C$3:$C$504,"=81",'Unos prihoda i primitaka'!$L$3:$L$504,"=84")</f>
        <v>0</v>
      </c>
    </row>
    <row r="11" spans="1:262" s="7" customFormat="1" ht="12.6" customHeight="1">
      <c r="A11" s="62">
        <v>5</v>
      </c>
      <c r="B11" s="63" t="s">
        <v>14</v>
      </c>
      <c r="C11" s="65">
        <f t="shared" ref="C11:C13" si="2">SUM(D11:V11)</f>
        <v>0</v>
      </c>
      <c r="D11" s="64">
        <f>+D12+D13</f>
        <v>0</v>
      </c>
      <c r="E11" s="64">
        <f t="shared" ref="E11:V11" si="3">+E12+E13</f>
        <v>0</v>
      </c>
      <c r="F11" s="64">
        <f t="shared" si="3"/>
        <v>0</v>
      </c>
      <c r="G11" s="64">
        <f t="shared" si="3"/>
        <v>0</v>
      </c>
      <c r="H11" s="64">
        <f t="shared" si="3"/>
        <v>0</v>
      </c>
      <c r="I11" s="64">
        <f t="shared" si="3"/>
        <v>0</v>
      </c>
      <c r="J11" s="64">
        <f t="shared" si="3"/>
        <v>0</v>
      </c>
      <c r="K11" s="64">
        <f t="shared" si="3"/>
        <v>0</v>
      </c>
      <c r="L11" s="64">
        <f t="shared" si="3"/>
        <v>0</v>
      </c>
      <c r="M11" s="64">
        <f t="shared" si="3"/>
        <v>0</v>
      </c>
      <c r="N11" s="64">
        <f t="shared" si="3"/>
        <v>0</v>
      </c>
      <c r="O11" s="64">
        <f t="shared" si="3"/>
        <v>0</v>
      </c>
      <c r="P11" s="64">
        <f t="shared" si="3"/>
        <v>0</v>
      </c>
      <c r="Q11" s="64">
        <f t="shared" si="3"/>
        <v>0</v>
      </c>
      <c r="R11" s="64">
        <f t="shared" si="3"/>
        <v>0</v>
      </c>
      <c r="S11" s="64">
        <f t="shared" si="3"/>
        <v>0</v>
      </c>
      <c r="T11" s="64">
        <f t="shared" si="3"/>
        <v>0</v>
      </c>
      <c r="U11" s="64">
        <f t="shared" si="3"/>
        <v>0</v>
      </c>
      <c r="V11" s="64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1">
        <f>SUMIFS('Unos rashoda i izdataka'!$J$3:$J$511,'Unos rashoda i izdataka'!$C$3:$C$511,"=11",'Unos rashoda i izdataka'!$P$3:$P$511,"=51")+SUMIFS('Unos rashoda P4'!$H$3:$H$512,'Unos rashoda P4'!$A$3:$A$512,"=11",'Unos rashoda P4'!$S$3:$S$512,"=51")</f>
        <v>0</v>
      </c>
      <c r="E12" s="71">
        <f>SUMIFS('Unos rashoda i izdataka'!$J$3:$J$511,'Unos rashoda i izdataka'!$C$3:$C$511,"=12",'Unos rashoda i izdataka'!$P$3:$P$511,"=51")+SUMIFS('Unos rashoda P4'!$H$3:$H$512,'Unos rashoda P4'!$A$3:$A$512,"=12",'Unos rashoda P4'!$S$3:$S$512,"=51")</f>
        <v>0</v>
      </c>
      <c r="F12" s="71">
        <f>SUMIFS('Unos rashoda i izdataka'!$J$3:$J$511,'Unos rashoda i izdataka'!$C$3:$C$511,"=31",'Unos rashoda i izdataka'!$P$3:$P$511,"=51")+SUMIFS('Unos rashoda P4'!$H$3:$H$512,'Unos rashoda P4'!$A$3:$A$512,"=31",'Unos rashoda P4'!$S$3:$S$512,"=51")</f>
        <v>0</v>
      </c>
      <c r="G12" s="71">
        <f>SUMIFS('Unos rashoda i izdataka'!$J$3:$J$511,'Unos rashoda i izdataka'!$C$3:$C$511,"=41",'Unos rashoda i izdataka'!$P$3:$P$511,"=51")+SUMIFS('Unos rashoda P4'!$H$3:$H$512,'Unos rashoda P4'!$A$3:$A$512,"=41",'Unos rashoda P4'!$S$3:$S$512,"=51")</f>
        <v>0</v>
      </c>
      <c r="H12" s="71">
        <f>SUMIFS('Unos rashoda i izdataka'!$J$3:$J$511,'Unos rashoda i izdataka'!$C$3:$C$511,"=43",'Unos rashoda i izdataka'!$P$3:$P$511,"=51")+SUMIFS('Unos rashoda P4'!$H$3:$H$512,'Unos rashoda P4'!$A$3:$A$512,"=43",'Unos rashoda P4'!$S$3:$S$512,"=51")</f>
        <v>0</v>
      </c>
      <c r="I12" s="71">
        <f>SUMIFS('Unos rashoda i izdataka'!$J$3:$J$511,'Unos rashoda i izdataka'!$C$3:$C$511,"=51",'Unos rashoda i izdataka'!$P$3:$P$511,"=51")+SUMIFS('Unos rashoda P4'!$H$3:$H$512,'Unos rashoda P4'!$A$3:$A$512,"=51",'Unos rashoda P4'!$S$3:$S$512,"=51")</f>
        <v>0</v>
      </c>
      <c r="J12" s="71">
        <f>SUMIFS('Unos rashoda i izdataka'!$J$3:$J$511,'Unos rashoda i izdataka'!$C$3:$C$511,"=52",'Unos rashoda i izdataka'!$P$3:$P$511,"=51")+SUMIFS('Unos rashoda P4'!$H$3:$H$512,'Unos rashoda P4'!$A$3:$A$512,"=52",'Unos rashoda P4'!$S$3:$S$512,"=51")</f>
        <v>0</v>
      </c>
      <c r="K12" s="71">
        <f>SUMIFS('Unos rashoda i izdataka'!$J$3:$J$511,'Unos rashoda i izdataka'!$C$3:$C$511,"=552",'Unos rashoda i izdataka'!$P$3:$P$511,"=51")+SUMIFS('Unos rashoda P4'!$H$3:$H$512,'Unos rashoda P4'!$A$3:$A$512,"=552",'Unos rashoda P4'!$S$3:$S$512,"=51")</f>
        <v>0</v>
      </c>
      <c r="L12" s="71">
        <f>SUMIFS('Unos rashoda i izdataka'!$J$3:$J$511,'Unos rashoda i izdataka'!$C$3:$C$511,"=559",'Unos rashoda i izdataka'!$P$3:$P$511,"=51")+SUMIFS('Unos rashoda P4'!$H$3:$H$512,'Unos rashoda P4'!$A$3:$A$512,"=559",'Unos rashoda P4'!$S$3:$S$512,"=51")</f>
        <v>0</v>
      </c>
      <c r="M12" s="71">
        <f>SUMIFS('Unos rashoda i izdataka'!$J$3:$J$511,'Unos rashoda i izdataka'!$C$3:$C$511,"=561",'Unos rashoda i izdataka'!$P$3:$P$511,"=51")+SUMIFS('Unos rashoda P4'!$H$3:$H$512,'Unos rashoda P4'!$A$3:$A$512,"=561",'Unos rashoda P4'!$S$3:$S$512,"=51")</f>
        <v>0</v>
      </c>
      <c r="N12" s="71">
        <f>SUMIFS('Unos rashoda i izdataka'!$J$3:$J$511,'Unos rashoda i izdataka'!$C$3:$C$511,"=563",'Unos rashoda i izdataka'!$P$3:$P$511,"=51")+SUMIFS('Unos rashoda P4'!$H$3:$H$512,'Unos rashoda P4'!$A$3:$A$512,"=563",'Unos rashoda P4'!$S$3:$S$512,"=51")</f>
        <v>0</v>
      </c>
      <c r="O12" s="71">
        <f>SUMIFS('Unos rashoda i izdataka'!$J$3:$J$511,'Unos rashoda i izdataka'!$C$3:$C$511,"=573",'Unos rashoda i izdataka'!$P$3:$P$511,"=51")+SUMIFS('Unos rashoda P4'!$H$3:$H$512,'Unos rashoda P4'!$A$3:$A$512,"=573",'Unos rashoda P4'!$S$3:$S$512,"=51")</f>
        <v>0</v>
      </c>
      <c r="P12" s="71">
        <f>SUMIFS('Unos rashoda i izdataka'!$J$3:$J$511,'Unos rashoda i izdataka'!$C$3:$C$511,"=575",'Unos rashoda i izdataka'!$P$3:$P$511,"=51")+SUMIFS('Unos rashoda P4'!$H$3:$H$512,'Unos rashoda P4'!$A$3:$A$512,"=575",'Unos rashoda P4'!$S$3:$S$512,"=51")</f>
        <v>0</v>
      </c>
      <c r="Q12" s="71">
        <f>SUMIFS('Unos rashoda i izdataka'!$J$3:$J$511,'Unos rashoda i izdataka'!$Q$3:$Q$511,"=576",'Unos rashoda i izdataka'!$P$3:$P$511,"=51")+SUMIFS('Unos rashoda P4'!$H$3:$H$512,'Unos rashoda P4'!$A$3:$A$512,"=576",'Unos rashoda P4'!$S$3:$S$512,"=51")</f>
        <v>0</v>
      </c>
      <c r="R12" s="71">
        <f>SUMIFS('Unos rashoda i izdataka'!$J$3:$J$511,'Unos rashoda i izdataka'!$C$3:$C$511,"=581",'Unos rashoda i izdataka'!$P$3:$P$511,"=51")+SUMIFS('Unos rashoda P4'!$H$3:$H$512,'Unos rashoda P4'!$A$3:$A$512,"=581",'Unos rashoda P4'!$S$3:$S$512,"=51")</f>
        <v>0</v>
      </c>
      <c r="S12" s="71">
        <f>SUMIFS('Unos rashoda i izdataka'!$J$3:$J$511,'Unos rashoda i izdataka'!$C$3:$C$511,"=61",'Unos rashoda i izdataka'!$P$3:$P$511,"=51")+SUMIFS('Unos rashoda P4'!$H$3:$H$512,'Unos rashoda P4'!$A$3:$A$512,"=61",'Unos rashoda P4'!$S$3:$S$512,"=51")</f>
        <v>0</v>
      </c>
      <c r="T12" s="71">
        <f>SUMIFS('Unos rashoda i izdataka'!$J$3:$J$511,'Unos rashoda i izdataka'!$C$3:$C$511,"=63",'Unos rashoda i izdataka'!$P$3:$P$511,"=51")+SUMIFS('Unos rashoda P4'!$H$3:$H$512,'Unos rashoda P4'!$A$3:$A$512,"=63",'Unos rashoda P4'!$S$3:$S$512,"=51")</f>
        <v>0</v>
      </c>
      <c r="U12" s="71">
        <f>SUMIFS('Unos rashoda i izdataka'!$J$3:$J$511,'Unos rashoda i izdataka'!$C$3:$C$511,"=71",'Unos rashoda i izdataka'!$P$3:$P$511,"=51")+SUMIFS('Unos rashoda P4'!$H$3:$H$512,'Unos rashoda P4'!$A$3:$A$512,"=71",'Unos rashoda P4'!$S$3:$S$512,"=51")</f>
        <v>0</v>
      </c>
      <c r="V12" s="71">
        <f>SUMIFS('Unos rashoda i izdataka'!$J$3:$J$511,'Unos rashoda i izdataka'!$C$3:$C$511,"=81",'Unos rashoda i izdataka'!$P$3:$P$511,"=51")+SUMIFS('Unos rashoda P4'!$H$3:$H$512,'Unos rashoda P4'!$A$3:$A$512,"=81",'Unos rashoda P4'!$S$3:$S$512,"=51")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1">
        <f>SUMIFS('Unos rashoda i izdataka'!$J$3:$J$511,'Unos rashoda i izdataka'!$C$3:$C$511,"=11",'Unos rashoda i izdataka'!$P$3:$P$511,"=54")+SUMIFS('Unos rashoda P4'!$H$3:$H$512,'Unos rashoda P4'!$A$3:$A$512,"=11",'Unos rashoda P4'!$S$3:$S$512,"=54")</f>
        <v>0</v>
      </c>
      <c r="E13" s="71">
        <f>SUMIFS('Unos rashoda i izdataka'!$J$3:$J$511,'Unos rashoda i izdataka'!$C$3:$C$511,"=12",'Unos rashoda i izdataka'!$P$3:$P$511,"=54")+SUMIFS('Unos rashoda P4'!$H$3:$H$512,'Unos rashoda P4'!$A$3:$A$512,"=12",'Unos rashoda P4'!$S$3:$S$512,"=54")</f>
        <v>0</v>
      </c>
      <c r="F13" s="71">
        <f>SUMIFS('Unos rashoda i izdataka'!$J$3:$J$511,'Unos rashoda i izdataka'!$C$3:$C$511,"=31",'Unos rashoda i izdataka'!$P$3:$P$511,"=54")+SUMIFS('Unos rashoda P4'!$H$3:$H$512,'Unos rashoda P4'!$A$3:$A$512,"=31",'Unos rashoda P4'!$S$3:$S$512,"=54")</f>
        <v>0</v>
      </c>
      <c r="G13" s="71">
        <f>SUMIFS('Unos rashoda i izdataka'!$J$3:$J$511,'Unos rashoda i izdataka'!$C$3:$C$511,"=41",'Unos rashoda i izdataka'!$P$3:$P$511,"=54")+SUMIFS('Unos rashoda P4'!$H$3:$H$512,'Unos rashoda P4'!$A$3:$A$512,"=41",'Unos rashoda P4'!$S$3:$S$512,"=54")</f>
        <v>0</v>
      </c>
      <c r="H13" s="71">
        <f>SUMIFS('Unos rashoda i izdataka'!$J$3:$J$511,'Unos rashoda i izdataka'!$C$3:$C$511,"=43",'Unos rashoda i izdataka'!$P$3:$P$511,"=54")+SUMIFS('Unos rashoda P4'!$H$3:$H$512,'Unos rashoda P4'!$A$3:$A$512,"=43",'Unos rashoda P4'!$S$3:$S$512,"=54")</f>
        <v>0</v>
      </c>
      <c r="I13" s="71">
        <f>SUMIFS('Unos rashoda i izdataka'!$J$3:$J$511,'Unos rashoda i izdataka'!$C$3:$C$511,"=51",'Unos rashoda i izdataka'!$P$3:$P$511,"=54")+SUMIFS('Unos rashoda P4'!$H$3:$H$512,'Unos rashoda P4'!$A$3:$A$512,"=51",'Unos rashoda P4'!$S$3:$S$512,"=54")</f>
        <v>0</v>
      </c>
      <c r="J13" s="71">
        <f>SUMIFS('Unos rashoda i izdataka'!$J$3:$J$511,'Unos rashoda i izdataka'!$C$3:$C$511,"=52",'Unos rashoda i izdataka'!$P$3:$P$511,"=54")+SUMIFS('Unos rashoda P4'!$H$3:$H$512,'Unos rashoda P4'!$A$3:$A$512,"=52",'Unos rashoda P4'!$S$3:$S$512,"=54")</f>
        <v>0</v>
      </c>
      <c r="K13" s="71">
        <f>SUMIFS('Unos rashoda i izdataka'!$J$3:$J$511,'Unos rashoda i izdataka'!$C$3:$C$511,"=552",'Unos rashoda i izdataka'!$P$3:$P$511,"=54")+SUMIFS('Unos rashoda P4'!$H$3:$H$512,'Unos rashoda P4'!$A$3:$A$512,"=552",'Unos rashoda P4'!$S$3:$S$512,"=54")</f>
        <v>0</v>
      </c>
      <c r="L13" s="71">
        <f>SUMIFS('Unos rashoda i izdataka'!$J$3:$J$511,'Unos rashoda i izdataka'!$C$3:$C$511,"=559",'Unos rashoda i izdataka'!$P$3:$P$511,"=54")+SUMIFS('Unos rashoda P4'!$H$3:$H$512,'Unos rashoda P4'!$A$3:$A$512,"=559",'Unos rashoda P4'!$S$3:$S$512,"=54")</f>
        <v>0</v>
      </c>
      <c r="M13" s="71">
        <f>SUMIFS('Unos rashoda i izdataka'!$J$3:$J$511,'Unos rashoda i izdataka'!$C$3:$C$511,"=561",'Unos rashoda i izdataka'!$P$3:$P$511,"=54")+SUMIFS('Unos rashoda P4'!$H$3:$H$512,'Unos rashoda P4'!$A$3:$A$512,"=561",'Unos rashoda P4'!$S$3:$S$512,"=54")</f>
        <v>0</v>
      </c>
      <c r="N13" s="71">
        <f>SUMIFS('Unos rashoda i izdataka'!$J$3:$J$511,'Unos rashoda i izdataka'!$C$3:$C$511,"=563",'Unos rashoda i izdataka'!$P$3:$P$511,"=54")+SUMIFS('Unos rashoda P4'!$H$3:$H$512,'Unos rashoda P4'!$A$3:$A$512,"=563",'Unos rashoda P4'!$S$3:$S$512,"=54")</f>
        <v>0</v>
      </c>
      <c r="O13" s="71">
        <f>SUMIFS('Unos rashoda i izdataka'!$J$3:$J$511,'Unos rashoda i izdataka'!$C$3:$C$511,"=573",'Unos rashoda i izdataka'!$P$3:$P$511,"=54")+SUMIFS('Unos rashoda P4'!$H$3:$H$512,'Unos rashoda P4'!$A$3:$A$512,"=573",'Unos rashoda P4'!$S$3:$S$512,"=54")</f>
        <v>0</v>
      </c>
      <c r="P13" s="71">
        <f>SUMIFS('Unos rashoda i izdataka'!$J$3:$J$511,'Unos rashoda i izdataka'!$C$3:$C$511,"=575",'Unos rashoda i izdataka'!$P$3:$P$511,"=54")+SUMIFS('Unos rashoda P4'!$H$3:$H$512,'Unos rashoda P4'!$A$3:$A$512,"=575",'Unos rashoda P4'!$S$3:$S$512,"=54")</f>
        <v>0</v>
      </c>
      <c r="Q13" s="71">
        <f>SUMIFS('Unos rashoda i izdataka'!$J$3:$J$511,'Unos rashoda i izdataka'!$Q$3:$Q$511,"=576",'Unos rashoda i izdataka'!$P$3:$P$511,"=54")+SUMIFS('Unos rashoda P4'!$H$3:$H$512,'Unos rashoda P4'!$A$3:$A$512,"=576",'Unos rashoda P4'!$S$3:$S$512,"=54")</f>
        <v>0</v>
      </c>
      <c r="R13" s="71">
        <f>SUMIFS('Unos rashoda i izdataka'!$J$3:$J$511,'Unos rashoda i izdataka'!$C$3:$C$511,"=581",'Unos rashoda i izdataka'!$P$3:$P$511,"=54")+SUMIFS('Unos rashoda P4'!$H$3:$H$512,'Unos rashoda P4'!$A$3:$A$512,"=581",'Unos rashoda P4'!$S$3:$S$512,"=54")</f>
        <v>0</v>
      </c>
      <c r="S13" s="71">
        <f>SUMIFS('Unos rashoda i izdataka'!$J$3:$J$511,'Unos rashoda i izdataka'!$C$3:$C$511,"=61",'Unos rashoda i izdataka'!$P$3:$P$511,"=54")+SUMIFS('Unos rashoda P4'!$H$3:$H$512,'Unos rashoda P4'!$A$3:$A$512,"=61",'Unos rashoda P4'!$S$3:$S$512,"=54")</f>
        <v>0</v>
      </c>
      <c r="T13" s="71">
        <f>SUMIFS('Unos rashoda i izdataka'!$J$3:$J$511,'Unos rashoda i izdataka'!$C$3:$C$511,"=63",'Unos rashoda i izdataka'!$P$3:$P$511,"=54")+SUMIFS('Unos rashoda P4'!$H$3:$H$512,'Unos rashoda P4'!$A$3:$A$512,"=63",'Unos rashoda P4'!$S$3:$S$512,"=54")</f>
        <v>0</v>
      </c>
      <c r="U13" s="71">
        <f>SUMIFS('Unos rashoda i izdataka'!$J$3:$J$511,'Unos rashoda i izdataka'!$C$3:$C$511,"=71",'Unos rashoda i izdataka'!$P$3:$P$511,"=54")+SUMIFS('Unos rashoda P4'!$H$3:$H$512,'Unos rashoda P4'!$A$3:$A$512,"=71",'Unos rashoda P4'!$S$3:$S$512,"=54")</f>
        <v>0</v>
      </c>
      <c r="V13" s="71">
        <f>SUMIFS('Unos rashoda i izdataka'!$J$3:$J$511,'Unos rashoda i izdataka'!$C$3:$C$511,"=81",'Unos rashoda i izdataka'!$P$3:$P$511,"=54")+SUMIFS('Unos rashoda P4'!$H$3:$H$512,'Unos rashoda P4'!$A$3:$A$512,"=81",'Unos rashoda P4'!$S$3:$S$512,"=54")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402" t="s">
        <v>236</v>
      </c>
      <c r="B15" s="403"/>
      <c r="C15" s="404" t="s">
        <v>5266</v>
      </c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6"/>
      <c r="U15" s="135"/>
      <c r="V15" s="135"/>
    </row>
    <row r="16" spans="1:262" s="38" customFormat="1" ht="89.25">
      <c r="A16" s="40" t="s">
        <v>237</v>
      </c>
      <c r="B16" s="40" t="s">
        <v>238</v>
      </c>
      <c r="C16" s="179" t="s">
        <v>239</v>
      </c>
      <c r="D16" s="136" t="s">
        <v>259</v>
      </c>
      <c r="E16" s="136" t="s">
        <v>251</v>
      </c>
      <c r="F16" s="137" t="s">
        <v>16</v>
      </c>
      <c r="G16" s="137" t="s">
        <v>1229</v>
      </c>
      <c r="H16" s="137" t="s">
        <v>17</v>
      </c>
      <c r="I16" s="137" t="s">
        <v>240</v>
      </c>
      <c r="J16" s="137" t="s">
        <v>241</v>
      </c>
      <c r="K16" s="137" t="s">
        <v>1230</v>
      </c>
      <c r="L16" s="137" t="s">
        <v>242</v>
      </c>
      <c r="M16" s="137" t="s">
        <v>243</v>
      </c>
      <c r="N16" s="137" t="s">
        <v>244</v>
      </c>
      <c r="O16" s="137" t="s">
        <v>1231</v>
      </c>
      <c r="P16" s="137" t="s">
        <v>1232</v>
      </c>
      <c r="Q16" s="137" t="s">
        <v>1707</v>
      </c>
      <c r="R16" s="41" t="s">
        <v>3016</v>
      </c>
      <c r="S16" s="137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5">
        <f>+H17+V17</f>
        <v>0</v>
      </c>
      <c r="D17" s="313"/>
      <c r="E17" s="313"/>
      <c r="F17" s="313"/>
      <c r="G17" s="313"/>
      <c r="H17" s="64">
        <f t="shared" ref="H17" si="4">SUM(H18:H21)</f>
        <v>0</v>
      </c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64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5098</v>
      </c>
      <c r="C18" s="27">
        <f>+H18+V18</f>
        <v>0</v>
      </c>
      <c r="D18" s="313"/>
      <c r="E18" s="313"/>
      <c r="F18" s="313"/>
      <c r="G18" s="313"/>
      <c r="H18" s="116">
        <f>SUMIFS('Unos prihoda i primitaka'!$H$3:$H$504,'Unos prihoda i primitaka'!$C$3:$C$504,"=43",'Unos prihoda i primitaka'!$L$3:$L$504,"=81")</f>
        <v>0</v>
      </c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116">
        <f>SUMIFS('Unos prihoda i primitaka'!$H$3:$H$504,'Unos prihoda i primitaka'!$C$3:$C$504,"=81",'Unos prihoda i primitaka'!$L$3:$L$504,"=81")</f>
        <v>0</v>
      </c>
    </row>
    <row r="19" spans="1:262" s="38" customFormat="1">
      <c r="A19" s="48">
        <v>82</v>
      </c>
      <c r="B19" s="49" t="s">
        <v>5099</v>
      </c>
      <c r="C19" s="27">
        <f t="shared" ref="C19:C21" si="6">+H19+V19</f>
        <v>0</v>
      </c>
      <c r="D19" s="313"/>
      <c r="E19" s="313"/>
      <c r="F19" s="313"/>
      <c r="G19" s="313"/>
      <c r="H19" s="116">
        <f>SUMIFS('Unos prihoda i primitaka'!$H$3:$H$504,'Unos prihoda i primitaka'!$C$3:$C$504,"=43",'Unos prihoda i primitaka'!$L$3:$L$504,"=82")</f>
        <v>0</v>
      </c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116">
        <f>SUMIFS('Unos prihoda i primitaka'!$H$3:$H$504,'Unos prihoda i primitaka'!$C$3:$C$504,"=81",'Unos prihoda i primitaka'!$L$3:$L$504,"=82")</f>
        <v>0</v>
      </c>
    </row>
    <row r="20" spans="1:262" s="38" customFormat="1">
      <c r="A20" s="163">
        <v>83</v>
      </c>
      <c r="B20" s="49" t="s">
        <v>5100</v>
      </c>
      <c r="C20" s="27">
        <f t="shared" si="6"/>
        <v>0</v>
      </c>
      <c r="D20" s="313"/>
      <c r="E20" s="313"/>
      <c r="F20" s="313"/>
      <c r="G20" s="313"/>
      <c r="H20" s="116">
        <f>SUMIFS('Unos prihoda i primitaka'!$H$3:$H$504,'Unos prihoda i primitaka'!$C$3:$C$504,"=43",'Unos prihoda i primitaka'!$L$3:$L$504,"=83")</f>
        <v>0</v>
      </c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116">
        <f>SUMIFS('Unos prihoda i primitaka'!$H$3:$H$504,'Unos prihoda i primitaka'!$C$3:$C$504,"=81",'Unos prihoda i primitaka'!$L$3:$L$504,"=83")</f>
        <v>0</v>
      </c>
    </row>
    <row r="21" spans="1:262" s="38" customFormat="1">
      <c r="A21" s="48">
        <v>84</v>
      </c>
      <c r="B21" s="49" t="s">
        <v>5101</v>
      </c>
      <c r="C21" s="27">
        <f t="shared" si="6"/>
        <v>0</v>
      </c>
      <c r="D21" s="313"/>
      <c r="E21" s="313"/>
      <c r="F21" s="313"/>
      <c r="G21" s="313"/>
      <c r="H21" s="116">
        <f>SUMIFS('Unos prihoda i primitaka'!$H$3:$H$504,'Unos prihoda i primitaka'!$C$3:$C$504,"=43",'Unos prihoda i primitaka'!$L$3:$L$504,"=84")</f>
        <v>0</v>
      </c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116">
        <f>SUMIFS('Unos prihoda i primitaka'!$H$3:$H$504,'Unos prihoda i primitaka'!$C$3:$C$504,"=81",'Unos prihoda i primitaka'!$L$3:$L$504,"=84")</f>
        <v>0</v>
      </c>
    </row>
    <row r="22" spans="1:262" s="7" customFormat="1" ht="12.6" customHeight="1">
      <c r="A22" s="62">
        <v>5</v>
      </c>
      <c r="B22" s="63" t="s">
        <v>14</v>
      </c>
      <c r="C22" s="65">
        <f t="shared" ref="C22:C24" si="7">SUM(D22:V22)</f>
        <v>0</v>
      </c>
      <c r="D22" s="64">
        <f>+D23+D24</f>
        <v>0</v>
      </c>
      <c r="E22" s="64">
        <f t="shared" ref="E22:V22" si="8">+E23+E24</f>
        <v>0</v>
      </c>
      <c r="F22" s="64">
        <f t="shared" si="8"/>
        <v>0</v>
      </c>
      <c r="G22" s="64">
        <f t="shared" si="8"/>
        <v>0</v>
      </c>
      <c r="H22" s="64">
        <f t="shared" si="8"/>
        <v>0</v>
      </c>
      <c r="I22" s="64">
        <f t="shared" si="8"/>
        <v>0</v>
      </c>
      <c r="J22" s="64">
        <f t="shared" si="8"/>
        <v>0</v>
      </c>
      <c r="K22" s="64">
        <f t="shared" si="8"/>
        <v>0</v>
      </c>
      <c r="L22" s="64">
        <f t="shared" si="8"/>
        <v>0</v>
      </c>
      <c r="M22" s="64">
        <f t="shared" si="8"/>
        <v>0</v>
      </c>
      <c r="N22" s="64">
        <f t="shared" si="8"/>
        <v>0</v>
      </c>
      <c r="O22" s="64">
        <f t="shared" si="8"/>
        <v>0</v>
      </c>
      <c r="P22" s="64">
        <f t="shared" si="8"/>
        <v>0</v>
      </c>
      <c r="Q22" s="64">
        <f t="shared" si="8"/>
        <v>0</v>
      </c>
      <c r="R22" s="64">
        <f t="shared" si="8"/>
        <v>0</v>
      </c>
      <c r="S22" s="64">
        <f t="shared" si="8"/>
        <v>0</v>
      </c>
      <c r="T22" s="64">
        <f t="shared" si="8"/>
        <v>0</v>
      </c>
      <c r="U22" s="64">
        <f t="shared" si="8"/>
        <v>0</v>
      </c>
      <c r="V22" s="64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1">
        <f>SUMIFS('Unos rashoda i izdataka'!$K$3:$K$511,'Unos rashoda i izdataka'!$C$3:$C$511,"=11",'Unos rashoda i izdataka'!$P$3:$P$511,"=51")+SUMIFS('Unos rashoda P4'!$I$3:$I$512,'Unos rashoda P4'!$A$3:$A$512,"=11",'Unos rashoda P4'!$S$3:$S$512,"=51")</f>
        <v>0</v>
      </c>
      <c r="E23" s="71">
        <f>SUMIFS('Unos rashoda i izdataka'!$K$3:$K$511,'Unos rashoda i izdataka'!$C$3:$C$511,"=12",'Unos rashoda i izdataka'!$P$3:$P$511,"=51")+SUMIFS('Unos rashoda P4'!$I$3:$I$512,'Unos rashoda P4'!$A$3:$A$512,"=12",'Unos rashoda P4'!$S$3:$S$512,"=51")</f>
        <v>0</v>
      </c>
      <c r="F23" s="71">
        <f>SUMIFS('Unos rashoda i izdataka'!$K$3:$K$511,'Unos rashoda i izdataka'!$C$3:$C$511,"=31",'Unos rashoda i izdataka'!$P$3:$P$511,"=51")+SUMIFS('Unos rashoda P4'!$I$3:$I$512,'Unos rashoda P4'!$A$3:$A$512,"=31",'Unos rashoda P4'!$S$3:$S$512,"=51")</f>
        <v>0</v>
      </c>
      <c r="G23" s="71">
        <f>SUMIFS('Unos rashoda i izdataka'!$K$3:$K$511,'Unos rashoda i izdataka'!$C$3:$C$511,"=41",'Unos rashoda i izdataka'!$P$3:$P$511,"=51")+SUMIFS('Unos rashoda P4'!$I$3:$I$512,'Unos rashoda P4'!$A$3:$A$512,"=41",'Unos rashoda P4'!$S$3:$S$512,"=51")</f>
        <v>0</v>
      </c>
      <c r="H23" s="71">
        <f>SUMIFS('Unos rashoda i izdataka'!$K$3:$K$511,'Unos rashoda i izdataka'!$C$3:$C$511,"=43",'Unos rashoda i izdataka'!$P$3:$P$511,"=51")+SUMIFS('Unos rashoda P4'!$I$3:$I$512,'Unos rashoda P4'!$A$3:$A$512,"=43",'Unos rashoda P4'!$S$3:$S$512,"=51")</f>
        <v>0</v>
      </c>
      <c r="I23" s="71">
        <f>SUMIFS('Unos rashoda i izdataka'!$K$3:$K$511,'Unos rashoda i izdataka'!$C$3:$C$511,"=51",'Unos rashoda i izdataka'!$P$3:$P$511,"=51")+SUMIFS('Unos rashoda P4'!$I$3:$I$512,'Unos rashoda P4'!$A$3:$A$512,"=51",'Unos rashoda P4'!$S$3:$S$512,"=51")</f>
        <v>0</v>
      </c>
      <c r="J23" s="71">
        <f>SUMIFS('Unos rashoda i izdataka'!$K$3:$K$511,'Unos rashoda i izdataka'!$C$3:$C$511,"=52",'Unos rashoda i izdataka'!$P$3:$P$511,"=51")+SUMIFS('Unos rashoda P4'!$I$3:$I$512,'Unos rashoda P4'!$A$3:$A$512,"=52",'Unos rashoda P4'!$S$3:$S$512,"=51")</f>
        <v>0</v>
      </c>
      <c r="K23" s="71">
        <f>SUMIFS('Unos rashoda i izdataka'!$K$3:$K$511,'Unos rashoda i izdataka'!$C$3:$C$511,"=552",'Unos rashoda i izdataka'!$P$3:$P$511,"=51")+SUMIFS('Unos rashoda P4'!$I$3:$I$512,'Unos rashoda P4'!$A$3:$A$512,"=552",'Unos rashoda P4'!$S$3:$S$512,"=51")</f>
        <v>0</v>
      </c>
      <c r="L23" s="71">
        <f>SUMIFS('Unos rashoda i izdataka'!$K$3:$K$511,'Unos rashoda i izdataka'!$C$3:$C$511,"=559",'Unos rashoda i izdataka'!$P$3:$P$511,"=51")+SUMIFS('Unos rashoda P4'!$I$3:$I$512,'Unos rashoda P4'!$A$3:$A$512,"=559",'Unos rashoda P4'!$S$3:$S$512,"=51")</f>
        <v>0</v>
      </c>
      <c r="M23" s="71">
        <f>SUMIFS('Unos rashoda i izdataka'!$K$3:$K$511,'Unos rashoda i izdataka'!$C$3:$C$511,"=561",'Unos rashoda i izdataka'!$P$3:$P$511,"=51")+SUMIFS('Unos rashoda P4'!$I$3:$I$512,'Unos rashoda P4'!$A$3:$A$512,"=561",'Unos rashoda P4'!$S$3:$S$512,"=51")</f>
        <v>0</v>
      </c>
      <c r="N23" s="71">
        <f>SUMIFS('Unos rashoda i izdataka'!$K$3:$K$511,'Unos rashoda i izdataka'!$C$3:$C$511,"=563",'Unos rashoda i izdataka'!$P$3:$P$511,"=51")+SUMIFS('Unos rashoda P4'!$I$3:$I$512,'Unos rashoda P4'!$A$3:$A$512,"=563",'Unos rashoda P4'!$S$3:$S$512,"=51")</f>
        <v>0</v>
      </c>
      <c r="O23" s="71">
        <f>SUMIFS('Unos rashoda i izdataka'!$K$3:$K$511,'Unos rashoda i izdataka'!$C$3:$C$511,"=573",'Unos rashoda i izdataka'!$P$3:$P$511,"=51")+SUMIFS('Unos rashoda P4'!$I$3:$I$512,'Unos rashoda P4'!$A$3:$A$512,"=573",'Unos rashoda P4'!$S$3:$S$512,"=51")</f>
        <v>0</v>
      </c>
      <c r="P23" s="71">
        <f>SUMIFS('Unos rashoda i izdataka'!$K$3:$K$511,'Unos rashoda i izdataka'!$C$3:$C$511,"=575",'Unos rashoda i izdataka'!$P$3:$P$511,"=51")+SUMIFS('Unos rashoda P4'!$I$3:$I$512,'Unos rashoda P4'!$A$3:$A$512,"=575",'Unos rashoda P4'!$S$3:$S$512,"=51")</f>
        <v>0</v>
      </c>
      <c r="Q23" s="71">
        <f>SUMIFS('Unos rashoda i izdataka'!$K$3:$K$511,'Unos rashoda i izdataka'!$Q$3:$Q$511,"=576",'Unos rashoda i izdataka'!$P$3:$P$511,"=51")+SUMIFS('Unos rashoda P4'!$I$3:$I$512,'Unos rashoda P4'!$A$3:$A$512,"=576",'Unos rashoda P4'!$S$3:$S$512,"=51")</f>
        <v>0</v>
      </c>
      <c r="R23" s="71">
        <f>SUMIFS('Unos rashoda i izdataka'!$K$3:$K$511,'Unos rashoda i izdataka'!$C$3:$C$511,"=581",'Unos rashoda i izdataka'!$P$3:$P$511,"=51")+SUMIFS('Unos rashoda P4'!$I$3:$I$512,'Unos rashoda P4'!$A$3:$A$512,"=581",'Unos rashoda P4'!$S$3:$S$512,"=51")</f>
        <v>0</v>
      </c>
      <c r="S23" s="71">
        <f>SUMIFS('Unos rashoda i izdataka'!$K$3:$K$511,'Unos rashoda i izdataka'!$C$3:$C$511,"=61",'Unos rashoda i izdataka'!$P$3:$P$511,"=51")+SUMIFS('Unos rashoda P4'!$I$3:$I$512,'Unos rashoda P4'!$A$3:$A$512,"=61",'Unos rashoda P4'!$S$3:$S$512,"=51")</f>
        <v>0</v>
      </c>
      <c r="T23" s="71">
        <f>SUMIFS('Unos rashoda i izdataka'!$K$3:$K$511,'Unos rashoda i izdataka'!$C$3:$C$511,"=63",'Unos rashoda i izdataka'!$P$3:$P$511,"=51")+SUMIFS('Unos rashoda P4'!$I$3:$I$512,'Unos rashoda P4'!$A$3:$A$512,"=63",'Unos rashoda P4'!$S$3:$S$512,"=51")</f>
        <v>0</v>
      </c>
      <c r="U23" s="71">
        <f>SUMIFS('Unos rashoda i izdataka'!$K$3:$K$511,'Unos rashoda i izdataka'!$C$3:$C$511,"=71",'Unos rashoda i izdataka'!$P$3:$P$511,"=51")+SUMIFS('Unos rashoda P4'!$I$3:$I$512,'Unos rashoda P4'!$A$3:$A$512,"=71",'Unos rashoda P4'!$S$3:$S$512,"=51")</f>
        <v>0</v>
      </c>
      <c r="V23" s="71">
        <f>SUMIFS('Unos rashoda i izdataka'!$K$3:$K$511,'Unos rashoda i izdataka'!$C$3:$C$511,"=81",'Unos rashoda i izdataka'!$P$3:$P$511,"=51")+SUMIFS('Unos rashoda P4'!$I$3:$I$512,'Unos rashoda P4'!$A$3:$A$512,"=81",'Unos rashoda P4'!$S$3:$S$512,"=51")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1">
        <f>SUMIFS('Unos rashoda i izdataka'!$K$3:$K$511,'Unos rashoda i izdataka'!$C$3:$C$511,"=11",'Unos rashoda i izdataka'!$P$3:$P$511,"=54")+SUMIFS('Unos rashoda P4'!$I$3:$I$512,'Unos rashoda P4'!$A$3:$A$512,"=11",'Unos rashoda P4'!$S$3:$S$512,"=54")</f>
        <v>0</v>
      </c>
      <c r="E24" s="71">
        <f>SUMIFS('Unos rashoda i izdataka'!$K$3:$K$511,'Unos rashoda i izdataka'!$C$3:$C$511,"=12",'Unos rashoda i izdataka'!$P$3:$P$511,"=54")+SUMIFS('Unos rashoda P4'!$I$3:$I$512,'Unos rashoda P4'!$A$3:$A$512,"=12",'Unos rashoda P4'!$S$3:$S$512,"=54")</f>
        <v>0</v>
      </c>
      <c r="F24" s="71">
        <f>SUMIFS('Unos rashoda i izdataka'!$K$3:$K$511,'Unos rashoda i izdataka'!$C$3:$C$511,"=31",'Unos rashoda i izdataka'!$P$3:$P$511,"=54")+SUMIFS('Unos rashoda P4'!$I$3:$I$512,'Unos rashoda P4'!$A$3:$A$512,"=31",'Unos rashoda P4'!$S$3:$S$512,"=54")</f>
        <v>0</v>
      </c>
      <c r="G24" s="71">
        <f>SUMIFS('Unos rashoda i izdataka'!$K$3:$K$511,'Unos rashoda i izdataka'!$C$3:$C$511,"=41",'Unos rashoda i izdataka'!$P$3:$P$511,"=54")+SUMIFS('Unos rashoda P4'!$I$3:$I$512,'Unos rashoda P4'!$A$3:$A$512,"=41",'Unos rashoda P4'!$S$3:$S$512,"=54")</f>
        <v>0</v>
      </c>
      <c r="H24" s="71">
        <f>SUMIFS('Unos rashoda i izdataka'!$K$3:$K$511,'Unos rashoda i izdataka'!$C$3:$C$511,"=43",'Unos rashoda i izdataka'!$P$3:$P$511,"=54")+SUMIFS('Unos rashoda P4'!$I$3:$I$512,'Unos rashoda P4'!$A$3:$A$512,"=43",'Unos rashoda P4'!$S$3:$S$512,"=54")</f>
        <v>0</v>
      </c>
      <c r="I24" s="71">
        <f>SUMIFS('Unos rashoda i izdataka'!$K$3:$K$511,'Unos rashoda i izdataka'!$C$3:$C$511,"=51",'Unos rashoda i izdataka'!$P$3:$P$511,"=54")+SUMIFS('Unos rashoda P4'!$I$3:$I$512,'Unos rashoda P4'!$A$3:$A$512,"=51",'Unos rashoda P4'!$S$3:$S$512,"=54")</f>
        <v>0</v>
      </c>
      <c r="J24" s="71">
        <f>SUMIFS('Unos rashoda i izdataka'!$K$3:$K$511,'Unos rashoda i izdataka'!$C$3:$C$511,"=52",'Unos rashoda i izdataka'!$P$3:$P$511,"=54")+SUMIFS('Unos rashoda P4'!$I$3:$I$512,'Unos rashoda P4'!$A$3:$A$512,"=52",'Unos rashoda P4'!$S$3:$S$512,"=54")</f>
        <v>0</v>
      </c>
      <c r="K24" s="71">
        <f>SUMIFS('Unos rashoda i izdataka'!$K$3:$K$511,'Unos rashoda i izdataka'!$C$3:$C$511,"=552",'Unos rashoda i izdataka'!$P$3:$P$511,"=54")+SUMIFS('Unos rashoda P4'!$I$3:$I$512,'Unos rashoda P4'!$A$3:$A$512,"=552",'Unos rashoda P4'!$S$3:$S$512,"=54")</f>
        <v>0</v>
      </c>
      <c r="L24" s="71">
        <f>SUMIFS('Unos rashoda i izdataka'!$K$3:$K$511,'Unos rashoda i izdataka'!$C$3:$C$511,"=559",'Unos rashoda i izdataka'!$P$3:$P$511,"=54")+SUMIFS('Unos rashoda P4'!$I$3:$I$512,'Unos rashoda P4'!$A$3:$A$512,"=559",'Unos rashoda P4'!$S$3:$S$512,"=54")</f>
        <v>0</v>
      </c>
      <c r="M24" s="71">
        <f>SUMIFS('Unos rashoda i izdataka'!$K$3:$K$511,'Unos rashoda i izdataka'!$C$3:$C$511,"=561",'Unos rashoda i izdataka'!$P$3:$P$511,"=54")+SUMIFS('Unos rashoda P4'!$I$3:$I$512,'Unos rashoda P4'!$A$3:$A$512,"=561",'Unos rashoda P4'!$S$3:$S$512,"=54")</f>
        <v>0</v>
      </c>
      <c r="N24" s="71">
        <f>SUMIFS('Unos rashoda i izdataka'!$K$3:$K$511,'Unos rashoda i izdataka'!$C$3:$C$511,"=563",'Unos rashoda i izdataka'!$P$3:$P$511,"=54")+SUMIFS('Unos rashoda P4'!$I$3:$I$512,'Unos rashoda P4'!$A$3:$A$512,"=563",'Unos rashoda P4'!$S$3:$S$512,"=54")</f>
        <v>0</v>
      </c>
      <c r="O24" s="71">
        <f>SUMIFS('Unos rashoda i izdataka'!$K$3:$K$511,'Unos rashoda i izdataka'!$C$3:$C$511,"=573",'Unos rashoda i izdataka'!$P$3:$P$511,"=54")+SUMIFS('Unos rashoda P4'!$I$3:$I$512,'Unos rashoda P4'!$A$3:$A$512,"=573",'Unos rashoda P4'!$S$3:$S$512,"=54")</f>
        <v>0</v>
      </c>
      <c r="P24" s="71">
        <f>SUMIFS('Unos rashoda i izdataka'!$K$3:$K$511,'Unos rashoda i izdataka'!$C$3:$C$511,"=575",'Unos rashoda i izdataka'!$P$3:$P$511,"=54")+SUMIFS('Unos rashoda P4'!$I$3:$I$512,'Unos rashoda P4'!$A$3:$A$512,"=575",'Unos rashoda P4'!$S$3:$S$512,"=54")</f>
        <v>0</v>
      </c>
      <c r="Q24" s="71">
        <f>SUMIFS('Unos rashoda i izdataka'!$K$3:$K$511,'Unos rashoda i izdataka'!$Q$3:$Q$511,"=576",'Unos rashoda i izdataka'!$P$3:$P$511,"=54")+SUMIFS('Unos rashoda P4'!$I$3:$I$512,'Unos rashoda P4'!$A$3:$A$512,"=576",'Unos rashoda P4'!$S$3:$S$512,"=54")</f>
        <v>0</v>
      </c>
      <c r="R24" s="71">
        <f>SUMIFS('Unos rashoda i izdataka'!$K$3:$K$511,'Unos rashoda i izdataka'!$C$3:$C$511,"=581",'Unos rashoda i izdataka'!$P$3:$P$511,"=54")+SUMIFS('Unos rashoda P4'!$I$3:$I$512,'Unos rashoda P4'!$A$3:$A$512,"=581",'Unos rashoda P4'!$S$3:$S$512,"=54")</f>
        <v>0</v>
      </c>
      <c r="S24" s="71">
        <f>SUMIFS('Unos rashoda i izdataka'!$K$3:$K$511,'Unos rashoda i izdataka'!$C$3:$C$511,"=61",'Unos rashoda i izdataka'!$P$3:$P$511,"=54")+SUMIFS('Unos rashoda P4'!$I$3:$I$512,'Unos rashoda P4'!$A$3:$A$512,"=61",'Unos rashoda P4'!$S$3:$S$512,"=54")</f>
        <v>0</v>
      </c>
      <c r="T24" s="71">
        <f>SUMIFS('Unos rashoda i izdataka'!$K$3:$K$511,'Unos rashoda i izdataka'!$C$3:$C$511,"=63",'Unos rashoda i izdataka'!$P$3:$P$511,"=54")+SUMIFS('Unos rashoda P4'!$I$3:$I$512,'Unos rashoda P4'!$A$3:$A$512,"=63",'Unos rashoda P4'!$S$3:$S$512,"=54")</f>
        <v>0</v>
      </c>
      <c r="U24" s="71">
        <f>SUMIFS('Unos rashoda i izdataka'!$K$3:$K$511,'Unos rashoda i izdataka'!$C$3:$C$511,"=71",'Unos rashoda i izdataka'!$P$3:$P$511,"=54")+SUMIFS('Unos rashoda P4'!$I$3:$I$512,'Unos rashoda P4'!$A$3:$A$512,"=71",'Unos rashoda P4'!$S$3:$S$512,"=54")</f>
        <v>0</v>
      </c>
      <c r="V24" s="71">
        <f>SUMIFS('Unos rashoda i izdataka'!$K$3:$K$511,'Unos rashoda i izdataka'!$C$3:$C$511,"=81",'Unos rashoda i izdataka'!$P$3:$P$511,"=54")+SUMIFS('Unos rashoda P4'!$I$3:$I$512,'Unos rashoda P4'!$A$3:$A$512,"=81",'Unos rashoda P4'!$S$3:$S$512,"=54")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402" t="s">
        <v>236</v>
      </c>
      <c r="B26" s="403"/>
      <c r="C26" s="404" t="s">
        <v>5267</v>
      </c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6"/>
      <c r="U26" s="135"/>
      <c r="V26" s="135"/>
    </row>
    <row r="27" spans="1:262" s="38" customFormat="1" ht="89.25">
      <c r="A27" s="40" t="s">
        <v>237</v>
      </c>
      <c r="B27" s="40" t="s">
        <v>238</v>
      </c>
      <c r="C27" s="179" t="s">
        <v>239</v>
      </c>
      <c r="D27" s="166" t="s">
        <v>259</v>
      </c>
      <c r="E27" s="166" t="s">
        <v>251</v>
      </c>
      <c r="F27" s="167" t="s">
        <v>16</v>
      </c>
      <c r="G27" s="167" t="s">
        <v>1229</v>
      </c>
      <c r="H27" s="167" t="s">
        <v>17</v>
      </c>
      <c r="I27" s="167" t="s">
        <v>240</v>
      </c>
      <c r="J27" s="167" t="s">
        <v>241</v>
      </c>
      <c r="K27" s="167" t="s">
        <v>1230</v>
      </c>
      <c r="L27" s="167" t="s">
        <v>242</v>
      </c>
      <c r="M27" s="167" t="s">
        <v>243</v>
      </c>
      <c r="N27" s="167" t="s">
        <v>244</v>
      </c>
      <c r="O27" s="167" t="s">
        <v>1231</v>
      </c>
      <c r="P27" s="167" t="s">
        <v>1232</v>
      </c>
      <c r="Q27" s="167" t="s">
        <v>1707</v>
      </c>
      <c r="R27" s="41" t="s">
        <v>3016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5">
        <f>+H28+V28</f>
        <v>0</v>
      </c>
      <c r="D28" s="313"/>
      <c r="E28" s="313"/>
      <c r="F28" s="313"/>
      <c r="G28" s="313"/>
      <c r="H28" s="64">
        <f t="shared" ref="H28" si="9">SUM(H29:H32)</f>
        <v>0</v>
      </c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64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5098</v>
      </c>
      <c r="C29" s="27">
        <f>+H29+V29</f>
        <v>0</v>
      </c>
      <c r="D29" s="313"/>
      <c r="E29" s="313"/>
      <c r="F29" s="313"/>
      <c r="G29" s="313"/>
      <c r="H29" s="116">
        <f>SUMIFS('Unos prihoda i primitaka'!$I$3:$I$504,'Unos prihoda i primitaka'!$C$3:$C$504,"=43",'Unos prihoda i primitaka'!$L$3:$L$504,"=81")</f>
        <v>0</v>
      </c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116">
        <f>SUMIFS('Unos prihoda i primitaka'!$I$3:$I$504,'Unos prihoda i primitaka'!$C$3:$C$504,"=81",'Unos prihoda i primitaka'!$L$3:$L$504,"=81")</f>
        <v>0</v>
      </c>
    </row>
    <row r="30" spans="1:262" s="38" customFormat="1">
      <c r="A30" s="48">
        <v>82</v>
      </c>
      <c r="B30" s="49" t="s">
        <v>5099</v>
      </c>
      <c r="C30" s="27">
        <f t="shared" ref="C30:C32" si="11">+H30+V30</f>
        <v>0</v>
      </c>
      <c r="D30" s="313"/>
      <c r="E30" s="313"/>
      <c r="F30" s="313"/>
      <c r="G30" s="313"/>
      <c r="H30" s="116">
        <f>SUMIFS('Unos prihoda i primitaka'!$I$3:$I$504,'Unos prihoda i primitaka'!$C$3:$C$504,"=43",'Unos prihoda i primitaka'!$L$3:$L$504,"=82")</f>
        <v>0</v>
      </c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116">
        <f>SUMIFS('Unos prihoda i primitaka'!$I$3:$I$504,'Unos prihoda i primitaka'!$C$3:$C$504,"=81",'Unos prihoda i primitaka'!$L$3:$L$504,"=82")</f>
        <v>0</v>
      </c>
    </row>
    <row r="31" spans="1:262" s="38" customFormat="1">
      <c r="A31" s="163">
        <v>83</v>
      </c>
      <c r="B31" s="49" t="s">
        <v>5100</v>
      </c>
      <c r="C31" s="27">
        <f t="shared" si="11"/>
        <v>0</v>
      </c>
      <c r="D31" s="313"/>
      <c r="E31" s="313"/>
      <c r="F31" s="313"/>
      <c r="G31" s="313"/>
      <c r="H31" s="116">
        <f>SUMIFS('Unos prihoda i primitaka'!$I$3:$I$504,'Unos prihoda i primitaka'!$C$3:$C$504,"=43",'Unos prihoda i primitaka'!$L$3:$L$504,"=83")</f>
        <v>0</v>
      </c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116">
        <f>SUMIFS('Unos prihoda i primitaka'!$I$3:$I$504,'Unos prihoda i primitaka'!$C$3:$C$504,"=81",'Unos prihoda i primitaka'!$L$3:$L$504,"=83")</f>
        <v>0</v>
      </c>
    </row>
    <row r="32" spans="1:262" s="38" customFormat="1">
      <c r="A32" s="48">
        <v>84</v>
      </c>
      <c r="B32" s="49" t="s">
        <v>5101</v>
      </c>
      <c r="C32" s="27">
        <f t="shared" si="11"/>
        <v>0</v>
      </c>
      <c r="D32" s="313"/>
      <c r="E32" s="313"/>
      <c r="F32" s="313"/>
      <c r="G32" s="313"/>
      <c r="H32" s="116">
        <f>SUMIFS('Unos prihoda i primitaka'!$I$3:$I$504,'Unos prihoda i primitaka'!$C$3:$C$504,"=43",'Unos prihoda i primitaka'!$L$3:$L$504,"=84")</f>
        <v>0</v>
      </c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116">
        <f>SUMIFS('Unos prihoda i primitaka'!$I$3:$I$504,'Unos prihoda i primitaka'!$C$3:$C$504,"=81",'Unos prihoda i primitaka'!$L$3:$L$504,"=84")</f>
        <v>0</v>
      </c>
    </row>
    <row r="33" spans="1:262" s="7" customFormat="1" ht="12.6" customHeight="1">
      <c r="A33" s="62">
        <v>5</v>
      </c>
      <c r="B33" s="63" t="s">
        <v>14</v>
      </c>
      <c r="C33" s="65">
        <f>SUM(D33:V33)</f>
        <v>0</v>
      </c>
      <c r="D33" s="64">
        <f>+D34+D35</f>
        <v>0</v>
      </c>
      <c r="E33" s="64">
        <f t="shared" ref="E33:V33" si="12">+E34+E35</f>
        <v>0</v>
      </c>
      <c r="F33" s="64">
        <f t="shared" si="12"/>
        <v>0</v>
      </c>
      <c r="G33" s="64">
        <f t="shared" si="12"/>
        <v>0</v>
      </c>
      <c r="H33" s="64">
        <f t="shared" si="12"/>
        <v>0</v>
      </c>
      <c r="I33" s="64">
        <f t="shared" si="12"/>
        <v>0</v>
      </c>
      <c r="J33" s="64">
        <f t="shared" si="12"/>
        <v>0</v>
      </c>
      <c r="K33" s="64">
        <f t="shared" si="12"/>
        <v>0</v>
      </c>
      <c r="L33" s="64">
        <f t="shared" si="12"/>
        <v>0</v>
      </c>
      <c r="M33" s="64">
        <f t="shared" si="12"/>
        <v>0</v>
      </c>
      <c r="N33" s="64">
        <f t="shared" si="12"/>
        <v>0</v>
      </c>
      <c r="O33" s="64">
        <f t="shared" si="12"/>
        <v>0</v>
      </c>
      <c r="P33" s="64">
        <f t="shared" si="12"/>
        <v>0</v>
      </c>
      <c r="Q33" s="64">
        <f t="shared" si="12"/>
        <v>0</v>
      </c>
      <c r="R33" s="64">
        <f t="shared" si="12"/>
        <v>0</v>
      </c>
      <c r="S33" s="64">
        <f t="shared" si="12"/>
        <v>0</v>
      </c>
      <c r="T33" s="64">
        <f t="shared" si="12"/>
        <v>0</v>
      </c>
      <c r="U33" s="64">
        <f t="shared" si="12"/>
        <v>0</v>
      </c>
      <c r="V33" s="64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1">
        <f>SUMIFS('Unos rashoda i izdataka'!$L$3:$L$511,'Unos rashoda i izdataka'!$C$3:$C$511,"=11",'Unos rashoda i izdataka'!$P$3:$P$511,"=51")+SUMIFS('Unos rashoda P4'!$J$3:$J$512,'Unos rashoda P4'!$A$3:$A$512,"=11",'Unos rashoda P4'!$S$3:$S$512,"=51")</f>
        <v>0</v>
      </c>
      <c r="E34" s="71">
        <f>SUMIFS('Unos rashoda i izdataka'!$L$3:$L$511,'Unos rashoda i izdataka'!$C$3:$C$511,"=12",'Unos rashoda i izdataka'!$P$3:$P$511,"=51")+SUMIFS('Unos rashoda P4'!$J$3:$J$512,'Unos rashoda P4'!$A$3:$A$512,"=12",'Unos rashoda P4'!$S$3:$S$512,"=51")</f>
        <v>0</v>
      </c>
      <c r="F34" s="71">
        <f>SUMIFS('Unos rashoda i izdataka'!$L$3:$L$511,'Unos rashoda i izdataka'!$C$3:$C$511,"=31",'Unos rashoda i izdataka'!$P$3:$P$511,"=51")+SUMIFS('Unos rashoda P4'!$J$3:$J$512,'Unos rashoda P4'!$A$3:$A$512,"=31",'Unos rashoda P4'!$S$3:$S$512,"=51")</f>
        <v>0</v>
      </c>
      <c r="G34" s="71">
        <f>SUMIFS('Unos rashoda i izdataka'!$L$3:$L$511,'Unos rashoda i izdataka'!$C$3:$C$511,"=41",'Unos rashoda i izdataka'!$P$3:$P$511,"=51")+SUMIFS('Unos rashoda P4'!$J$3:$J$512,'Unos rashoda P4'!$A$3:$A$512,"=41",'Unos rashoda P4'!$S$3:$S$512,"=51")</f>
        <v>0</v>
      </c>
      <c r="H34" s="71">
        <f>SUMIFS('Unos rashoda i izdataka'!$L$3:$L$511,'Unos rashoda i izdataka'!$C$3:$C$511,"=43",'Unos rashoda i izdataka'!$P$3:$P$511,"=51")+SUMIFS('Unos rashoda P4'!$J$3:$J$512,'Unos rashoda P4'!$A$3:$A$512,"=43",'Unos rashoda P4'!$S$3:$S$512,"=51")</f>
        <v>0</v>
      </c>
      <c r="I34" s="71">
        <f>SUMIFS('Unos rashoda i izdataka'!$L$3:$L$511,'Unos rashoda i izdataka'!$C$3:$C$511,"=51",'Unos rashoda i izdataka'!$P$3:$P$511,"=51")+SUMIFS('Unos rashoda P4'!$J$3:$J$512,'Unos rashoda P4'!$A$3:$A$512,"=51",'Unos rashoda P4'!$S$3:$S$512,"=51")</f>
        <v>0</v>
      </c>
      <c r="J34" s="71">
        <f>SUMIFS('Unos rashoda i izdataka'!$L$3:$L$511,'Unos rashoda i izdataka'!$C$3:$C$511,"=52",'Unos rashoda i izdataka'!$P$3:$P$511,"=51")+SUMIFS('Unos rashoda P4'!$J$3:$J$512,'Unos rashoda P4'!$A$3:$A$512,"=52",'Unos rashoda P4'!$S$3:$S$512,"=51")</f>
        <v>0</v>
      </c>
      <c r="K34" s="71">
        <f>SUMIFS('Unos rashoda i izdataka'!$L$3:$L$511,'Unos rashoda i izdataka'!$C$3:$C$511,"=552",'Unos rashoda i izdataka'!$P$3:$P$511,"=51")+SUMIFS('Unos rashoda P4'!$J$3:$J$512,'Unos rashoda P4'!$A$3:$A$512,"=552",'Unos rashoda P4'!$S$3:$S$512,"=51")</f>
        <v>0</v>
      </c>
      <c r="L34" s="71">
        <f>SUMIFS('Unos rashoda i izdataka'!$L$3:$L$511,'Unos rashoda i izdataka'!$C$3:$C$511,"=559",'Unos rashoda i izdataka'!$P$3:$P$511,"=51")+SUMIFS('Unos rashoda P4'!$J$3:$J$512,'Unos rashoda P4'!$A$3:$A$512,"=559",'Unos rashoda P4'!$S$3:$S$512,"=51")</f>
        <v>0</v>
      </c>
      <c r="M34" s="71">
        <f>SUMIFS('Unos rashoda i izdataka'!$L$3:$L$511,'Unos rashoda i izdataka'!$C$3:$C$511,"=561",'Unos rashoda i izdataka'!$P$3:$P$511,"=51")+SUMIFS('Unos rashoda P4'!$J$3:$J$512,'Unos rashoda P4'!$A$3:$A$512,"=561",'Unos rashoda P4'!$S$3:$S$512,"=51")</f>
        <v>0</v>
      </c>
      <c r="N34" s="71">
        <f>SUMIFS('Unos rashoda i izdataka'!$L$3:$L$511,'Unos rashoda i izdataka'!$C$3:$C$511,"=563",'Unos rashoda i izdataka'!$P$3:$P$511,"=51")+SUMIFS('Unos rashoda P4'!$J$3:$J$512,'Unos rashoda P4'!$A$3:$A$512,"=563",'Unos rashoda P4'!$S$3:$S$512,"=51")</f>
        <v>0</v>
      </c>
      <c r="O34" s="71">
        <f>SUMIFS('Unos rashoda i izdataka'!$L$3:$L$511,'Unos rashoda i izdataka'!$C$3:$C$511,"=573",'Unos rashoda i izdataka'!$P$3:$P$511,"=51")+SUMIFS('Unos rashoda P4'!$J$3:$J$512,'Unos rashoda P4'!$A$3:$A$512,"=573",'Unos rashoda P4'!$S$3:$S$512,"=51")</f>
        <v>0</v>
      </c>
      <c r="P34" s="71">
        <f>SUMIFS('Unos rashoda i izdataka'!$L$3:$L$511,'Unos rashoda i izdataka'!$C$3:$C$511,"=575",'Unos rashoda i izdataka'!$P$3:$P$511,"=51")+SUMIFS('Unos rashoda P4'!$J$3:$J$512,'Unos rashoda P4'!$A$3:$A$512,"=575",'Unos rashoda P4'!$S$3:$S$512,"=51")</f>
        <v>0</v>
      </c>
      <c r="Q34" s="71">
        <f>SUMIFS('Unos rashoda i izdataka'!$L$3:$L$511,'Unos rashoda i izdataka'!$Q$3:$Q$511,"=576",'Unos rashoda i izdataka'!$P$3:$P$511,"=51")+SUMIFS('Unos rashoda P4'!$J$3:$J$512,'Unos rashoda P4'!$A$3:$A$512,"=576",'Unos rashoda P4'!$S$3:$S$512,"=51")</f>
        <v>0</v>
      </c>
      <c r="R34" s="71">
        <f>SUMIFS('Unos rashoda i izdataka'!$L$3:$L$511,'Unos rashoda i izdataka'!$C$3:$C$511,"=581",'Unos rashoda i izdataka'!$P$3:$P$511,"=51")+SUMIFS('Unos rashoda P4'!$J$3:$J$512,'Unos rashoda P4'!$A$3:$A$512,"=581",'Unos rashoda P4'!$S$3:$S$512,"=51")</f>
        <v>0</v>
      </c>
      <c r="S34" s="71">
        <f>SUMIFS('Unos rashoda i izdataka'!$L$3:$L$511,'Unos rashoda i izdataka'!$C$3:$C$511,"=61",'Unos rashoda i izdataka'!$P$3:$P$511,"=51")+SUMIFS('Unos rashoda P4'!$J$3:$J$512,'Unos rashoda P4'!$A$3:$A$512,"=61",'Unos rashoda P4'!$S$3:$S$512,"=51")</f>
        <v>0</v>
      </c>
      <c r="T34" s="71">
        <f>SUMIFS('Unos rashoda i izdataka'!$L$3:$L$511,'Unos rashoda i izdataka'!$C$3:$C$511,"=63",'Unos rashoda i izdataka'!$P$3:$P$511,"=51")+SUMIFS('Unos rashoda P4'!$J$3:$J$512,'Unos rashoda P4'!$A$3:$A$512,"=63",'Unos rashoda P4'!$S$3:$S$512,"=51")</f>
        <v>0</v>
      </c>
      <c r="U34" s="71">
        <f>SUMIFS('Unos rashoda i izdataka'!$L$3:$L$511,'Unos rashoda i izdataka'!$C$3:$C$511,"=71",'Unos rashoda i izdataka'!$P$3:$P$511,"=51")+SUMIFS('Unos rashoda P4'!$J$3:$J$512,'Unos rashoda P4'!$A$3:$A$512,"=71",'Unos rashoda P4'!$S$3:$S$512,"=51")</f>
        <v>0</v>
      </c>
      <c r="V34" s="71">
        <f>SUMIFS('Unos rashoda i izdataka'!$L$3:$L$511,'Unos rashoda i izdataka'!$C$3:$C$511,"=81",'Unos rashoda i izdataka'!$P$3:$P$511,"=51")+SUMIFS('Unos rashoda P4'!$J$3:$J$512,'Unos rashoda P4'!$A$3:$A$512,"=81",'Unos rashoda P4'!$S$3:$S$512,"=51")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1">
        <f>SUMIFS('Unos rashoda i izdataka'!$L$3:$L$511,'Unos rashoda i izdataka'!$C$3:$C$511,"=11",'Unos rashoda i izdataka'!$P$3:$P$511,"=54")+SUMIFS('Unos rashoda P4'!$J$3:$J$512,'Unos rashoda P4'!$A$3:$A$512,"=11",'Unos rashoda P4'!$S$3:$S$512,"=54")</f>
        <v>0</v>
      </c>
      <c r="E35" s="71">
        <f>SUMIFS('Unos rashoda i izdataka'!$L$3:$L$511,'Unos rashoda i izdataka'!$C$3:$C$511,"=12",'Unos rashoda i izdataka'!$P$3:$P$511,"=54")+SUMIFS('Unos rashoda P4'!$J$3:$J$512,'Unos rashoda P4'!$A$3:$A$512,"=12",'Unos rashoda P4'!$S$3:$S$512,"=54")</f>
        <v>0</v>
      </c>
      <c r="F35" s="71">
        <f>SUMIFS('Unos rashoda i izdataka'!$L$3:$L$511,'Unos rashoda i izdataka'!$C$3:$C$511,"=31",'Unos rashoda i izdataka'!$P$3:$P$511,"=54")+SUMIFS('Unos rashoda P4'!$J$3:$J$512,'Unos rashoda P4'!$A$3:$A$512,"=31",'Unos rashoda P4'!$S$3:$S$512,"=54")</f>
        <v>0</v>
      </c>
      <c r="G35" s="71">
        <f>SUMIFS('Unos rashoda i izdataka'!$L$3:$L$511,'Unos rashoda i izdataka'!$C$3:$C$511,"=41",'Unos rashoda i izdataka'!$P$3:$P$511,"=54")+SUMIFS('Unos rashoda P4'!$J$3:$J$512,'Unos rashoda P4'!$A$3:$A$512,"=41",'Unos rashoda P4'!$S$3:$S$512,"=54")</f>
        <v>0</v>
      </c>
      <c r="H35" s="71">
        <f>SUMIFS('Unos rashoda i izdataka'!$L$3:$L$511,'Unos rashoda i izdataka'!$C$3:$C$511,"=43",'Unos rashoda i izdataka'!$P$3:$P$511,"=54")+SUMIFS('Unos rashoda P4'!$J$3:$J$512,'Unos rashoda P4'!$A$3:$A$512,"=43",'Unos rashoda P4'!$S$3:$S$512,"=54")</f>
        <v>0</v>
      </c>
      <c r="I35" s="71">
        <f>SUMIFS('Unos rashoda i izdataka'!$L$3:$L$511,'Unos rashoda i izdataka'!$C$3:$C$511,"=51",'Unos rashoda i izdataka'!$P$3:$P$511,"=54")+SUMIFS('Unos rashoda P4'!$J$3:$J$512,'Unos rashoda P4'!$A$3:$A$512,"=51",'Unos rashoda P4'!$S$3:$S$512,"=54")</f>
        <v>0</v>
      </c>
      <c r="J35" s="71">
        <f>SUMIFS('Unos rashoda i izdataka'!$L$3:$L$511,'Unos rashoda i izdataka'!$C$3:$C$511,"=52",'Unos rashoda i izdataka'!$P$3:$P$511,"=54")+SUMIFS('Unos rashoda P4'!$J$3:$J$512,'Unos rashoda P4'!$A$3:$A$512,"=52",'Unos rashoda P4'!$S$3:$S$512,"=54")</f>
        <v>0</v>
      </c>
      <c r="K35" s="71">
        <f>SUMIFS('Unos rashoda i izdataka'!$L$3:$L$511,'Unos rashoda i izdataka'!$C$3:$C$511,"=552",'Unos rashoda i izdataka'!$P$3:$P$511,"=54")+SUMIFS('Unos rashoda P4'!$J$3:$J$512,'Unos rashoda P4'!$A$3:$A$512,"=552",'Unos rashoda P4'!$S$3:$S$512,"=54")</f>
        <v>0</v>
      </c>
      <c r="L35" s="71">
        <f>SUMIFS('Unos rashoda i izdataka'!$L$3:$L$511,'Unos rashoda i izdataka'!$C$3:$C$511,"=559",'Unos rashoda i izdataka'!$P$3:$P$511,"=54")+SUMIFS('Unos rashoda P4'!$J$3:$J$512,'Unos rashoda P4'!$A$3:$A$512,"=559",'Unos rashoda P4'!$S$3:$S$512,"=54")</f>
        <v>0</v>
      </c>
      <c r="M35" s="71">
        <f>SUMIFS('Unos rashoda i izdataka'!$L$3:$L$511,'Unos rashoda i izdataka'!$C$3:$C$511,"=561",'Unos rashoda i izdataka'!$P$3:$P$511,"=54")+SUMIFS('Unos rashoda P4'!$J$3:$J$512,'Unos rashoda P4'!$A$3:$A$512,"=561",'Unos rashoda P4'!$S$3:$S$512,"=54")</f>
        <v>0</v>
      </c>
      <c r="N35" s="71">
        <f>SUMIFS('Unos rashoda i izdataka'!$L$3:$L$511,'Unos rashoda i izdataka'!$C$3:$C$511,"=563",'Unos rashoda i izdataka'!$P$3:$P$511,"=54")+SUMIFS('Unos rashoda P4'!$J$3:$J$512,'Unos rashoda P4'!$A$3:$A$512,"=563",'Unos rashoda P4'!$S$3:$S$512,"=54")</f>
        <v>0</v>
      </c>
      <c r="O35" s="71">
        <f>SUMIFS('Unos rashoda i izdataka'!$L$3:$L$511,'Unos rashoda i izdataka'!$C$3:$C$511,"=573",'Unos rashoda i izdataka'!$P$3:$P$511,"=54")+SUMIFS('Unos rashoda P4'!$J$3:$J$512,'Unos rashoda P4'!$A$3:$A$512,"=573",'Unos rashoda P4'!$S$3:$S$512,"=54")</f>
        <v>0</v>
      </c>
      <c r="P35" s="71">
        <f>SUMIFS('Unos rashoda i izdataka'!$L$3:$L$511,'Unos rashoda i izdataka'!$C$3:$C$511,"=575",'Unos rashoda i izdataka'!$P$3:$P$511,"=54")+SUMIFS('Unos rashoda P4'!$J$3:$J$512,'Unos rashoda P4'!$A$3:$A$512,"=575",'Unos rashoda P4'!$S$3:$S$512,"=54")</f>
        <v>0</v>
      </c>
      <c r="Q35" s="71">
        <f>SUMIFS('Unos rashoda i izdataka'!$L$3:$L$511,'Unos rashoda i izdataka'!$Q$3:$Q$511,"=576",'Unos rashoda i izdataka'!$P$3:$P$511,"=54")+SUMIFS('Unos rashoda P4'!$J$3:$J$512,'Unos rashoda P4'!$A$3:$A$512,"=576",'Unos rashoda P4'!$S$3:$S$512,"=54")</f>
        <v>0</v>
      </c>
      <c r="R35" s="71">
        <f>SUMIFS('Unos rashoda i izdataka'!$L$3:$L$511,'Unos rashoda i izdataka'!$C$3:$C$511,"=581",'Unos rashoda i izdataka'!$P$3:$P$511,"=54")+SUMIFS('Unos rashoda P4'!$J$3:$J$512,'Unos rashoda P4'!$A$3:$A$512,"=581",'Unos rashoda P4'!$S$3:$S$512,"=54")</f>
        <v>0</v>
      </c>
      <c r="S35" s="71">
        <f>SUMIFS('Unos rashoda i izdataka'!$L$3:$L$511,'Unos rashoda i izdataka'!$C$3:$C$511,"=61",'Unos rashoda i izdataka'!$P$3:$P$511,"=54")+SUMIFS('Unos rashoda P4'!$J$3:$J$512,'Unos rashoda P4'!$A$3:$A$512,"=61",'Unos rashoda P4'!$S$3:$S$512,"=54")</f>
        <v>0</v>
      </c>
      <c r="T35" s="71">
        <f>SUMIFS('Unos rashoda i izdataka'!$L$3:$L$511,'Unos rashoda i izdataka'!$C$3:$C$511,"=63",'Unos rashoda i izdataka'!$P$3:$P$511,"=54")+SUMIFS('Unos rashoda P4'!$J$3:$J$512,'Unos rashoda P4'!$A$3:$A$512,"=63",'Unos rashoda P4'!$S$3:$S$512,"=54")</f>
        <v>0</v>
      </c>
      <c r="U35" s="71">
        <f>SUMIFS('Unos rashoda i izdataka'!$L$3:$L$511,'Unos rashoda i izdataka'!$C$3:$C$511,"=71",'Unos rashoda i izdataka'!$P$3:$P$511,"=54")+SUMIFS('Unos rashoda P4'!$J$3:$J$512,'Unos rashoda P4'!$A$3:$A$512,"=71",'Unos rashoda P4'!$S$3:$S$512,"=54")</f>
        <v>0</v>
      </c>
      <c r="V35" s="71">
        <f>SUMIFS('Unos rashoda i izdataka'!$L$3:$L$511,'Unos rashoda i izdataka'!$C$3:$C$511,"=81",'Unos rashoda i izdataka'!$P$3:$P$511,"=54")+SUMIFS('Unos rashoda P4'!$J$3:$J$512,'Unos rashoda P4'!$A$3:$A$512,"=81",'Unos rashoda P4'!$S$3:$S$512,"=54")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topLeftCell="A253" workbookViewId="0">
      <selection activeCell="D18" sqref="D18"/>
    </sheetView>
  </sheetViews>
  <sheetFormatPr defaultRowHeight="15"/>
  <cols>
    <col min="1" max="1" width="14" style="131" customWidth="1"/>
    <col min="2" max="2" width="41.42578125" style="131" customWidth="1"/>
    <col min="4" max="4" width="62.7109375" customWidth="1"/>
    <col min="5" max="5" width="9.140625" style="314"/>
    <col min="6" max="6" width="43.140625" bestFit="1" customWidth="1"/>
    <col min="7" max="8" width="9.28515625" style="298" customWidth="1"/>
  </cols>
  <sheetData>
    <row r="1" spans="1:8" ht="25.5">
      <c r="A1" s="170" t="s">
        <v>932</v>
      </c>
      <c r="B1" s="169" t="s">
        <v>492</v>
      </c>
    </row>
    <row r="2" spans="1:8" s="131" customFormat="1">
      <c r="A2" s="130" t="s">
        <v>942</v>
      </c>
      <c r="B2" s="140" t="s">
        <v>943</v>
      </c>
      <c r="E2" s="315"/>
      <c r="G2" s="299"/>
      <c r="H2" s="299"/>
    </row>
    <row r="3" spans="1:8">
      <c r="A3" s="295" t="s">
        <v>5136</v>
      </c>
      <c r="B3" s="295" t="s">
        <v>5254</v>
      </c>
      <c r="C3" s="295" t="s">
        <v>5137</v>
      </c>
      <c r="D3" s="295" t="s">
        <v>5254</v>
      </c>
      <c r="E3" s="316" t="s">
        <v>5138</v>
      </c>
      <c r="F3" s="297" t="s">
        <v>5254</v>
      </c>
      <c r="G3" s="300" t="s">
        <v>5254</v>
      </c>
      <c r="H3" s="300" t="s">
        <v>5254</v>
      </c>
    </row>
    <row r="4" spans="1:8">
      <c r="A4" s="296" t="s">
        <v>940</v>
      </c>
      <c r="B4" s="296" t="s">
        <v>941</v>
      </c>
      <c r="C4" s="296" t="s">
        <v>1789</v>
      </c>
      <c r="D4" s="296" t="s">
        <v>1790</v>
      </c>
      <c r="E4" s="317" t="s">
        <v>5139</v>
      </c>
      <c r="F4" s="296" t="s">
        <v>5140</v>
      </c>
      <c r="G4" s="301" t="s">
        <v>5165</v>
      </c>
      <c r="H4" s="301" t="s">
        <v>5172</v>
      </c>
    </row>
    <row r="5" spans="1:8">
      <c r="A5" s="296" t="s">
        <v>940</v>
      </c>
      <c r="B5" s="296" t="s">
        <v>941</v>
      </c>
      <c r="C5" s="296" t="s">
        <v>1791</v>
      </c>
      <c r="D5" s="296" t="s">
        <v>1792</v>
      </c>
      <c r="E5" s="317" t="s">
        <v>5141</v>
      </c>
      <c r="F5" s="296" t="s">
        <v>5142</v>
      </c>
      <c r="G5" s="301" t="s">
        <v>5167</v>
      </c>
      <c r="H5" s="301" t="s">
        <v>5168</v>
      </c>
    </row>
    <row r="6" spans="1:8">
      <c r="A6" s="296" t="s">
        <v>940</v>
      </c>
      <c r="B6" s="296" t="s">
        <v>941</v>
      </c>
      <c r="C6" s="296" t="s">
        <v>1793</v>
      </c>
      <c r="D6" s="296" t="s">
        <v>1794</v>
      </c>
      <c r="E6" s="317" t="s">
        <v>5143</v>
      </c>
      <c r="F6" s="296" t="s">
        <v>5144</v>
      </c>
      <c r="G6" s="301" t="s">
        <v>5165</v>
      </c>
      <c r="H6" s="301" t="s">
        <v>5175</v>
      </c>
    </row>
    <row r="7" spans="1:8">
      <c r="A7" s="296" t="s">
        <v>940</v>
      </c>
      <c r="B7" s="296" t="s">
        <v>941</v>
      </c>
      <c r="C7" s="296" t="s">
        <v>1617</v>
      </c>
      <c r="D7" s="296" t="s">
        <v>1618</v>
      </c>
      <c r="E7" s="317" t="s">
        <v>5143</v>
      </c>
      <c r="F7" s="296" t="s">
        <v>5144</v>
      </c>
      <c r="G7" s="301" t="s">
        <v>5165</v>
      </c>
      <c r="H7" s="301" t="s">
        <v>5175</v>
      </c>
    </row>
    <row r="8" spans="1:8">
      <c r="A8" s="296" t="s">
        <v>940</v>
      </c>
      <c r="B8" s="296" t="s">
        <v>941</v>
      </c>
      <c r="C8" s="296" t="s">
        <v>1617</v>
      </c>
      <c r="D8" s="296" t="s">
        <v>1618</v>
      </c>
      <c r="E8" s="317" t="s">
        <v>5145</v>
      </c>
      <c r="F8" s="296" t="s">
        <v>5146</v>
      </c>
      <c r="G8" s="301" t="s">
        <v>5165</v>
      </c>
      <c r="H8" s="301" t="s">
        <v>5174</v>
      </c>
    </row>
    <row r="9" spans="1:8">
      <c r="A9" s="296" t="s">
        <v>940</v>
      </c>
      <c r="B9" s="296" t="s">
        <v>941</v>
      </c>
      <c r="C9" s="296" t="s">
        <v>1619</v>
      </c>
      <c r="D9" s="296" t="s">
        <v>1620</v>
      </c>
      <c r="E9" s="317" t="s">
        <v>5143</v>
      </c>
      <c r="F9" s="296" t="s">
        <v>5144</v>
      </c>
      <c r="G9" s="301" t="s">
        <v>5165</v>
      </c>
      <c r="H9" s="301" t="s">
        <v>5175</v>
      </c>
    </row>
    <row r="10" spans="1:8">
      <c r="A10" s="296" t="s">
        <v>940</v>
      </c>
      <c r="B10" s="296" t="s">
        <v>941</v>
      </c>
      <c r="C10" s="296" t="s">
        <v>1795</v>
      </c>
      <c r="D10" s="296" t="s">
        <v>1796</v>
      </c>
      <c r="E10" s="317" t="s">
        <v>5143</v>
      </c>
      <c r="F10" s="296" t="s">
        <v>5144</v>
      </c>
      <c r="G10" s="301" t="s">
        <v>5165</v>
      </c>
      <c r="H10" s="301" t="s">
        <v>5175</v>
      </c>
    </row>
    <row r="11" spans="1:8">
      <c r="A11" s="296" t="s">
        <v>940</v>
      </c>
      <c r="B11" s="296" t="s">
        <v>941</v>
      </c>
      <c r="C11" s="296" t="s">
        <v>1797</v>
      </c>
      <c r="D11" s="296" t="s">
        <v>1798</v>
      </c>
      <c r="E11" s="317" t="s">
        <v>5147</v>
      </c>
      <c r="F11" s="296" t="s">
        <v>5148</v>
      </c>
      <c r="G11" s="301" t="s">
        <v>5165</v>
      </c>
      <c r="H11" s="301" t="s">
        <v>5173</v>
      </c>
    </row>
    <row r="12" spans="1:8">
      <c r="A12" s="296" t="s">
        <v>940</v>
      </c>
      <c r="B12" s="296" t="s">
        <v>941</v>
      </c>
      <c r="C12" s="296" t="s">
        <v>1799</v>
      </c>
      <c r="D12" s="296" t="s">
        <v>1800</v>
      </c>
      <c r="E12" s="317" t="s">
        <v>5139</v>
      </c>
      <c r="F12" s="296" t="s">
        <v>5140</v>
      </c>
      <c r="G12" s="301" t="s">
        <v>5165</v>
      </c>
      <c r="H12" s="301" t="s">
        <v>5172</v>
      </c>
    </row>
    <row r="13" spans="1:8">
      <c r="A13" s="296" t="s">
        <v>940</v>
      </c>
      <c r="B13" s="296" t="s">
        <v>941</v>
      </c>
      <c r="C13" s="296" t="s">
        <v>944</v>
      </c>
      <c r="D13" s="296" t="s">
        <v>945</v>
      </c>
      <c r="E13" s="317" t="s">
        <v>5149</v>
      </c>
      <c r="F13" s="296" t="s">
        <v>5150</v>
      </c>
      <c r="G13" s="301" t="s">
        <v>5166</v>
      </c>
      <c r="H13" s="301" t="s">
        <v>5171</v>
      </c>
    </row>
    <row r="14" spans="1:8">
      <c r="A14" s="296" t="s">
        <v>940</v>
      </c>
      <c r="B14" s="296" t="s">
        <v>941</v>
      </c>
      <c r="C14" s="296" t="s">
        <v>1621</v>
      </c>
      <c r="D14" s="296" t="s">
        <v>1622</v>
      </c>
      <c r="E14" s="317" t="s">
        <v>5143</v>
      </c>
      <c r="F14" s="296" t="s">
        <v>5144</v>
      </c>
      <c r="G14" s="301" t="s">
        <v>5165</v>
      </c>
      <c r="H14" s="301" t="s">
        <v>5175</v>
      </c>
    </row>
    <row r="15" spans="1:8">
      <c r="A15" s="296" t="s">
        <v>940</v>
      </c>
      <c r="B15" s="296" t="s">
        <v>941</v>
      </c>
      <c r="C15" s="296" t="s">
        <v>946</v>
      </c>
      <c r="D15" s="296" t="s">
        <v>947</v>
      </c>
      <c r="E15" s="317" t="s">
        <v>5143</v>
      </c>
      <c r="F15" s="296" t="s">
        <v>5144</v>
      </c>
      <c r="G15" s="301" t="s">
        <v>5165</v>
      </c>
      <c r="H15" s="301" t="s">
        <v>5175</v>
      </c>
    </row>
    <row r="16" spans="1:8">
      <c r="A16" s="296" t="s">
        <v>940</v>
      </c>
      <c r="B16" s="296" t="s">
        <v>941</v>
      </c>
      <c r="C16" s="296" t="s">
        <v>1801</v>
      </c>
      <c r="D16" s="296" t="s">
        <v>1802</v>
      </c>
      <c r="E16" s="317" t="s">
        <v>5143</v>
      </c>
      <c r="F16" s="296" t="s">
        <v>5144</v>
      </c>
      <c r="G16" s="301" t="s">
        <v>5165</v>
      </c>
      <c r="H16" s="301" t="s">
        <v>5175</v>
      </c>
    </row>
    <row r="17" spans="1:8">
      <c r="A17" s="296" t="s">
        <v>940</v>
      </c>
      <c r="B17" s="296" t="s">
        <v>941</v>
      </c>
      <c r="C17" s="296" t="s">
        <v>1623</v>
      </c>
      <c r="D17" s="296" t="s">
        <v>1624</v>
      </c>
      <c r="E17" s="317" t="s">
        <v>5143</v>
      </c>
      <c r="F17" s="296" t="s">
        <v>5144</v>
      </c>
      <c r="G17" s="301" t="s">
        <v>5165</v>
      </c>
      <c r="H17" s="301" t="s">
        <v>5175</v>
      </c>
    </row>
    <row r="18" spans="1:8">
      <c r="A18" s="296" t="s">
        <v>940</v>
      </c>
      <c r="B18" s="296" t="s">
        <v>941</v>
      </c>
      <c r="C18" s="296" t="s">
        <v>1803</v>
      </c>
      <c r="D18" s="296" t="s">
        <v>1804</v>
      </c>
      <c r="E18" s="317" t="s">
        <v>5139</v>
      </c>
      <c r="F18" s="296" t="s">
        <v>5140</v>
      </c>
      <c r="G18" s="301" t="s">
        <v>5165</v>
      </c>
      <c r="H18" s="301" t="s">
        <v>5172</v>
      </c>
    </row>
    <row r="19" spans="1:8">
      <c r="A19" s="296" t="s">
        <v>940</v>
      </c>
      <c r="B19" s="296" t="s">
        <v>941</v>
      </c>
      <c r="C19" s="296" t="s">
        <v>1805</v>
      </c>
      <c r="D19" s="296" t="s">
        <v>1806</v>
      </c>
      <c r="E19" s="317" t="s">
        <v>5143</v>
      </c>
      <c r="F19" s="296" t="s">
        <v>5144</v>
      </c>
      <c r="G19" s="301" t="s">
        <v>5165</v>
      </c>
      <c r="H19" s="301" t="s">
        <v>5175</v>
      </c>
    </row>
    <row r="20" spans="1:8">
      <c r="A20" s="296" t="s">
        <v>940</v>
      </c>
      <c r="B20" s="296" t="s">
        <v>941</v>
      </c>
      <c r="C20" s="296" t="s">
        <v>1807</v>
      </c>
      <c r="D20" s="296" t="s">
        <v>1808</v>
      </c>
      <c r="E20" s="317" t="s">
        <v>5145</v>
      </c>
      <c r="F20" s="296" t="s">
        <v>5146</v>
      </c>
      <c r="G20" s="301" t="s">
        <v>5165</v>
      </c>
      <c r="H20" s="301" t="s">
        <v>5174</v>
      </c>
    </row>
    <row r="21" spans="1:8">
      <c r="A21" s="296" t="s">
        <v>940</v>
      </c>
      <c r="B21" s="296" t="s">
        <v>941</v>
      </c>
      <c r="C21" s="296" t="s">
        <v>1809</v>
      </c>
      <c r="D21" s="296" t="s">
        <v>1810</v>
      </c>
      <c r="E21" s="317" t="s">
        <v>5151</v>
      </c>
      <c r="F21" s="296" t="s">
        <v>5152</v>
      </c>
      <c r="G21" s="301" t="s">
        <v>5165</v>
      </c>
      <c r="H21" s="301" t="s">
        <v>5172</v>
      </c>
    </row>
    <row r="22" spans="1:8">
      <c r="A22" s="296" t="s">
        <v>940</v>
      </c>
      <c r="B22" s="296" t="s">
        <v>941</v>
      </c>
      <c r="C22" s="296" t="s">
        <v>1811</v>
      </c>
      <c r="D22" s="296" t="s">
        <v>1812</v>
      </c>
      <c r="E22" s="317" t="s">
        <v>5151</v>
      </c>
      <c r="F22" s="296" t="s">
        <v>5152</v>
      </c>
      <c r="G22" s="301" t="s">
        <v>5165</v>
      </c>
      <c r="H22" s="301" t="s">
        <v>5172</v>
      </c>
    </row>
    <row r="23" spans="1:8">
      <c r="A23" s="296" t="s">
        <v>940</v>
      </c>
      <c r="B23" s="296" t="s">
        <v>941</v>
      </c>
      <c r="C23" s="296" t="s">
        <v>1813</v>
      </c>
      <c r="D23" s="296" t="s">
        <v>1814</v>
      </c>
      <c r="E23" s="317" t="s">
        <v>5151</v>
      </c>
      <c r="F23" s="296" t="s">
        <v>5152</v>
      </c>
      <c r="G23" s="301" t="s">
        <v>5165</v>
      </c>
      <c r="H23" s="301" t="s">
        <v>5172</v>
      </c>
    </row>
    <row r="24" spans="1:8">
      <c r="A24" s="296" t="s">
        <v>940</v>
      </c>
      <c r="B24" s="296" t="s">
        <v>941</v>
      </c>
      <c r="C24" s="296" t="s">
        <v>1815</v>
      </c>
      <c r="D24" s="296" t="s">
        <v>1816</v>
      </c>
      <c r="E24" s="317" t="s">
        <v>5151</v>
      </c>
      <c r="F24" s="296" t="s">
        <v>5152</v>
      </c>
      <c r="G24" s="301" t="s">
        <v>5165</v>
      </c>
      <c r="H24" s="301" t="s">
        <v>5172</v>
      </c>
    </row>
    <row r="25" spans="1:8">
      <c r="A25" s="296" t="s">
        <v>940</v>
      </c>
      <c r="B25" s="296" t="s">
        <v>941</v>
      </c>
      <c r="C25" s="296" t="s">
        <v>948</v>
      </c>
      <c r="D25" s="296" t="s">
        <v>949</v>
      </c>
      <c r="E25" s="317" t="s">
        <v>5143</v>
      </c>
      <c r="F25" s="296" t="s">
        <v>5144</v>
      </c>
      <c r="G25" s="301" t="s">
        <v>5165</v>
      </c>
      <c r="H25" s="301" t="s">
        <v>5175</v>
      </c>
    </row>
    <row r="26" spans="1:8">
      <c r="A26" s="296" t="s">
        <v>940</v>
      </c>
      <c r="B26" s="296" t="s">
        <v>941</v>
      </c>
      <c r="C26" s="296" t="s">
        <v>1817</v>
      </c>
      <c r="D26" s="296" t="s">
        <v>1818</v>
      </c>
      <c r="E26" s="317" t="s">
        <v>5145</v>
      </c>
      <c r="F26" s="296" t="s">
        <v>5146</v>
      </c>
      <c r="G26" s="301" t="s">
        <v>5165</v>
      </c>
      <c r="H26" s="301" t="s">
        <v>5174</v>
      </c>
    </row>
    <row r="27" spans="1:8">
      <c r="A27" s="296" t="s">
        <v>940</v>
      </c>
      <c r="B27" s="296" t="s">
        <v>941</v>
      </c>
      <c r="C27" s="296" t="s">
        <v>1819</v>
      </c>
      <c r="D27" s="296" t="s">
        <v>1820</v>
      </c>
      <c r="E27" s="317" t="s">
        <v>5143</v>
      </c>
      <c r="F27" s="296" t="s">
        <v>5144</v>
      </c>
      <c r="G27" s="301" t="s">
        <v>5165</v>
      </c>
      <c r="H27" s="301" t="s">
        <v>5175</v>
      </c>
    </row>
    <row r="28" spans="1:8">
      <c r="A28" s="296" t="s">
        <v>940</v>
      </c>
      <c r="B28" s="296" t="s">
        <v>941</v>
      </c>
      <c r="C28" s="296" t="s">
        <v>1821</v>
      </c>
      <c r="D28" s="296" t="s">
        <v>1822</v>
      </c>
      <c r="E28" s="317" t="s">
        <v>5141</v>
      </c>
      <c r="F28" s="296" t="s">
        <v>5142</v>
      </c>
      <c r="G28" s="301" t="s">
        <v>5167</v>
      </c>
      <c r="H28" s="301" t="s">
        <v>5168</v>
      </c>
    </row>
    <row r="29" spans="1:8">
      <c r="A29" s="296" t="s">
        <v>940</v>
      </c>
      <c r="B29" s="296" t="s">
        <v>941</v>
      </c>
      <c r="C29" s="296" t="s">
        <v>1823</v>
      </c>
      <c r="D29" s="296" t="s">
        <v>1824</v>
      </c>
      <c r="E29" s="317" t="s">
        <v>5141</v>
      </c>
      <c r="F29" s="296" t="s">
        <v>5142</v>
      </c>
      <c r="G29" s="301" t="s">
        <v>5167</v>
      </c>
      <c r="H29" s="301" t="s">
        <v>5168</v>
      </c>
    </row>
    <row r="30" spans="1:8">
      <c r="A30" s="296" t="s">
        <v>940</v>
      </c>
      <c r="B30" s="296" t="s">
        <v>941</v>
      </c>
      <c r="C30" s="296" t="s">
        <v>1825</v>
      </c>
      <c r="D30" s="296" t="s">
        <v>1826</v>
      </c>
      <c r="E30" s="317" t="s">
        <v>5143</v>
      </c>
      <c r="F30" s="296" t="s">
        <v>5144</v>
      </c>
      <c r="G30" s="301" t="s">
        <v>5165</v>
      </c>
      <c r="H30" s="301" t="s">
        <v>5175</v>
      </c>
    </row>
    <row r="31" spans="1:8">
      <c r="A31" s="296" t="s">
        <v>940</v>
      </c>
      <c r="B31" s="296" t="s">
        <v>941</v>
      </c>
      <c r="C31" s="296" t="s">
        <v>1827</v>
      </c>
      <c r="D31" s="296" t="s">
        <v>1828</v>
      </c>
      <c r="E31" s="317" t="s">
        <v>5141</v>
      </c>
      <c r="F31" s="296" t="s">
        <v>5142</v>
      </c>
      <c r="G31" s="301" t="s">
        <v>5167</v>
      </c>
      <c r="H31" s="301" t="s">
        <v>5168</v>
      </c>
    </row>
    <row r="32" spans="1:8">
      <c r="A32" s="296" t="s">
        <v>940</v>
      </c>
      <c r="B32" s="296" t="s">
        <v>941</v>
      </c>
      <c r="C32" s="296" t="s">
        <v>1625</v>
      </c>
      <c r="D32" s="296" t="s">
        <v>1626</v>
      </c>
      <c r="E32" s="317" t="s">
        <v>5143</v>
      </c>
      <c r="F32" s="296" t="s">
        <v>5144</v>
      </c>
      <c r="G32" s="301" t="s">
        <v>5165</v>
      </c>
      <c r="H32" s="301" t="s">
        <v>5175</v>
      </c>
    </row>
    <row r="33" spans="1:8">
      <c r="A33" s="296" t="s">
        <v>940</v>
      </c>
      <c r="B33" s="296" t="s">
        <v>941</v>
      </c>
      <c r="C33" s="296" t="s">
        <v>1627</v>
      </c>
      <c r="D33" s="296" t="s">
        <v>1628</v>
      </c>
      <c r="E33" s="317" t="s">
        <v>5143</v>
      </c>
      <c r="F33" s="296" t="s">
        <v>5144</v>
      </c>
      <c r="G33" s="301" t="s">
        <v>5165</v>
      </c>
      <c r="H33" s="301" t="s">
        <v>5175</v>
      </c>
    </row>
    <row r="34" spans="1:8">
      <c r="A34" s="296" t="s">
        <v>940</v>
      </c>
      <c r="B34" s="296" t="s">
        <v>941</v>
      </c>
      <c r="C34" s="296" t="s">
        <v>1829</v>
      </c>
      <c r="D34" s="296" t="s">
        <v>1830</v>
      </c>
      <c r="E34" s="317" t="s">
        <v>5143</v>
      </c>
      <c r="F34" s="296" t="s">
        <v>5144</v>
      </c>
      <c r="G34" s="301" t="s">
        <v>5165</v>
      </c>
      <c r="H34" s="301" t="s">
        <v>5175</v>
      </c>
    </row>
    <row r="35" spans="1:8">
      <c r="A35" s="296" t="s">
        <v>940</v>
      </c>
      <c r="B35" s="296" t="s">
        <v>941</v>
      </c>
      <c r="C35" s="296" t="s">
        <v>1831</v>
      </c>
      <c r="D35" s="296" t="s">
        <v>1832</v>
      </c>
      <c r="E35" s="317" t="s">
        <v>5153</v>
      </c>
      <c r="F35" s="296" t="s">
        <v>5154</v>
      </c>
      <c r="G35" s="301" t="s">
        <v>5167</v>
      </c>
      <c r="H35" s="301" t="s">
        <v>5180</v>
      </c>
    </row>
    <row r="36" spans="1:8">
      <c r="A36" s="296" t="s">
        <v>940</v>
      </c>
      <c r="B36" s="296" t="s">
        <v>941</v>
      </c>
      <c r="C36" s="296" t="s">
        <v>1831</v>
      </c>
      <c r="D36" s="296" t="s">
        <v>1832</v>
      </c>
      <c r="E36" s="317" t="s">
        <v>5139</v>
      </c>
      <c r="F36" s="296" t="s">
        <v>5140</v>
      </c>
      <c r="G36" s="301" t="s">
        <v>5165</v>
      </c>
      <c r="H36" s="301" t="s">
        <v>5172</v>
      </c>
    </row>
    <row r="37" spans="1:8">
      <c r="A37" s="296" t="s">
        <v>940</v>
      </c>
      <c r="B37" s="296" t="s">
        <v>941</v>
      </c>
      <c r="C37" s="296" t="s">
        <v>1833</v>
      </c>
      <c r="D37" s="296" t="s">
        <v>1834</v>
      </c>
      <c r="E37" s="317" t="s">
        <v>5139</v>
      </c>
      <c r="F37" s="296" t="s">
        <v>5140</v>
      </c>
      <c r="G37" s="301" t="s">
        <v>5165</v>
      </c>
      <c r="H37" s="301" t="s">
        <v>5172</v>
      </c>
    </row>
    <row r="38" spans="1:8">
      <c r="A38" s="296" t="s">
        <v>940</v>
      </c>
      <c r="B38" s="296" t="s">
        <v>941</v>
      </c>
      <c r="C38" s="296" t="s">
        <v>1835</v>
      </c>
      <c r="D38" s="296" t="s">
        <v>1836</v>
      </c>
      <c r="E38" s="317" t="s">
        <v>5143</v>
      </c>
      <c r="F38" s="296" t="s">
        <v>5144</v>
      </c>
      <c r="G38" s="301" t="s">
        <v>5165</v>
      </c>
      <c r="H38" s="301" t="s">
        <v>5175</v>
      </c>
    </row>
    <row r="39" spans="1:8">
      <c r="A39" s="296" t="s">
        <v>940</v>
      </c>
      <c r="B39" s="296" t="s">
        <v>941</v>
      </c>
      <c r="C39" s="296" t="s">
        <v>1837</v>
      </c>
      <c r="D39" s="296" t="s">
        <v>933</v>
      </c>
      <c r="E39" s="317" t="s">
        <v>5153</v>
      </c>
      <c r="F39" s="296" t="s">
        <v>5154</v>
      </c>
      <c r="G39" s="301" t="s">
        <v>5167</v>
      </c>
      <c r="H39" s="301" t="s">
        <v>5180</v>
      </c>
    </row>
    <row r="40" spans="1:8">
      <c r="A40" s="296" t="s">
        <v>940</v>
      </c>
      <c r="B40" s="296" t="s">
        <v>941</v>
      </c>
      <c r="C40" s="296" t="s">
        <v>1837</v>
      </c>
      <c r="D40" s="296" t="s">
        <v>933</v>
      </c>
      <c r="E40" s="317" t="s">
        <v>5139</v>
      </c>
      <c r="F40" s="296" t="s">
        <v>5140</v>
      </c>
      <c r="G40" s="301" t="s">
        <v>5165</v>
      </c>
      <c r="H40" s="301" t="s">
        <v>5172</v>
      </c>
    </row>
    <row r="41" spans="1:8">
      <c r="A41" s="296" t="s">
        <v>940</v>
      </c>
      <c r="B41" s="296" t="s">
        <v>941</v>
      </c>
      <c r="C41" s="296" t="s">
        <v>1629</v>
      </c>
      <c r="D41" s="296" t="s">
        <v>1630</v>
      </c>
      <c r="E41" s="317" t="s">
        <v>5139</v>
      </c>
      <c r="F41" s="296" t="s">
        <v>5140</v>
      </c>
      <c r="G41" s="301" t="s">
        <v>5165</v>
      </c>
      <c r="H41" s="301" t="s">
        <v>5172</v>
      </c>
    </row>
    <row r="42" spans="1:8">
      <c r="A42" s="296" t="s">
        <v>940</v>
      </c>
      <c r="B42" s="296" t="s">
        <v>941</v>
      </c>
      <c r="C42" s="296" t="s">
        <v>1838</v>
      </c>
      <c r="D42" s="296" t="s">
        <v>1839</v>
      </c>
      <c r="E42" s="317" t="s">
        <v>5153</v>
      </c>
      <c r="F42" s="296" t="s">
        <v>5154</v>
      </c>
      <c r="G42" s="301" t="s">
        <v>5167</v>
      </c>
      <c r="H42" s="301" t="s">
        <v>5180</v>
      </c>
    </row>
    <row r="43" spans="1:8">
      <c r="A43" s="296" t="s">
        <v>940</v>
      </c>
      <c r="B43" s="296" t="s">
        <v>941</v>
      </c>
      <c r="C43" s="296" t="s">
        <v>1838</v>
      </c>
      <c r="D43" s="296" t="s">
        <v>1839</v>
      </c>
      <c r="E43" s="317" t="s">
        <v>5155</v>
      </c>
      <c r="F43" s="296" t="s">
        <v>5156</v>
      </c>
      <c r="G43" s="301" t="s">
        <v>5165</v>
      </c>
      <c r="H43" s="301" t="s">
        <v>5176</v>
      </c>
    </row>
    <row r="44" spans="1:8">
      <c r="A44" s="296" t="s">
        <v>940</v>
      </c>
      <c r="B44" s="296" t="s">
        <v>941</v>
      </c>
      <c r="C44" s="296" t="s">
        <v>1840</v>
      </c>
      <c r="D44" s="296" t="s">
        <v>1841</v>
      </c>
      <c r="E44" s="317" t="s">
        <v>5155</v>
      </c>
      <c r="F44" s="296" t="s">
        <v>5156</v>
      </c>
      <c r="G44" s="301" t="s">
        <v>5165</v>
      </c>
      <c r="H44" s="301" t="s">
        <v>5176</v>
      </c>
    </row>
    <row r="45" spans="1:8">
      <c r="A45" s="296" t="s">
        <v>940</v>
      </c>
      <c r="B45" s="296" t="s">
        <v>941</v>
      </c>
      <c r="C45" s="296" t="s">
        <v>1842</v>
      </c>
      <c r="D45" s="296" t="s">
        <v>1843</v>
      </c>
      <c r="E45" s="317" t="s">
        <v>5155</v>
      </c>
      <c r="F45" s="296" t="s">
        <v>5156</v>
      </c>
      <c r="G45" s="301" t="s">
        <v>5165</v>
      </c>
      <c r="H45" s="301" t="s">
        <v>5176</v>
      </c>
    </row>
    <row r="46" spans="1:8">
      <c r="A46" s="296" t="s">
        <v>940</v>
      </c>
      <c r="B46" s="296" t="s">
        <v>941</v>
      </c>
      <c r="C46" s="296" t="s">
        <v>1844</v>
      </c>
      <c r="D46" s="296" t="s">
        <v>933</v>
      </c>
      <c r="E46" s="317" t="s">
        <v>5153</v>
      </c>
      <c r="F46" s="296" t="s">
        <v>5154</v>
      </c>
      <c r="G46" s="301" t="s">
        <v>5167</v>
      </c>
      <c r="H46" s="301" t="s">
        <v>5180</v>
      </c>
    </row>
    <row r="47" spans="1:8">
      <c r="A47" s="296" t="s">
        <v>940</v>
      </c>
      <c r="B47" s="296" t="s">
        <v>941</v>
      </c>
      <c r="C47" s="296" t="s">
        <v>1631</v>
      </c>
      <c r="D47" s="296" t="s">
        <v>1116</v>
      </c>
      <c r="E47" s="317" t="s">
        <v>5155</v>
      </c>
      <c r="F47" s="296" t="s">
        <v>5156</v>
      </c>
      <c r="G47" s="301" t="s">
        <v>5165</v>
      </c>
      <c r="H47" s="301" t="s">
        <v>5176</v>
      </c>
    </row>
    <row r="48" spans="1:8">
      <c r="A48" s="296" t="s">
        <v>940</v>
      </c>
      <c r="B48" s="296" t="s">
        <v>941</v>
      </c>
      <c r="C48" s="296" t="s">
        <v>1845</v>
      </c>
      <c r="D48" s="296" t="s">
        <v>1846</v>
      </c>
      <c r="E48" s="317" t="s">
        <v>5155</v>
      </c>
      <c r="F48" s="296" t="s">
        <v>5156</v>
      </c>
      <c r="G48" s="301" t="s">
        <v>5165</v>
      </c>
      <c r="H48" s="301" t="s">
        <v>5176</v>
      </c>
    </row>
    <row r="49" spans="1:8">
      <c r="A49" s="296" t="s">
        <v>940</v>
      </c>
      <c r="B49" s="296" t="s">
        <v>941</v>
      </c>
      <c r="C49" s="296" t="s">
        <v>1632</v>
      </c>
      <c r="D49" s="296" t="s">
        <v>1633</v>
      </c>
      <c r="E49" s="317" t="s">
        <v>5155</v>
      </c>
      <c r="F49" s="296" t="s">
        <v>5156</v>
      </c>
      <c r="G49" s="301" t="s">
        <v>5165</v>
      </c>
      <c r="H49" s="301" t="s">
        <v>5176</v>
      </c>
    </row>
    <row r="50" spans="1:8">
      <c r="A50" s="296" t="s">
        <v>940</v>
      </c>
      <c r="B50" s="296" t="s">
        <v>941</v>
      </c>
      <c r="C50" s="296" t="s">
        <v>1847</v>
      </c>
      <c r="D50" s="296" t="s">
        <v>1848</v>
      </c>
      <c r="E50" s="317" t="s">
        <v>5157</v>
      </c>
      <c r="F50" s="296" t="s">
        <v>5158</v>
      </c>
      <c r="G50" s="301" t="s">
        <v>5165</v>
      </c>
      <c r="H50" s="301" t="s">
        <v>5178</v>
      </c>
    </row>
    <row r="51" spans="1:8">
      <c r="A51" s="296" t="s">
        <v>940</v>
      </c>
      <c r="B51" s="296" t="s">
        <v>941</v>
      </c>
      <c r="C51" s="296" t="s">
        <v>1849</v>
      </c>
      <c r="D51" s="296" t="s">
        <v>1850</v>
      </c>
      <c r="E51" s="317" t="s">
        <v>5157</v>
      </c>
      <c r="F51" s="296" t="s">
        <v>5158</v>
      </c>
      <c r="G51" s="301" t="s">
        <v>5165</v>
      </c>
      <c r="H51" s="301" t="s">
        <v>5178</v>
      </c>
    </row>
    <row r="52" spans="1:8">
      <c r="A52" s="296" t="s">
        <v>940</v>
      </c>
      <c r="B52" s="296" t="s">
        <v>941</v>
      </c>
      <c r="C52" s="296" t="s">
        <v>1851</v>
      </c>
      <c r="D52" s="296" t="s">
        <v>1852</v>
      </c>
      <c r="E52" s="317" t="s">
        <v>5157</v>
      </c>
      <c r="F52" s="296" t="s">
        <v>5158</v>
      </c>
      <c r="G52" s="301" t="s">
        <v>5165</v>
      </c>
      <c r="H52" s="301" t="s">
        <v>5178</v>
      </c>
    </row>
    <row r="53" spans="1:8">
      <c r="A53" s="296" t="s">
        <v>940</v>
      </c>
      <c r="B53" s="296" t="s">
        <v>941</v>
      </c>
      <c r="C53" s="296" t="s">
        <v>1853</v>
      </c>
      <c r="D53" s="296" t="s">
        <v>1854</v>
      </c>
      <c r="E53" s="317" t="s">
        <v>5157</v>
      </c>
      <c r="F53" s="296" t="s">
        <v>5158</v>
      </c>
      <c r="G53" s="301" t="s">
        <v>5165</v>
      </c>
      <c r="H53" s="301" t="s">
        <v>5178</v>
      </c>
    </row>
    <row r="54" spans="1:8">
      <c r="A54" s="296" t="s">
        <v>940</v>
      </c>
      <c r="B54" s="296" t="s">
        <v>941</v>
      </c>
      <c r="C54" s="296" t="s">
        <v>1855</v>
      </c>
      <c r="D54" s="296" t="s">
        <v>1856</v>
      </c>
      <c r="E54" s="317" t="s">
        <v>5157</v>
      </c>
      <c r="F54" s="296" t="s">
        <v>5158</v>
      </c>
      <c r="G54" s="301" t="s">
        <v>5165</v>
      </c>
      <c r="H54" s="301" t="s">
        <v>5178</v>
      </c>
    </row>
    <row r="55" spans="1:8">
      <c r="A55" s="296" t="s">
        <v>940</v>
      </c>
      <c r="B55" s="296" t="s">
        <v>941</v>
      </c>
      <c r="C55" s="296" t="s">
        <v>1857</v>
      </c>
      <c r="D55" s="296" t="s">
        <v>1858</v>
      </c>
      <c r="E55" s="317" t="s">
        <v>5157</v>
      </c>
      <c r="F55" s="296" t="s">
        <v>5158</v>
      </c>
      <c r="G55" s="301" t="s">
        <v>5165</v>
      </c>
      <c r="H55" s="301" t="s">
        <v>5178</v>
      </c>
    </row>
    <row r="56" spans="1:8">
      <c r="A56" s="296" t="s">
        <v>940</v>
      </c>
      <c r="B56" s="296" t="s">
        <v>941</v>
      </c>
      <c r="C56" s="296" t="s">
        <v>1859</v>
      </c>
      <c r="D56" s="296" t="s">
        <v>1860</v>
      </c>
      <c r="E56" s="317" t="s">
        <v>5157</v>
      </c>
      <c r="F56" s="296" t="s">
        <v>5158</v>
      </c>
      <c r="G56" s="301" t="s">
        <v>5165</v>
      </c>
      <c r="H56" s="301" t="s">
        <v>5178</v>
      </c>
    </row>
    <row r="57" spans="1:8">
      <c r="A57" s="296" t="s">
        <v>940</v>
      </c>
      <c r="B57" s="296" t="s">
        <v>941</v>
      </c>
      <c r="C57" s="296" t="s">
        <v>1861</v>
      </c>
      <c r="D57" s="296" t="s">
        <v>1862</v>
      </c>
      <c r="E57" s="317" t="s">
        <v>5157</v>
      </c>
      <c r="F57" s="296" t="s">
        <v>5158</v>
      </c>
      <c r="G57" s="301" t="s">
        <v>5165</v>
      </c>
      <c r="H57" s="301" t="s">
        <v>5178</v>
      </c>
    </row>
    <row r="58" spans="1:8">
      <c r="A58" s="296" t="s">
        <v>940</v>
      </c>
      <c r="B58" s="296" t="s">
        <v>941</v>
      </c>
      <c r="C58" s="296" t="s">
        <v>1863</v>
      </c>
      <c r="D58" s="296" t="s">
        <v>1864</v>
      </c>
      <c r="E58" s="317" t="s">
        <v>5157</v>
      </c>
      <c r="F58" s="296" t="s">
        <v>5158</v>
      </c>
      <c r="G58" s="301" t="s">
        <v>5165</v>
      </c>
      <c r="H58" s="301" t="s">
        <v>5178</v>
      </c>
    </row>
    <row r="59" spans="1:8">
      <c r="A59" s="296" t="s">
        <v>940</v>
      </c>
      <c r="B59" s="296" t="s">
        <v>941</v>
      </c>
      <c r="C59" s="296" t="s">
        <v>1865</v>
      </c>
      <c r="D59" s="296" t="s">
        <v>1866</v>
      </c>
      <c r="E59" s="317" t="s">
        <v>5147</v>
      </c>
      <c r="F59" s="296" t="s">
        <v>5148</v>
      </c>
      <c r="G59" s="301" t="s">
        <v>5165</v>
      </c>
      <c r="H59" s="301" t="s">
        <v>5173</v>
      </c>
    </row>
    <row r="60" spans="1:8">
      <c r="A60" s="296" t="s">
        <v>940</v>
      </c>
      <c r="B60" s="296" t="s">
        <v>941</v>
      </c>
      <c r="C60" s="296" t="s">
        <v>1867</v>
      </c>
      <c r="D60" s="296" t="s">
        <v>1868</v>
      </c>
      <c r="E60" s="317" t="s">
        <v>5147</v>
      </c>
      <c r="F60" s="296" t="s">
        <v>5148</v>
      </c>
      <c r="G60" s="301" t="s">
        <v>5165</v>
      </c>
      <c r="H60" s="301" t="s">
        <v>5173</v>
      </c>
    </row>
    <row r="61" spans="1:8">
      <c r="A61" s="296" t="s">
        <v>940</v>
      </c>
      <c r="B61" s="296" t="s">
        <v>941</v>
      </c>
      <c r="C61" s="296" t="s">
        <v>1869</v>
      </c>
      <c r="D61" s="296" t="s">
        <v>1870</v>
      </c>
      <c r="E61" s="317" t="s">
        <v>5147</v>
      </c>
      <c r="F61" s="296" t="s">
        <v>5148</v>
      </c>
      <c r="G61" s="301" t="s">
        <v>5165</v>
      </c>
      <c r="H61" s="301" t="s">
        <v>5173</v>
      </c>
    </row>
    <row r="62" spans="1:8">
      <c r="A62" s="296" t="s">
        <v>940</v>
      </c>
      <c r="B62" s="296" t="s">
        <v>941</v>
      </c>
      <c r="C62" s="296" t="s">
        <v>1871</v>
      </c>
      <c r="D62" s="296" t="s">
        <v>1872</v>
      </c>
      <c r="E62" s="317" t="s">
        <v>5157</v>
      </c>
      <c r="F62" s="296" t="s">
        <v>5158</v>
      </c>
      <c r="G62" s="301" t="s">
        <v>5165</v>
      </c>
      <c r="H62" s="301" t="s">
        <v>5178</v>
      </c>
    </row>
    <row r="63" spans="1:8">
      <c r="A63" s="296" t="s">
        <v>940</v>
      </c>
      <c r="B63" s="296" t="s">
        <v>941</v>
      </c>
      <c r="C63" s="296" t="s">
        <v>1874</v>
      </c>
      <c r="D63" s="296" t="s">
        <v>1875</v>
      </c>
      <c r="E63" s="317" t="s">
        <v>5147</v>
      </c>
      <c r="F63" s="296" t="s">
        <v>5148</v>
      </c>
      <c r="G63" s="301" t="s">
        <v>5165</v>
      </c>
      <c r="H63" s="301" t="s">
        <v>5173</v>
      </c>
    </row>
    <row r="64" spans="1:8">
      <c r="A64" s="296" t="s">
        <v>940</v>
      </c>
      <c r="B64" s="296" t="s">
        <v>941</v>
      </c>
      <c r="C64" s="296" t="s">
        <v>1876</v>
      </c>
      <c r="D64" s="296" t="s">
        <v>1877</v>
      </c>
      <c r="E64" s="317" t="s">
        <v>5141</v>
      </c>
      <c r="F64" s="296" t="s">
        <v>5142</v>
      </c>
      <c r="G64" s="301" t="s">
        <v>5167</v>
      </c>
      <c r="H64" s="301" t="s">
        <v>5168</v>
      </c>
    </row>
    <row r="65" spans="1:8">
      <c r="A65" s="296" t="s">
        <v>940</v>
      </c>
      <c r="B65" s="296" t="s">
        <v>941</v>
      </c>
      <c r="C65" s="296" t="s">
        <v>1878</v>
      </c>
      <c r="D65" s="296" t="s">
        <v>1879</v>
      </c>
      <c r="E65" s="317" t="s">
        <v>5141</v>
      </c>
      <c r="F65" s="296" t="s">
        <v>5142</v>
      </c>
      <c r="G65" s="301" t="s">
        <v>5167</v>
      </c>
      <c r="H65" s="301" t="s">
        <v>5168</v>
      </c>
    </row>
    <row r="66" spans="1:8">
      <c r="A66" s="296" t="s">
        <v>940</v>
      </c>
      <c r="B66" s="296" t="s">
        <v>941</v>
      </c>
      <c r="C66" s="296" t="s">
        <v>1880</v>
      </c>
      <c r="D66" s="296" t="s">
        <v>1881</v>
      </c>
      <c r="E66" s="317" t="s">
        <v>5141</v>
      </c>
      <c r="F66" s="296" t="s">
        <v>5142</v>
      </c>
      <c r="G66" s="301" t="s">
        <v>5167</v>
      </c>
      <c r="H66" s="301" t="s">
        <v>5168</v>
      </c>
    </row>
    <row r="67" spans="1:8">
      <c r="A67" s="296" t="s">
        <v>940</v>
      </c>
      <c r="B67" s="296" t="s">
        <v>941</v>
      </c>
      <c r="C67" s="296" t="s">
        <v>1882</v>
      </c>
      <c r="D67" s="296" t="s">
        <v>1883</v>
      </c>
      <c r="E67" s="317" t="s">
        <v>5141</v>
      </c>
      <c r="F67" s="296" t="s">
        <v>5142</v>
      </c>
      <c r="G67" s="301" t="s">
        <v>5167</v>
      </c>
      <c r="H67" s="301" t="s">
        <v>5168</v>
      </c>
    </row>
    <row r="68" spans="1:8">
      <c r="A68" s="296" t="s">
        <v>940</v>
      </c>
      <c r="B68" s="296" t="s">
        <v>941</v>
      </c>
      <c r="C68" s="296" t="s">
        <v>1884</v>
      </c>
      <c r="D68" s="296" t="s">
        <v>1885</v>
      </c>
      <c r="E68" s="317" t="s">
        <v>5141</v>
      </c>
      <c r="F68" s="296" t="s">
        <v>5142</v>
      </c>
      <c r="G68" s="301" t="s">
        <v>5167</v>
      </c>
      <c r="H68" s="301" t="s">
        <v>5168</v>
      </c>
    </row>
    <row r="69" spans="1:8">
      <c r="A69" s="296" t="s">
        <v>940</v>
      </c>
      <c r="B69" s="296" t="s">
        <v>941</v>
      </c>
      <c r="C69" s="296" t="s">
        <v>1886</v>
      </c>
      <c r="D69" s="296" t="s">
        <v>1887</v>
      </c>
      <c r="E69" s="317" t="s">
        <v>5141</v>
      </c>
      <c r="F69" s="296" t="s">
        <v>5142</v>
      </c>
      <c r="G69" s="301" t="s">
        <v>5167</v>
      </c>
      <c r="H69" s="301" t="s">
        <v>5168</v>
      </c>
    </row>
    <row r="70" spans="1:8">
      <c r="A70" s="296" t="s">
        <v>940</v>
      </c>
      <c r="B70" s="296" t="s">
        <v>941</v>
      </c>
      <c r="C70" s="296" t="s">
        <v>957</v>
      </c>
      <c r="D70" s="296" t="s">
        <v>958</v>
      </c>
      <c r="E70" s="317" t="s">
        <v>5141</v>
      </c>
      <c r="F70" s="296" t="s">
        <v>5142</v>
      </c>
      <c r="G70" s="301" t="s">
        <v>5167</v>
      </c>
      <c r="H70" s="301" t="s">
        <v>5168</v>
      </c>
    </row>
    <row r="71" spans="1:8">
      <c r="A71" s="296" t="s">
        <v>940</v>
      </c>
      <c r="B71" s="296" t="s">
        <v>941</v>
      </c>
      <c r="C71" s="296" t="s">
        <v>1888</v>
      </c>
      <c r="D71" s="296" t="s">
        <v>1889</v>
      </c>
      <c r="E71" s="317" t="s">
        <v>5143</v>
      </c>
      <c r="F71" s="296" t="s">
        <v>5144</v>
      </c>
      <c r="G71" s="301" t="s">
        <v>5165</v>
      </c>
      <c r="H71" s="301" t="s">
        <v>5175</v>
      </c>
    </row>
    <row r="72" spans="1:8">
      <c r="A72" s="296" t="s">
        <v>940</v>
      </c>
      <c r="B72" s="296" t="s">
        <v>941</v>
      </c>
      <c r="C72" s="296" t="s">
        <v>3463</v>
      </c>
      <c r="D72" s="296" t="s">
        <v>3464</v>
      </c>
      <c r="E72" s="317" t="s">
        <v>5143</v>
      </c>
      <c r="F72" s="296" t="s">
        <v>5144</v>
      </c>
      <c r="G72" s="301" t="s">
        <v>5165</v>
      </c>
      <c r="H72" s="301" t="s">
        <v>5175</v>
      </c>
    </row>
    <row r="73" spans="1:8">
      <c r="A73" s="296" t="s">
        <v>940</v>
      </c>
      <c r="B73" s="296" t="s">
        <v>941</v>
      </c>
      <c r="C73" s="296" t="s">
        <v>1890</v>
      </c>
      <c r="D73" s="296" t="s">
        <v>1891</v>
      </c>
      <c r="E73" s="317" t="s">
        <v>5141</v>
      </c>
      <c r="F73" s="296" t="s">
        <v>5142</v>
      </c>
      <c r="G73" s="301" t="s">
        <v>5167</v>
      </c>
      <c r="H73" s="301" t="s">
        <v>5168</v>
      </c>
    </row>
    <row r="74" spans="1:8">
      <c r="A74" s="296" t="s">
        <v>940</v>
      </c>
      <c r="B74" s="296" t="s">
        <v>941</v>
      </c>
      <c r="C74" s="296" t="s">
        <v>1892</v>
      </c>
      <c r="D74" s="296" t="s">
        <v>1893</v>
      </c>
      <c r="E74" s="317" t="s">
        <v>5143</v>
      </c>
      <c r="F74" s="296" t="s">
        <v>5144</v>
      </c>
      <c r="G74" s="301" t="s">
        <v>5165</v>
      </c>
      <c r="H74" s="301" t="s">
        <v>5175</v>
      </c>
    </row>
    <row r="75" spans="1:8">
      <c r="A75" s="296" t="s">
        <v>940</v>
      </c>
      <c r="B75" s="296" t="s">
        <v>941</v>
      </c>
      <c r="C75" s="296" t="s">
        <v>1894</v>
      </c>
      <c r="D75" s="296" t="s">
        <v>1895</v>
      </c>
      <c r="E75" s="317" t="s">
        <v>5143</v>
      </c>
      <c r="F75" s="296" t="s">
        <v>5144</v>
      </c>
      <c r="G75" s="301" t="s">
        <v>5165</v>
      </c>
      <c r="H75" s="301" t="s">
        <v>5175</v>
      </c>
    </row>
    <row r="76" spans="1:8">
      <c r="A76" s="296" t="s">
        <v>940</v>
      </c>
      <c r="B76" s="296" t="s">
        <v>941</v>
      </c>
      <c r="C76" s="296" t="s">
        <v>1634</v>
      </c>
      <c r="D76" s="296" t="s">
        <v>1635</v>
      </c>
      <c r="E76" s="317" t="s">
        <v>5141</v>
      </c>
      <c r="F76" s="296" t="s">
        <v>5142</v>
      </c>
      <c r="G76" s="301" t="s">
        <v>5167</v>
      </c>
      <c r="H76" s="301" t="s">
        <v>5168</v>
      </c>
    </row>
    <row r="77" spans="1:8">
      <c r="A77" s="296" t="s">
        <v>940</v>
      </c>
      <c r="B77" s="296" t="s">
        <v>941</v>
      </c>
      <c r="C77" s="296" t="s">
        <v>1896</v>
      </c>
      <c r="D77" s="296" t="s">
        <v>1897</v>
      </c>
      <c r="E77" s="317" t="s">
        <v>5143</v>
      </c>
      <c r="F77" s="296" t="s">
        <v>5144</v>
      </c>
      <c r="G77" s="301" t="s">
        <v>5165</v>
      </c>
      <c r="H77" s="301" t="s">
        <v>5175</v>
      </c>
    </row>
    <row r="78" spans="1:8">
      <c r="A78" s="296" t="s">
        <v>940</v>
      </c>
      <c r="B78" s="296" t="s">
        <v>941</v>
      </c>
      <c r="C78" s="296" t="s">
        <v>1898</v>
      </c>
      <c r="D78" s="296" t="s">
        <v>1899</v>
      </c>
      <c r="E78" s="317" t="s">
        <v>5147</v>
      </c>
      <c r="F78" s="296" t="s">
        <v>5148</v>
      </c>
      <c r="G78" s="301" t="s">
        <v>5165</v>
      </c>
      <c r="H78" s="301" t="s">
        <v>5173</v>
      </c>
    </row>
    <row r="79" spans="1:8">
      <c r="A79" s="296" t="s">
        <v>940</v>
      </c>
      <c r="B79" s="296" t="s">
        <v>941</v>
      </c>
      <c r="C79" s="296" t="s">
        <v>1900</v>
      </c>
      <c r="D79" s="296" t="s">
        <v>1901</v>
      </c>
      <c r="E79" s="317" t="s">
        <v>5147</v>
      </c>
      <c r="F79" s="296" t="s">
        <v>5148</v>
      </c>
      <c r="G79" s="301" t="s">
        <v>5165</v>
      </c>
      <c r="H79" s="301" t="s">
        <v>5173</v>
      </c>
    </row>
    <row r="80" spans="1:8">
      <c r="A80" s="296" t="s">
        <v>940</v>
      </c>
      <c r="B80" s="296" t="s">
        <v>941</v>
      </c>
      <c r="C80" s="296" t="s">
        <v>1902</v>
      </c>
      <c r="D80" s="296" t="s">
        <v>1903</v>
      </c>
      <c r="E80" s="317" t="s">
        <v>5147</v>
      </c>
      <c r="F80" s="296" t="s">
        <v>5148</v>
      </c>
      <c r="G80" s="301" t="s">
        <v>5165</v>
      </c>
      <c r="H80" s="301" t="s">
        <v>5173</v>
      </c>
    </row>
    <row r="81" spans="1:8">
      <c r="A81" s="296" t="s">
        <v>940</v>
      </c>
      <c r="B81" s="296" t="s">
        <v>941</v>
      </c>
      <c r="C81" s="296" t="s">
        <v>1904</v>
      </c>
      <c r="D81" s="296" t="s">
        <v>1905</v>
      </c>
      <c r="E81" s="317" t="s">
        <v>5147</v>
      </c>
      <c r="F81" s="296" t="s">
        <v>5148</v>
      </c>
      <c r="G81" s="301" t="s">
        <v>5165</v>
      </c>
      <c r="H81" s="301" t="s">
        <v>5173</v>
      </c>
    </row>
    <row r="82" spans="1:8">
      <c r="A82" s="296" t="s">
        <v>940</v>
      </c>
      <c r="B82" s="296" t="s">
        <v>941</v>
      </c>
      <c r="C82" s="296" t="s">
        <v>1906</v>
      </c>
      <c r="D82" s="296" t="s">
        <v>1907</v>
      </c>
      <c r="E82" s="317" t="s">
        <v>5147</v>
      </c>
      <c r="F82" s="296" t="s">
        <v>5148</v>
      </c>
      <c r="G82" s="301" t="s">
        <v>5165</v>
      </c>
      <c r="H82" s="301" t="s">
        <v>5173</v>
      </c>
    </row>
    <row r="83" spans="1:8">
      <c r="A83" s="296" t="s">
        <v>940</v>
      </c>
      <c r="B83" s="296" t="s">
        <v>941</v>
      </c>
      <c r="C83" s="296" t="s">
        <v>1920</v>
      </c>
      <c r="D83" s="296" t="s">
        <v>1921</v>
      </c>
      <c r="E83" s="317" t="s">
        <v>5143</v>
      </c>
      <c r="F83" s="296" t="s">
        <v>5144</v>
      </c>
      <c r="G83" s="301" t="s">
        <v>5165</v>
      </c>
      <c r="H83" s="301" t="s">
        <v>5175</v>
      </c>
    </row>
    <row r="84" spans="1:8">
      <c r="A84" s="296" t="s">
        <v>940</v>
      </c>
      <c r="B84" s="296" t="s">
        <v>941</v>
      </c>
      <c r="C84" s="296" t="s">
        <v>1636</v>
      </c>
      <c r="D84" s="296" t="s">
        <v>1637</v>
      </c>
      <c r="E84" s="317" t="s">
        <v>5141</v>
      </c>
      <c r="F84" s="296" t="s">
        <v>5142</v>
      </c>
      <c r="G84" s="301" t="s">
        <v>5167</v>
      </c>
      <c r="H84" s="301" t="s">
        <v>5168</v>
      </c>
    </row>
    <row r="85" spans="1:8">
      <c r="A85" s="296" t="s">
        <v>940</v>
      </c>
      <c r="B85" s="296" t="s">
        <v>941</v>
      </c>
      <c r="C85" s="296" t="s">
        <v>1636</v>
      </c>
      <c r="D85" s="296" t="s">
        <v>1637</v>
      </c>
      <c r="E85" s="317" t="s">
        <v>5143</v>
      </c>
      <c r="F85" s="296" t="s">
        <v>5144</v>
      </c>
      <c r="G85" s="301" t="s">
        <v>5165</v>
      </c>
      <c r="H85" s="301" t="s">
        <v>5175</v>
      </c>
    </row>
    <row r="86" spans="1:8">
      <c r="A86" s="296" t="s">
        <v>940</v>
      </c>
      <c r="B86" s="296" t="s">
        <v>941</v>
      </c>
      <c r="C86" s="296" t="s">
        <v>950</v>
      </c>
      <c r="D86" s="296" t="s">
        <v>951</v>
      </c>
      <c r="E86" s="317" t="s">
        <v>5143</v>
      </c>
      <c r="F86" s="296" t="s">
        <v>5144</v>
      </c>
      <c r="G86" s="301" t="s">
        <v>5165</v>
      </c>
      <c r="H86" s="301" t="s">
        <v>5175</v>
      </c>
    </row>
    <row r="87" spans="1:8">
      <c r="A87" s="296" t="s">
        <v>940</v>
      </c>
      <c r="B87" s="296" t="s">
        <v>941</v>
      </c>
      <c r="C87" s="296" t="s">
        <v>952</v>
      </c>
      <c r="D87" s="296" t="s">
        <v>953</v>
      </c>
      <c r="E87" s="317" t="s">
        <v>5143</v>
      </c>
      <c r="F87" s="296" t="s">
        <v>5144</v>
      </c>
      <c r="G87" s="301" t="s">
        <v>5165</v>
      </c>
      <c r="H87" s="301" t="s">
        <v>5175</v>
      </c>
    </row>
    <row r="88" spans="1:8">
      <c r="A88" s="296" t="s">
        <v>940</v>
      </c>
      <c r="B88" s="296" t="s">
        <v>941</v>
      </c>
      <c r="C88" s="296" t="s">
        <v>959</v>
      </c>
      <c r="D88" s="296" t="s">
        <v>960</v>
      </c>
      <c r="E88" s="317" t="s">
        <v>5141</v>
      </c>
      <c r="F88" s="296" t="s">
        <v>5142</v>
      </c>
      <c r="G88" s="301" t="s">
        <v>5167</v>
      </c>
      <c r="H88" s="301" t="s">
        <v>5168</v>
      </c>
    </row>
    <row r="89" spans="1:8">
      <c r="A89" s="296" t="s">
        <v>940</v>
      </c>
      <c r="B89" s="296" t="s">
        <v>941</v>
      </c>
      <c r="C89" s="296" t="s">
        <v>1638</v>
      </c>
      <c r="D89" s="296" t="s">
        <v>1639</v>
      </c>
      <c r="E89" s="317" t="s">
        <v>5141</v>
      </c>
      <c r="F89" s="296" t="s">
        <v>5142</v>
      </c>
      <c r="G89" s="301" t="s">
        <v>5167</v>
      </c>
      <c r="H89" s="301" t="s">
        <v>5168</v>
      </c>
    </row>
    <row r="90" spans="1:8">
      <c r="A90" s="296" t="s">
        <v>940</v>
      </c>
      <c r="B90" s="296" t="s">
        <v>941</v>
      </c>
      <c r="C90" s="296" t="s">
        <v>1922</v>
      </c>
      <c r="D90" s="296" t="s">
        <v>1923</v>
      </c>
      <c r="E90" s="317" t="s">
        <v>5141</v>
      </c>
      <c r="F90" s="296" t="s">
        <v>5142</v>
      </c>
      <c r="G90" s="301" t="s">
        <v>5167</v>
      </c>
      <c r="H90" s="301" t="s">
        <v>5168</v>
      </c>
    </row>
    <row r="91" spans="1:8">
      <c r="A91" s="296" t="s">
        <v>940</v>
      </c>
      <c r="B91" s="296" t="s">
        <v>941</v>
      </c>
      <c r="C91" s="296" t="s">
        <v>1640</v>
      </c>
      <c r="D91" s="296" t="s">
        <v>1641</v>
      </c>
      <c r="E91" s="317" t="s">
        <v>5143</v>
      </c>
      <c r="F91" s="296" t="s">
        <v>5144</v>
      </c>
      <c r="G91" s="301" t="s">
        <v>5165</v>
      </c>
      <c r="H91" s="301" t="s">
        <v>5175</v>
      </c>
    </row>
    <row r="92" spans="1:8">
      <c r="A92" s="296" t="s">
        <v>940</v>
      </c>
      <c r="B92" s="296" t="s">
        <v>941</v>
      </c>
      <c r="C92" s="296" t="s">
        <v>1924</v>
      </c>
      <c r="D92" s="296" t="s">
        <v>1925</v>
      </c>
      <c r="E92" s="317" t="s">
        <v>5143</v>
      </c>
      <c r="F92" s="296" t="s">
        <v>5144</v>
      </c>
      <c r="G92" s="301" t="s">
        <v>5165</v>
      </c>
      <c r="H92" s="301" t="s">
        <v>5175</v>
      </c>
    </row>
    <row r="93" spans="1:8">
      <c r="A93" s="296" t="s">
        <v>940</v>
      </c>
      <c r="B93" s="296" t="s">
        <v>941</v>
      </c>
      <c r="C93" s="296" t="s">
        <v>1926</v>
      </c>
      <c r="D93" s="296" t="s">
        <v>1927</v>
      </c>
      <c r="E93" s="317" t="s">
        <v>5143</v>
      </c>
      <c r="F93" s="296" t="s">
        <v>5144</v>
      </c>
      <c r="G93" s="301" t="s">
        <v>5165</v>
      </c>
      <c r="H93" s="301" t="s">
        <v>5175</v>
      </c>
    </row>
    <row r="94" spans="1:8">
      <c r="A94" s="296" t="s">
        <v>940</v>
      </c>
      <c r="B94" s="296" t="s">
        <v>941</v>
      </c>
      <c r="C94" s="296" t="s">
        <v>1928</v>
      </c>
      <c r="D94" s="296" t="s">
        <v>1929</v>
      </c>
      <c r="E94" s="317" t="s">
        <v>5143</v>
      </c>
      <c r="F94" s="296" t="s">
        <v>5144</v>
      </c>
      <c r="G94" s="301" t="s">
        <v>5165</v>
      </c>
      <c r="H94" s="301" t="s">
        <v>5175</v>
      </c>
    </row>
    <row r="95" spans="1:8">
      <c r="A95" s="296" t="s">
        <v>940</v>
      </c>
      <c r="B95" s="296" t="s">
        <v>941</v>
      </c>
      <c r="C95" s="296" t="s">
        <v>1930</v>
      </c>
      <c r="D95" s="296" t="s">
        <v>1931</v>
      </c>
      <c r="E95" s="317" t="s">
        <v>5143</v>
      </c>
      <c r="F95" s="296" t="s">
        <v>5144</v>
      </c>
      <c r="G95" s="301" t="s">
        <v>5165</v>
      </c>
      <c r="H95" s="301" t="s">
        <v>5175</v>
      </c>
    </row>
    <row r="96" spans="1:8">
      <c r="A96" s="296" t="s">
        <v>940</v>
      </c>
      <c r="B96" s="296" t="s">
        <v>941</v>
      </c>
      <c r="C96" s="296" t="s">
        <v>1932</v>
      </c>
      <c r="D96" s="296" t="s">
        <v>1933</v>
      </c>
      <c r="E96" s="317" t="s">
        <v>5143</v>
      </c>
      <c r="F96" s="296" t="s">
        <v>5144</v>
      </c>
      <c r="G96" s="301" t="s">
        <v>5165</v>
      </c>
      <c r="H96" s="301" t="s">
        <v>5175</v>
      </c>
    </row>
    <row r="97" spans="1:8">
      <c r="A97" s="296" t="s">
        <v>940</v>
      </c>
      <c r="B97" s="296" t="s">
        <v>941</v>
      </c>
      <c r="C97" s="296" t="s">
        <v>1934</v>
      </c>
      <c r="D97" s="296" t="s">
        <v>1935</v>
      </c>
      <c r="E97" s="317" t="s">
        <v>5143</v>
      </c>
      <c r="F97" s="296" t="s">
        <v>5144</v>
      </c>
      <c r="G97" s="301" t="s">
        <v>5165</v>
      </c>
      <c r="H97" s="301" t="s">
        <v>5175</v>
      </c>
    </row>
    <row r="98" spans="1:8">
      <c r="A98" s="296" t="s">
        <v>940</v>
      </c>
      <c r="B98" s="296" t="s">
        <v>941</v>
      </c>
      <c r="C98" s="296" t="s">
        <v>1936</v>
      </c>
      <c r="D98" s="296" t="s">
        <v>1937</v>
      </c>
      <c r="E98" s="317" t="s">
        <v>5143</v>
      </c>
      <c r="F98" s="296" t="s">
        <v>5144</v>
      </c>
      <c r="G98" s="301" t="s">
        <v>5165</v>
      </c>
      <c r="H98" s="301" t="s">
        <v>5175</v>
      </c>
    </row>
    <row r="99" spans="1:8">
      <c r="A99" s="296" t="s">
        <v>940</v>
      </c>
      <c r="B99" s="296" t="s">
        <v>941</v>
      </c>
      <c r="C99" s="296" t="s">
        <v>1938</v>
      </c>
      <c r="D99" s="296" t="s">
        <v>1939</v>
      </c>
      <c r="E99" s="317" t="s">
        <v>5141</v>
      </c>
      <c r="F99" s="296" t="s">
        <v>5142</v>
      </c>
      <c r="G99" s="301" t="s">
        <v>5167</v>
      </c>
      <c r="H99" s="301" t="s">
        <v>5168</v>
      </c>
    </row>
    <row r="100" spans="1:8">
      <c r="A100" s="296" t="s">
        <v>940</v>
      </c>
      <c r="B100" s="296" t="s">
        <v>941</v>
      </c>
      <c r="C100" s="296" t="s">
        <v>1642</v>
      </c>
      <c r="D100" s="296" t="s">
        <v>1643</v>
      </c>
      <c r="E100" s="317" t="s">
        <v>5155</v>
      </c>
      <c r="F100" s="296" t="s">
        <v>5156</v>
      </c>
      <c r="G100" s="301" t="s">
        <v>5165</v>
      </c>
      <c r="H100" s="301" t="s">
        <v>5176</v>
      </c>
    </row>
    <row r="101" spans="1:8">
      <c r="A101" s="296" t="s">
        <v>940</v>
      </c>
      <c r="B101" s="296" t="s">
        <v>941</v>
      </c>
      <c r="C101" s="296" t="s">
        <v>1940</v>
      </c>
      <c r="D101" s="296" t="s">
        <v>1941</v>
      </c>
      <c r="E101" s="317" t="s">
        <v>5143</v>
      </c>
      <c r="F101" s="296" t="s">
        <v>5144</v>
      </c>
      <c r="G101" s="301" t="s">
        <v>5165</v>
      </c>
      <c r="H101" s="301" t="s">
        <v>5175</v>
      </c>
    </row>
    <row r="102" spans="1:8">
      <c r="A102" s="296" t="s">
        <v>940</v>
      </c>
      <c r="B102" s="296" t="s">
        <v>941</v>
      </c>
      <c r="C102" s="296" t="s">
        <v>1644</v>
      </c>
      <c r="D102" s="296" t="s">
        <v>1645</v>
      </c>
      <c r="E102" s="317" t="s">
        <v>5141</v>
      </c>
      <c r="F102" s="296" t="s">
        <v>5142</v>
      </c>
      <c r="G102" s="301" t="s">
        <v>5167</v>
      </c>
      <c r="H102" s="301" t="s">
        <v>5168</v>
      </c>
    </row>
    <row r="103" spans="1:8">
      <c r="A103" s="296" t="s">
        <v>940</v>
      </c>
      <c r="B103" s="296" t="s">
        <v>941</v>
      </c>
      <c r="C103" s="296" t="s">
        <v>961</v>
      </c>
      <c r="D103" s="296" t="s">
        <v>962</v>
      </c>
      <c r="E103" s="317" t="s">
        <v>5141</v>
      </c>
      <c r="F103" s="296" t="s">
        <v>5142</v>
      </c>
      <c r="G103" s="301" t="s">
        <v>5167</v>
      </c>
      <c r="H103" s="301" t="s">
        <v>5168</v>
      </c>
    </row>
    <row r="104" spans="1:8">
      <c r="A104" s="296" t="s">
        <v>940</v>
      </c>
      <c r="B104" s="296" t="s">
        <v>941</v>
      </c>
      <c r="C104" s="296" t="s">
        <v>954</v>
      </c>
      <c r="D104" s="296" t="s">
        <v>955</v>
      </c>
      <c r="E104" s="317" t="s">
        <v>5143</v>
      </c>
      <c r="F104" s="296" t="s">
        <v>5144</v>
      </c>
      <c r="G104" s="301" t="s">
        <v>5165</v>
      </c>
      <c r="H104" s="301" t="s">
        <v>5175</v>
      </c>
    </row>
    <row r="105" spans="1:8">
      <c r="A105" s="296" t="s">
        <v>940</v>
      </c>
      <c r="B105" s="296" t="s">
        <v>941</v>
      </c>
      <c r="C105" s="296" t="s">
        <v>1646</v>
      </c>
      <c r="D105" s="296" t="s">
        <v>1647</v>
      </c>
      <c r="E105" s="317" t="s">
        <v>5147</v>
      </c>
      <c r="F105" s="296" t="s">
        <v>5148</v>
      </c>
      <c r="G105" s="301" t="s">
        <v>5165</v>
      </c>
      <c r="H105" s="301" t="s">
        <v>5173</v>
      </c>
    </row>
    <row r="106" spans="1:8">
      <c r="A106" s="296" t="s">
        <v>940</v>
      </c>
      <c r="B106" s="296" t="s">
        <v>941</v>
      </c>
      <c r="C106" s="296" t="s">
        <v>1700</v>
      </c>
      <c r="D106" s="296" t="s">
        <v>1701</v>
      </c>
      <c r="E106" s="317" t="s">
        <v>5141</v>
      </c>
      <c r="F106" s="296" t="s">
        <v>5142</v>
      </c>
      <c r="G106" s="301" t="s">
        <v>5167</v>
      </c>
      <c r="H106" s="301" t="s">
        <v>5168</v>
      </c>
    </row>
    <row r="107" spans="1:8">
      <c r="A107" s="296" t="s">
        <v>940</v>
      </c>
      <c r="B107" s="296" t="s">
        <v>941</v>
      </c>
      <c r="C107" s="296" t="s">
        <v>1942</v>
      </c>
      <c r="D107" s="296" t="s">
        <v>1943</v>
      </c>
      <c r="E107" s="317" t="s">
        <v>5143</v>
      </c>
      <c r="F107" s="296" t="s">
        <v>5144</v>
      </c>
      <c r="G107" s="301" t="s">
        <v>5165</v>
      </c>
      <c r="H107" s="301" t="s">
        <v>5175</v>
      </c>
    </row>
    <row r="108" spans="1:8">
      <c r="A108" s="296" t="s">
        <v>940</v>
      </c>
      <c r="B108" s="296" t="s">
        <v>941</v>
      </c>
      <c r="C108" s="296" t="s">
        <v>1944</v>
      </c>
      <c r="D108" s="296" t="s">
        <v>1945</v>
      </c>
      <c r="E108" s="317" t="s">
        <v>5143</v>
      </c>
      <c r="F108" s="296" t="s">
        <v>5144</v>
      </c>
      <c r="G108" s="301" t="s">
        <v>5165</v>
      </c>
      <c r="H108" s="301" t="s">
        <v>5175</v>
      </c>
    </row>
    <row r="109" spans="1:8">
      <c r="A109" s="296" t="s">
        <v>940</v>
      </c>
      <c r="B109" s="296" t="s">
        <v>941</v>
      </c>
      <c r="C109" s="296" t="s">
        <v>1946</v>
      </c>
      <c r="D109" s="296" t="s">
        <v>1947</v>
      </c>
      <c r="E109" s="317" t="s">
        <v>5143</v>
      </c>
      <c r="F109" s="296" t="s">
        <v>5144</v>
      </c>
      <c r="G109" s="301" t="s">
        <v>5165</v>
      </c>
      <c r="H109" s="301" t="s">
        <v>5175</v>
      </c>
    </row>
    <row r="110" spans="1:8">
      <c r="A110" s="296" t="s">
        <v>940</v>
      </c>
      <c r="B110" s="296" t="s">
        <v>941</v>
      </c>
      <c r="C110" s="296" t="s">
        <v>1648</v>
      </c>
      <c r="D110" s="296" t="s">
        <v>1649</v>
      </c>
      <c r="E110" s="317" t="s">
        <v>5143</v>
      </c>
      <c r="F110" s="296" t="s">
        <v>5144</v>
      </c>
      <c r="G110" s="301" t="s">
        <v>5165</v>
      </c>
      <c r="H110" s="301" t="s">
        <v>5175</v>
      </c>
    </row>
    <row r="111" spans="1:8">
      <c r="A111" s="296" t="s">
        <v>940</v>
      </c>
      <c r="B111" s="296" t="s">
        <v>941</v>
      </c>
      <c r="C111" s="296" t="s">
        <v>1708</v>
      </c>
      <c r="D111" s="296" t="s">
        <v>1948</v>
      </c>
      <c r="E111" s="317" t="s">
        <v>5143</v>
      </c>
      <c r="F111" s="296" t="s">
        <v>5144</v>
      </c>
      <c r="G111" s="301" t="s">
        <v>5165</v>
      </c>
      <c r="H111" s="301" t="s">
        <v>5175</v>
      </c>
    </row>
    <row r="112" spans="1:8">
      <c r="A112" s="296" t="s">
        <v>940</v>
      </c>
      <c r="B112" s="296" t="s">
        <v>941</v>
      </c>
      <c r="C112" s="296" t="s">
        <v>1949</v>
      </c>
      <c r="D112" s="296" t="s">
        <v>1950</v>
      </c>
      <c r="E112" s="317" t="s">
        <v>5143</v>
      </c>
      <c r="F112" s="296" t="s">
        <v>5144</v>
      </c>
      <c r="G112" s="301" t="s">
        <v>5165</v>
      </c>
      <c r="H112" s="301" t="s">
        <v>5175</v>
      </c>
    </row>
    <row r="113" spans="1:8">
      <c r="A113" s="296" t="s">
        <v>940</v>
      </c>
      <c r="B113" s="296" t="s">
        <v>941</v>
      </c>
      <c r="C113" s="296" t="s">
        <v>3465</v>
      </c>
      <c r="D113" s="296" t="s">
        <v>3466</v>
      </c>
      <c r="E113" s="317" t="s">
        <v>5141</v>
      </c>
      <c r="F113" s="296" t="s">
        <v>5142</v>
      </c>
      <c r="G113" s="301" t="s">
        <v>5167</v>
      </c>
      <c r="H113" s="301" t="s">
        <v>5168</v>
      </c>
    </row>
    <row r="114" spans="1:8">
      <c r="A114" s="296" t="s">
        <v>940</v>
      </c>
      <c r="B114" s="296" t="s">
        <v>941</v>
      </c>
      <c r="C114" s="296" t="s">
        <v>1951</v>
      </c>
      <c r="D114" s="296" t="s">
        <v>1952</v>
      </c>
      <c r="E114" s="317" t="s">
        <v>5139</v>
      </c>
      <c r="F114" s="296" t="s">
        <v>5140</v>
      </c>
      <c r="G114" s="301" t="s">
        <v>5165</v>
      </c>
      <c r="H114" s="301" t="s">
        <v>5172</v>
      </c>
    </row>
    <row r="115" spans="1:8">
      <c r="A115" s="296" t="s">
        <v>940</v>
      </c>
      <c r="B115" s="296" t="s">
        <v>941</v>
      </c>
      <c r="C115" s="296" t="s">
        <v>1650</v>
      </c>
      <c r="D115" s="296" t="s">
        <v>1651</v>
      </c>
      <c r="E115" s="317" t="s">
        <v>5143</v>
      </c>
      <c r="F115" s="296" t="s">
        <v>5144</v>
      </c>
      <c r="G115" s="301" t="s">
        <v>5165</v>
      </c>
      <c r="H115" s="301" t="s">
        <v>5175</v>
      </c>
    </row>
    <row r="116" spans="1:8">
      <c r="A116" s="296" t="s">
        <v>940</v>
      </c>
      <c r="B116" s="296" t="s">
        <v>941</v>
      </c>
      <c r="C116" s="296" t="s">
        <v>1953</v>
      </c>
      <c r="D116" s="296" t="s">
        <v>1954</v>
      </c>
      <c r="E116" s="317" t="s">
        <v>5143</v>
      </c>
      <c r="F116" s="296" t="s">
        <v>5144</v>
      </c>
      <c r="G116" s="301" t="s">
        <v>5165</v>
      </c>
      <c r="H116" s="301" t="s">
        <v>5175</v>
      </c>
    </row>
    <row r="117" spans="1:8">
      <c r="A117" s="296" t="s">
        <v>940</v>
      </c>
      <c r="B117" s="296" t="s">
        <v>941</v>
      </c>
      <c r="C117" s="296" t="s">
        <v>1955</v>
      </c>
      <c r="D117" s="296" t="s">
        <v>1956</v>
      </c>
      <c r="E117" s="317" t="s">
        <v>5141</v>
      </c>
      <c r="F117" s="296" t="s">
        <v>5142</v>
      </c>
      <c r="G117" s="301" t="s">
        <v>5167</v>
      </c>
      <c r="H117" s="301" t="s">
        <v>5168</v>
      </c>
    </row>
    <row r="118" spans="1:8">
      <c r="A118" s="296" t="s">
        <v>940</v>
      </c>
      <c r="B118" s="296" t="s">
        <v>941</v>
      </c>
      <c r="C118" s="296" t="s">
        <v>1973</v>
      </c>
      <c r="D118" s="296" t="s">
        <v>1974</v>
      </c>
      <c r="E118" s="317" t="s">
        <v>5139</v>
      </c>
      <c r="F118" s="296" t="s">
        <v>5140</v>
      </c>
      <c r="G118" s="301" t="s">
        <v>5165</v>
      </c>
      <c r="H118" s="301" t="s">
        <v>5172</v>
      </c>
    </row>
    <row r="119" spans="1:8">
      <c r="A119" s="296" t="s">
        <v>940</v>
      </c>
      <c r="B119" s="296" t="s">
        <v>941</v>
      </c>
      <c r="C119" s="296" t="s">
        <v>1975</v>
      </c>
      <c r="D119" s="296" t="s">
        <v>1976</v>
      </c>
      <c r="E119" s="317" t="s">
        <v>5155</v>
      </c>
      <c r="F119" s="296" t="s">
        <v>5156</v>
      </c>
      <c r="G119" s="301" t="s">
        <v>5165</v>
      </c>
      <c r="H119" s="301" t="s">
        <v>5176</v>
      </c>
    </row>
    <row r="120" spans="1:8">
      <c r="A120" s="296" t="s">
        <v>940</v>
      </c>
      <c r="B120" s="296" t="s">
        <v>941</v>
      </c>
      <c r="C120" s="296" t="s">
        <v>1977</v>
      </c>
      <c r="D120" s="296" t="s">
        <v>1978</v>
      </c>
      <c r="E120" s="317" t="s">
        <v>5145</v>
      </c>
      <c r="F120" s="296" t="s">
        <v>5146</v>
      </c>
      <c r="G120" s="301" t="s">
        <v>5165</v>
      </c>
      <c r="H120" s="301" t="s">
        <v>5174</v>
      </c>
    </row>
    <row r="121" spans="1:8">
      <c r="A121" s="296" t="s">
        <v>940</v>
      </c>
      <c r="B121" s="296" t="s">
        <v>941</v>
      </c>
      <c r="C121" s="296" t="s">
        <v>1979</v>
      </c>
      <c r="D121" s="296" t="s">
        <v>1980</v>
      </c>
      <c r="E121" s="317" t="s">
        <v>5151</v>
      </c>
      <c r="F121" s="296" t="s">
        <v>5152</v>
      </c>
      <c r="G121" s="301" t="s">
        <v>5165</v>
      </c>
      <c r="H121" s="301" t="s">
        <v>5172</v>
      </c>
    </row>
    <row r="122" spans="1:8">
      <c r="A122" s="296" t="s">
        <v>940</v>
      </c>
      <c r="B122" s="296" t="s">
        <v>941</v>
      </c>
      <c r="C122" s="296" t="s">
        <v>963</v>
      </c>
      <c r="D122" s="296" t="s">
        <v>1652</v>
      </c>
      <c r="E122" s="317" t="s">
        <v>5141</v>
      </c>
      <c r="F122" s="296" t="s">
        <v>5142</v>
      </c>
      <c r="G122" s="301" t="s">
        <v>5167</v>
      </c>
      <c r="H122" s="301" t="s">
        <v>5168</v>
      </c>
    </row>
    <row r="123" spans="1:8">
      <c r="A123" s="296" t="s">
        <v>940</v>
      </c>
      <c r="B123" s="296" t="s">
        <v>941</v>
      </c>
      <c r="C123" s="296" t="s">
        <v>1981</v>
      </c>
      <c r="D123" s="296" t="s">
        <v>3467</v>
      </c>
      <c r="E123" s="317" t="s">
        <v>5143</v>
      </c>
      <c r="F123" s="296" t="s">
        <v>5144</v>
      </c>
      <c r="G123" s="301" t="s">
        <v>5165</v>
      </c>
      <c r="H123" s="301" t="s">
        <v>5175</v>
      </c>
    </row>
    <row r="124" spans="1:8">
      <c r="A124" s="296" t="s">
        <v>940</v>
      </c>
      <c r="B124" s="296" t="s">
        <v>941</v>
      </c>
      <c r="C124" s="296" t="s">
        <v>1982</v>
      </c>
      <c r="D124" s="296" t="s">
        <v>1983</v>
      </c>
      <c r="E124" s="317" t="s">
        <v>5139</v>
      </c>
      <c r="F124" s="296" t="s">
        <v>5140</v>
      </c>
      <c r="G124" s="301" t="s">
        <v>5165</v>
      </c>
      <c r="H124" s="301" t="s">
        <v>5172</v>
      </c>
    </row>
    <row r="125" spans="1:8">
      <c r="A125" s="296" t="s">
        <v>940</v>
      </c>
      <c r="B125" s="296" t="s">
        <v>941</v>
      </c>
      <c r="C125" s="296" t="s">
        <v>1984</v>
      </c>
      <c r="D125" s="296" t="s">
        <v>3468</v>
      </c>
      <c r="E125" s="317" t="s">
        <v>5155</v>
      </c>
      <c r="F125" s="296" t="s">
        <v>5156</v>
      </c>
      <c r="G125" s="301" t="s">
        <v>5165</v>
      </c>
      <c r="H125" s="301" t="s">
        <v>5176</v>
      </c>
    </row>
    <row r="126" spans="1:8">
      <c r="A126" s="296" t="s">
        <v>940</v>
      </c>
      <c r="B126" s="296" t="s">
        <v>941</v>
      </c>
      <c r="C126" s="296" t="s">
        <v>3469</v>
      </c>
      <c r="D126" s="296" t="s">
        <v>3470</v>
      </c>
      <c r="E126" s="317" t="s">
        <v>5141</v>
      </c>
      <c r="F126" s="296" t="s">
        <v>5142</v>
      </c>
      <c r="G126" s="301" t="s">
        <v>5167</v>
      </c>
      <c r="H126" s="301" t="s">
        <v>5168</v>
      </c>
    </row>
    <row r="127" spans="1:8">
      <c r="A127" s="296" t="s">
        <v>940</v>
      </c>
      <c r="B127" s="296" t="s">
        <v>941</v>
      </c>
      <c r="C127" s="296" t="s">
        <v>1985</v>
      </c>
      <c r="D127" s="296" t="s">
        <v>1986</v>
      </c>
      <c r="E127" s="317" t="s">
        <v>5143</v>
      </c>
      <c r="F127" s="296" t="s">
        <v>5144</v>
      </c>
      <c r="G127" s="301" t="s">
        <v>5165</v>
      </c>
      <c r="H127" s="301" t="s">
        <v>5175</v>
      </c>
    </row>
    <row r="128" spans="1:8">
      <c r="A128" s="296" t="s">
        <v>940</v>
      </c>
      <c r="B128" s="296" t="s">
        <v>941</v>
      </c>
      <c r="C128" s="296" t="s">
        <v>1987</v>
      </c>
      <c r="D128" s="296" t="s">
        <v>1988</v>
      </c>
      <c r="E128" s="317" t="s">
        <v>5147</v>
      </c>
      <c r="F128" s="296" t="s">
        <v>5148</v>
      </c>
      <c r="G128" s="301" t="s">
        <v>5165</v>
      </c>
      <c r="H128" s="301" t="s">
        <v>5173</v>
      </c>
    </row>
    <row r="129" spans="1:8">
      <c r="A129" s="296" t="s">
        <v>940</v>
      </c>
      <c r="B129" s="296" t="s">
        <v>941</v>
      </c>
      <c r="C129" s="296" t="s">
        <v>1989</v>
      </c>
      <c r="D129" s="296" t="s">
        <v>1990</v>
      </c>
      <c r="E129" s="317" t="s">
        <v>5141</v>
      </c>
      <c r="F129" s="296" t="s">
        <v>5142</v>
      </c>
      <c r="G129" s="301" t="s">
        <v>5167</v>
      </c>
      <c r="H129" s="301" t="s">
        <v>5168</v>
      </c>
    </row>
    <row r="130" spans="1:8">
      <c r="A130" s="296" t="s">
        <v>940</v>
      </c>
      <c r="B130" s="296" t="s">
        <v>941</v>
      </c>
      <c r="C130" s="296" t="s">
        <v>3471</v>
      </c>
      <c r="D130" s="296" t="s">
        <v>3472</v>
      </c>
      <c r="E130" s="317" t="s">
        <v>5155</v>
      </c>
      <c r="F130" s="296" t="s">
        <v>5156</v>
      </c>
      <c r="G130" s="301" t="s">
        <v>5165</v>
      </c>
      <c r="H130" s="301" t="s">
        <v>5176</v>
      </c>
    </row>
    <row r="131" spans="1:8">
      <c r="A131" s="296" t="s">
        <v>940</v>
      </c>
      <c r="B131" s="296" t="s">
        <v>941</v>
      </c>
      <c r="C131" s="296" t="s">
        <v>1994</v>
      </c>
      <c r="D131" s="296" t="s">
        <v>1995</v>
      </c>
      <c r="E131" s="317" t="s">
        <v>5155</v>
      </c>
      <c r="F131" s="296" t="s">
        <v>5156</v>
      </c>
      <c r="G131" s="301" t="s">
        <v>5165</v>
      </c>
      <c r="H131" s="301" t="s">
        <v>5176</v>
      </c>
    </row>
    <row r="132" spans="1:8">
      <c r="A132" s="296" t="s">
        <v>940</v>
      </c>
      <c r="B132" s="296" t="s">
        <v>941</v>
      </c>
      <c r="C132" s="296" t="s">
        <v>1994</v>
      </c>
      <c r="D132" s="296" t="s">
        <v>1995</v>
      </c>
      <c r="E132" s="317" t="s">
        <v>5143</v>
      </c>
      <c r="F132" s="296" t="s">
        <v>5144</v>
      </c>
      <c r="G132" s="301" t="s">
        <v>5165</v>
      </c>
      <c r="H132" s="301" t="s">
        <v>5175</v>
      </c>
    </row>
    <row r="133" spans="1:8">
      <c r="A133" s="296" t="s">
        <v>940</v>
      </c>
      <c r="B133" s="296" t="s">
        <v>941</v>
      </c>
      <c r="C133" s="296" t="s">
        <v>1996</v>
      </c>
      <c r="D133" s="296" t="s">
        <v>3473</v>
      </c>
      <c r="E133" s="317" t="s">
        <v>5143</v>
      </c>
      <c r="F133" s="296" t="s">
        <v>5144</v>
      </c>
      <c r="G133" s="301" t="s">
        <v>5165</v>
      </c>
      <c r="H133" s="301" t="s">
        <v>5175</v>
      </c>
    </row>
    <row r="134" spans="1:8">
      <c r="A134" s="296" t="s">
        <v>940</v>
      </c>
      <c r="B134" s="296" t="s">
        <v>941</v>
      </c>
      <c r="C134" s="296" t="s">
        <v>1997</v>
      </c>
      <c r="D134" s="296" t="s">
        <v>3474</v>
      </c>
      <c r="E134" s="317" t="s">
        <v>5151</v>
      </c>
      <c r="F134" s="296" t="s">
        <v>5152</v>
      </c>
      <c r="G134" s="301" t="s">
        <v>5165</v>
      </c>
      <c r="H134" s="301" t="s">
        <v>5172</v>
      </c>
    </row>
    <row r="135" spans="1:8">
      <c r="A135" s="296" t="s">
        <v>940</v>
      </c>
      <c r="B135" s="296" t="s">
        <v>941</v>
      </c>
      <c r="C135" s="296" t="s">
        <v>3475</v>
      </c>
      <c r="D135" s="296" t="s">
        <v>3476</v>
      </c>
      <c r="E135" s="317" t="s">
        <v>5141</v>
      </c>
      <c r="F135" s="296" t="s">
        <v>5142</v>
      </c>
      <c r="G135" s="301" t="s">
        <v>5167</v>
      </c>
      <c r="H135" s="301" t="s">
        <v>5168</v>
      </c>
    </row>
    <row r="136" spans="1:8">
      <c r="A136" s="296" t="s">
        <v>940</v>
      </c>
      <c r="B136" s="296" t="s">
        <v>941</v>
      </c>
      <c r="C136" s="296" t="s">
        <v>2000</v>
      </c>
      <c r="D136" s="296" t="s">
        <v>2001</v>
      </c>
      <c r="E136" s="317" t="s">
        <v>5139</v>
      </c>
      <c r="F136" s="296" t="s">
        <v>5140</v>
      </c>
      <c r="G136" s="301" t="s">
        <v>5165</v>
      </c>
      <c r="H136" s="301" t="s">
        <v>5172</v>
      </c>
    </row>
    <row r="137" spans="1:8">
      <c r="A137" s="296" t="s">
        <v>940</v>
      </c>
      <c r="B137" s="296" t="s">
        <v>941</v>
      </c>
      <c r="C137" s="296" t="s">
        <v>2002</v>
      </c>
      <c r="D137" s="296" t="s">
        <v>2003</v>
      </c>
      <c r="E137" s="317" t="s">
        <v>5159</v>
      </c>
      <c r="F137" s="296" t="s">
        <v>5160</v>
      </c>
      <c r="G137" s="301" t="s">
        <v>5165</v>
      </c>
      <c r="H137" s="301" t="s">
        <v>5177</v>
      </c>
    </row>
    <row r="138" spans="1:8">
      <c r="A138" s="296" t="s">
        <v>940</v>
      </c>
      <c r="B138" s="296" t="s">
        <v>941</v>
      </c>
      <c r="C138" s="296" t="s">
        <v>2005</v>
      </c>
      <c r="D138" s="296" t="s">
        <v>2006</v>
      </c>
      <c r="E138" s="317" t="s">
        <v>5139</v>
      </c>
      <c r="F138" s="296" t="s">
        <v>5140</v>
      </c>
      <c r="G138" s="301" t="s">
        <v>5165</v>
      </c>
      <c r="H138" s="301" t="s">
        <v>5172</v>
      </c>
    </row>
    <row r="139" spans="1:8">
      <c r="A139" s="296" t="s">
        <v>940</v>
      </c>
      <c r="B139" s="296" t="s">
        <v>941</v>
      </c>
      <c r="C139" s="296" t="s">
        <v>1653</v>
      </c>
      <c r="D139" s="296" t="s">
        <v>1654</v>
      </c>
      <c r="E139" s="317" t="s">
        <v>5155</v>
      </c>
      <c r="F139" s="296" t="s">
        <v>5156</v>
      </c>
      <c r="G139" s="301" t="s">
        <v>5165</v>
      </c>
      <c r="H139" s="301" t="s">
        <v>5176</v>
      </c>
    </row>
    <row r="140" spans="1:8">
      <c r="A140" s="296" t="s">
        <v>940</v>
      </c>
      <c r="B140" s="296" t="s">
        <v>941</v>
      </c>
      <c r="C140" s="296" t="s">
        <v>2007</v>
      </c>
      <c r="D140" s="296" t="s">
        <v>1992</v>
      </c>
      <c r="E140" s="317" t="s">
        <v>5143</v>
      </c>
      <c r="F140" s="296" t="s">
        <v>5144</v>
      </c>
      <c r="G140" s="301" t="s">
        <v>5165</v>
      </c>
      <c r="H140" s="301" t="s">
        <v>5175</v>
      </c>
    </row>
    <row r="141" spans="1:8">
      <c r="A141" s="296" t="s">
        <v>940</v>
      </c>
      <c r="B141" s="296" t="s">
        <v>941</v>
      </c>
      <c r="C141" s="296" t="s">
        <v>2008</v>
      </c>
      <c r="D141" s="296" t="s">
        <v>3477</v>
      </c>
      <c r="E141" s="317" t="s">
        <v>5139</v>
      </c>
      <c r="F141" s="296" t="s">
        <v>5140</v>
      </c>
      <c r="G141" s="301" t="s">
        <v>5165</v>
      </c>
      <c r="H141" s="301" t="s">
        <v>5172</v>
      </c>
    </row>
    <row r="142" spans="1:8">
      <c r="A142" s="296" t="s">
        <v>940</v>
      </c>
      <c r="B142" s="296" t="s">
        <v>941</v>
      </c>
      <c r="C142" s="296" t="s">
        <v>3478</v>
      </c>
      <c r="D142" s="296" t="s">
        <v>3479</v>
      </c>
      <c r="E142" s="317" t="s">
        <v>5141</v>
      </c>
      <c r="F142" s="296" t="s">
        <v>5142</v>
      </c>
      <c r="G142" s="301" t="s">
        <v>5167</v>
      </c>
      <c r="H142" s="301" t="s">
        <v>5168</v>
      </c>
    </row>
    <row r="143" spans="1:8">
      <c r="A143" s="296" t="s">
        <v>940</v>
      </c>
      <c r="B143" s="296" t="s">
        <v>941</v>
      </c>
      <c r="C143" s="296" t="s">
        <v>3480</v>
      </c>
      <c r="D143" s="296" t="s">
        <v>3481</v>
      </c>
      <c r="E143" s="317" t="s">
        <v>5143</v>
      </c>
      <c r="F143" s="296" t="s">
        <v>5144</v>
      </c>
      <c r="G143" s="301" t="s">
        <v>5165</v>
      </c>
      <c r="H143" s="301" t="s">
        <v>5175</v>
      </c>
    </row>
    <row r="144" spans="1:8">
      <c r="A144" s="296" t="s">
        <v>940</v>
      </c>
      <c r="B144" s="296" t="s">
        <v>941</v>
      </c>
      <c r="C144" s="296" t="s">
        <v>956</v>
      </c>
      <c r="D144" s="296" t="s">
        <v>1001</v>
      </c>
      <c r="E144" s="317" t="s">
        <v>5159</v>
      </c>
      <c r="F144" s="296" t="s">
        <v>5160</v>
      </c>
      <c r="G144" s="301" t="s">
        <v>5165</v>
      </c>
      <c r="H144" s="301" t="s">
        <v>5177</v>
      </c>
    </row>
    <row r="145" spans="1:8">
      <c r="A145" s="296" t="s">
        <v>940</v>
      </c>
      <c r="B145" s="296" t="s">
        <v>941</v>
      </c>
      <c r="C145" s="296" t="s">
        <v>3482</v>
      </c>
      <c r="D145" s="296" t="s">
        <v>3483</v>
      </c>
      <c r="E145" s="317" t="s">
        <v>5143</v>
      </c>
      <c r="F145" s="296" t="s">
        <v>5144</v>
      </c>
      <c r="G145" s="301" t="s">
        <v>5165</v>
      </c>
      <c r="H145" s="301" t="s">
        <v>5175</v>
      </c>
    </row>
    <row r="146" spans="1:8">
      <c r="A146" s="296" t="s">
        <v>44</v>
      </c>
      <c r="B146" s="296" t="s">
        <v>45</v>
      </c>
      <c r="C146" s="296" t="s">
        <v>48</v>
      </c>
      <c r="D146" s="296" t="s">
        <v>49</v>
      </c>
      <c r="E146" s="317" t="s">
        <v>5147</v>
      </c>
      <c r="F146" s="296" t="s">
        <v>5148</v>
      </c>
      <c r="G146" s="301" t="s">
        <v>5165</v>
      </c>
      <c r="H146" s="301" t="s">
        <v>5173</v>
      </c>
    </row>
    <row r="147" spans="1:8">
      <c r="A147" s="296" t="s">
        <v>44</v>
      </c>
      <c r="B147" s="296" t="s">
        <v>45</v>
      </c>
      <c r="C147" s="296" t="s">
        <v>58</v>
      </c>
      <c r="D147" s="296" t="s">
        <v>59</v>
      </c>
      <c r="E147" s="317" t="s">
        <v>5147</v>
      </c>
      <c r="F147" s="296" t="s">
        <v>5148</v>
      </c>
      <c r="G147" s="301" t="s">
        <v>5165</v>
      </c>
      <c r="H147" s="301" t="s">
        <v>5173</v>
      </c>
    </row>
    <row r="148" spans="1:8">
      <c r="A148" s="296" t="s">
        <v>44</v>
      </c>
      <c r="B148" s="296" t="s">
        <v>45</v>
      </c>
      <c r="C148" s="296" t="s">
        <v>61</v>
      </c>
      <c r="D148" s="296" t="s">
        <v>62</v>
      </c>
      <c r="E148" s="317" t="s">
        <v>5147</v>
      </c>
      <c r="F148" s="296" t="s">
        <v>5148</v>
      </c>
      <c r="G148" s="301" t="s">
        <v>5165</v>
      </c>
      <c r="H148" s="301" t="s">
        <v>5173</v>
      </c>
    </row>
    <row r="149" spans="1:8">
      <c r="A149" s="296" t="s">
        <v>44</v>
      </c>
      <c r="B149" s="296" t="s">
        <v>45</v>
      </c>
      <c r="C149" s="296" t="s">
        <v>63</v>
      </c>
      <c r="D149" s="296" t="s">
        <v>64</v>
      </c>
      <c r="E149" s="317" t="s">
        <v>5147</v>
      </c>
      <c r="F149" s="296" t="s">
        <v>5148</v>
      </c>
      <c r="G149" s="301" t="s">
        <v>5165</v>
      </c>
      <c r="H149" s="301" t="s">
        <v>5173</v>
      </c>
    </row>
    <row r="150" spans="1:8">
      <c r="A150" s="296" t="s">
        <v>44</v>
      </c>
      <c r="B150" s="296" t="s">
        <v>45</v>
      </c>
      <c r="C150" s="296" t="s">
        <v>674</v>
      </c>
      <c r="D150" s="296" t="s">
        <v>675</v>
      </c>
      <c r="E150" s="317" t="s">
        <v>5147</v>
      </c>
      <c r="F150" s="296" t="s">
        <v>5148</v>
      </c>
      <c r="G150" s="301" t="s">
        <v>5165</v>
      </c>
      <c r="H150" s="301" t="s">
        <v>5173</v>
      </c>
    </row>
    <row r="151" spans="1:8">
      <c r="A151" s="296" t="s">
        <v>44</v>
      </c>
      <c r="B151" s="296" t="s">
        <v>45</v>
      </c>
      <c r="C151" s="296" t="s">
        <v>68</v>
      </c>
      <c r="D151" s="296" t="s">
        <v>69</v>
      </c>
      <c r="E151" s="317" t="s">
        <v>5147</v>
      </c>
      <c r="F151" s="296" t="s">
        <v>5148</v>
      </c>
      <c r="G151" s="301" t="s">
        <v>5165</v>
      </c>
      <c r="H151" s="301" t="s">
        <v>5173</v>
      </c>
    </row>
    <row r="152" spans="1:8">
      <c r="A152" s="296" t="s">
        <v>44</v>
      </c>
      <c r="B152" s="296" t="s">
        <v>45</v>
      </c>
      <c r="C152" s="296" t="s">
        <v>70</v>
      </c>
      <c r="D152" s="296" t="s">
        <v>71</v>
      </c>
      <c r="E152" s="317" t="s">
        <v>5147</v>
      </c>
      <c r="F152" s="296" t="s">
        <v>5148</v>
      </c>
      <c r="G152" s="301" t="s">
        <v>5165</v>
      </c>
      <c r="H152" s="301" t="s">
        <v>5173</v>
      </c>
    </row>
    <row r="153" spans="1:8">
      <c r="A153" s="296" t="s">
        <v>44</v>
      </c>
      <c r="B153" s="296" t="s">
        <v>45</v>
      </c>
      <c r="C153" s="296" t="s">
        <v>72</v>
      </c>
      <c r="D153" s="296" t="s">
        <v>73</v>
      </c>
      <c r="E153" s="317" t="s">
        <v>5147</v>
      </c>
      <c r="F153" s="296" t="s">
        <v>5148</v>
      </c>
      <c r="G153" s="301" t="s">
        <v>5165</v>
      </c>
      <c r="H153" s="301" t="s">
        <v>5173</v>
      </c>
    </row>
    <row r="154" spans="1:8">
      <c r="A154" s="296" t="s">
        <v>44</v>
      </c>
      <c r="B154" s="296" t="s">
        <v>45</v>
      </c>
      <c r="C154" s="296" t="s">
        <v>75</v>
      </c>
      <c r="D154" s="296" t="s">
        <v>76</v>
      </c>
      <c r="E154" s="317" t="s">
        <v>5147</v>
      </c>
      <c r="F154" s="296" t="s">
        <v>5148</v>
      </c>
      <c r="G154" s="301" t="s">
        <v>5165</v>
      </c>
      <c r="H154" s="301" t="s">
        <v>5173</v>
      </c>
    </row>
    <row r="155" spans="1:8">
      <c r="A155" s="296" t="s">
        <v>44</v>
      </c>
      <c r="B155" s="296" t="s">
        <v>45</v>
      </c>
      <c r="C155" s="296" t="s">
        <v>678</v>
      </c>
      <c r="D155" s="296" t="s">
        <v>679</v>
      </c>
      <c r="E155" s="317" t="s">
        <v>5147</v>
      </c>
      <c r="F155" s="296" t="s">
        <v>5148</v>
      </c>
      <c r="G155" s="301" t="s">
        <v>5165</v>
      </c>
      <c r="H155" s="301" t="s">
        <v>5173</v>
      </c>
    </row>
    <row r="156" spans="1:8">
      <c r="A156" s="296" t="s">
        <v>44</v>
      </c>
      <c r="B156" s="296" t="s">
        <v>45</v>
      </c>
      <c r="C156" s="296" t="s">
        <v>1873</v>
      </c>
      <c r="D156" s="296" t="s">
        <v>933</v>
      </c>
      <c r="E156" s="317" t="s">
        <v>5147</v>
      </c>
      <c r="F156" s="296" t="s">
        <v>5148</v>
      </c>
      <c r="G156" s="301" t="s">
        <v>5165</v>
      </c>
      <c r="H156" s="301" t="s">
        <v>5173</v>
      </c>
    </row>
    <row r="157" spans="1:8">
      <c r="A157" s="296" t="s">
        <v>44</v>
      </c>
      <c r="B157" s="296" t="s">
        <v>45</v>
      </c>
      <c r="C157" s="296" t="s">
        <v>934</v>
      </c>
      <c r="D157" s="296" t="s">
        <v>935</v>
      </c>
      <c r="E157" s="317" t="s">
        <v>5147</v>
      </c>
      <c r="F157" s="296" t="s">
        <v>5148</v>
      </c>
      <c r="G157" s="301" t="s">
        <v>5165</v>
      </c>
      <c r="H157" s="301" t="s">
        <v>5173</v>
      </c>
    </row>
    <row r="158" spans="1:8">
      <c r="A158" s="296" t="s">
        <v>44</v>
      </c>
      <c r="B158" s="296" t="s">
        <v>45</v>
      </c>
      <c r="C158" s="296" t="s">
        <v>680</v>
      </c>
      <c r="D158" s="296" t="s">
        <v>681</v>
      </c>
      <c r="E158" s="317" t="s">
        <v>5147</v>
      </c>
      <c r="F158" s="296" t="s">
        <v>5148</v>
      </c>
      <c r="G158" s="301" t="s">
        <v>5165</v>
      </c>
      <c r="H158" s="301" t="s">
        <v>5173</v>
      </c>
    </row>
    <row r="159" spans="1:8">
      <c r="A159" s="296" t="s">
        <v>44</v>
      </c>
      <c r="B159" s="296" t="s">
        <v>45</v>
      </c>
      <c r="C159" s="296" t="s">
        <v>672</v>
      </c>
      <c r="D159" s="296" t="s">
        <v>673</v>
      </c>
      <c r="E159" s="317" t="s">
        <v>5147</v>
      </c>
      <c r="F159" s="296" t="s">
        <v>5148</v>
      </c>
      <c r="G159" s="301" t="s">
        <v>5165</v>
      </c>
      <c r="H159" s="301" t="s">
        <v>5173</v>
      </c>
    </row>
    <row r="160" spans="1:8">
      <c r="A160" s="296" t="s">
        <v>44</v>
      </c>
      <c r="B160" s="296" t="s">
        <v>45</v>
      </c>
      <c r="C160" s="296" t="s">
        <v>92</v>
      </c>
      <c r="D160" s="296" t="s">
        <v>1737</v>
      </c>
      <c r="E160" s="317" t="s">
        <v>5147</v>
      </c>
      <c r="F160" s="296" t="s">
        <v>5148</v>
      </c>
      <c r="G160" s="301" t="s">
        <v>5165</v>
      </c>
      <c r="H160" s="301" t="s">
        <v>5173</v>
      </c>
    </row>
    <row r="161" spans="1:8">
      <c r="A161" s="296" t="s">
        <v>44</v>
      </c>
      <c r="B161" s="296" t="s">
        <v>45</v>
      </c>
      <c r="C161" s="296" t="s">
        <v>117</v>
      </c>
      <c r="D161" s="296" t="s">
        <v>1738</v>
      </c>
      <c r="E161" s="317" t="s">
        <v>5147</v>
      </c>
      <c r="F161" s="296" t="s">
        <v>5148</v>
      </c>
      <c r="G161" s="301" t="s">
        <v>5165</v>
      </c>
      <c r="H161" s="301" t="s">
        <v>5173</v>
      </c>
    </row>
    <row r="162" spans="1:8">
      <c r="A162" s="296" t="s">
        <v>44</v>
      </c>
      <c r="B162" s="296" t="s">
        <v>45</v>
      </c>
      <c r="C162" s="296" t="s">
        <v>1908</v>
      </c>
      <c r="D162" s="296" t="s">
        <v>1909</v>
      </c>
      <c r="E162" s="317" t="s">
        <v>5147</v>
      </c>
      <c r="F162" s="296" t="s">
        <v>5148</v>
      </c>
      <c r="G162" s="301" t="s">
        <v>5165</v>
      </c>
      <c r="H162" s="301" t="s">
        <v>5173</v>
      </c>
    </row>
    <row r="163" spans="1:8">
      <c r="A163" s="296" t="s">
        <v>44</v>
      </c>
      <c r="B163" s="296" t="s">
        <v>45</v>
      </c>
      <c r="C163" s="296" t="s">
        <v>124</v>
      </c>
      <c r="D163" s="296" t="s">
        <v>1739</v>
      </c>
      <c r="E163" s="317" t="s">
        <v>5147</v>
      </c>
      <c r="F163" s="296" t="s">
        <v>5148</v>
      </c>
      <c r="G163" s="301" t="s">
        <v>5165</v>
      </c>
      <c r="H163" s="301" t="s">
        <v>5173</v>
      </c>
    </row>
    <row r="164" spans="1:8">
      <c r="A164" s="296" t="s">
        <v>44</v>
      </c>
      <c r="B164" s="296" t="s">
        <v>45</v>
      </c>
      <c r="C164" s="296" t="s">
        <v>130</v>
      </c>
      <c r="D164" s="296" t="s">
        <v>1740</v>
      </c>
      <c r="E164" s="317" t="s">
        <v>5147</v>
      </c>
      <c r="F164" s="296" t="s">
        <v>5148</v>
      </c>
      <c r="G164" s="301" t="s">
        <v>5165</v>
      </c>
      <c r="H164" s="301" t="s">
        <v>5173</v>
      </c>
    </row>
    <row r="165" spans="1:8">
      <c r="A165" s="296" t="s">
        <v>44</v>
      </c>
      <c r="B165" s="296" t="s">
        <v>45</v>
      </c>
      <c r="C165" s="296" t="s">
        <v>132</v>
      </c>
      <c r="D165" s="296" t="s">
        <v>1741</v>
      </c>
      <c r="E165" s="317" t="s">
        <v>5147</v>
      </c>
      <c r="F165" s="296" t="s">
        <v>5148</v>
      </c>
      <c r="G165" s="301" t="s">
        <v>5165</v>
      </c>
      <c r="H165" s="301" t="s">
        <v>5173</v>
      </c>
    </row>
    <row r="166" spans="1:8">
      <c r="A166" s="296" t="s">
        <v>44</v>
      </c>
      <c r="B166" s="296" t="s">
        <v>45</v>
      </c>
      <c r="C166" s="296" t="s">
        <v>134</v>
      </c>
      <c r="D166" s="296" t="s">
        <v>1910</v>
      </c>
      <c r="E166" s="317" t="s">
        <v>5147</v>
      </c>
      <c r="F166" s="296" t="s">
        <v>5148</v>
      </c>
      <c r="G166" s="301" t="s">
        <v>5165</v>
      </c>
      <c r="H166" s="301" t="s">
        <v>5173</v>
      </c>
    </row>
    <row r="167" spans="1:8">
      <c r="A167" s="296" t="s">
        <v>44</v>
      </c>
      <c r="B167" s="296" t="s">
        <v>45</v>
      </c>
      <c r="C167" s="296" t="s">
        <v>138</v>
      </c>
      <c r="D167" s="296" t="s">
        <v>1911</v>
      </c>
      <c r="E167" s="317" t="s">
        <v>5147</v>
      </c>
      <c r="F167" s="296" t="s">
        <v>5148</v>
      </c>
      <c r="G167" s="301" t="s">
        <v>5165</v>
      </c>
      <c r="H167" s="301" t="s">
        <v>5173</v>
      </c>
    </row>
    <row r="168" spans="1:8">
      <c r="A168" s="296" t="s">
        <v>44</v>
      </c>
      <c r="B168" s="296" t="s">
        <v>45</v>
      </c>
      <c r="C168" s="296" t="s">
        <v>1655</v>
      </c>
      <c r="D168" s="296" t="s">
        <v>1656</v>
      </c>
      <c r="E168" s="317" t="s">
        <v>5147</v>
      </c>
      <c r="F168" s="296" t="s">
        <v>5148</v>
      </c>
      <c r="G168" s="301" t="s">
        <v>5165</v>
      </c>
      <c r="H168" s="301" t="s">
        <v>5173</v>
      </c>
    </row>
    <row r="169" spans="1:8">
      <c r="A169" s="296" t="s">
        <v>44</v>
      </c>
      <c r="B169" s="296" t="s">
        <v>45</v>
      </c>
      <c r="C169" s="296" t="s">
        <v>142</v>
      </c>
      <c r="D169" s="296" t="s">
        <v>143</v>
      </c>
      <c r="E169" s="317" t="s">
        <v>5147</v>
      </c>
      <c r="F169" s="296" t="s">
        <v>5148</v>
      </c>
      <c r="G169" s="301" t="s">
        <v>5165</v>
      </c>
      <c r="H169" s="301" t="s">
        <v>5173</v>
      </c>
    </row>
    <row r="170" spans="1:8">
      <c r="A170" s="296" t="s">
        <v>44</v>
      </c>
      <c r="B170" s="296" t="s">
        <v>45</v>
      </c>
      <c r="C170" s="296" t="s">
        <v>142</v>
      </c>
      <c r="D170" s="296" t="s">
        <v>143</v>
      </c>
      <c r="E170" s="317" t="s">
        <v>5157</v>
      </c>
      <c r="F170" s="296" t="s">
        <v>5158</v>
      </c>
      <c r="G170" s="301" t="s">
        <v>5165</v>
      </c>
      <c r="H170" s="301" t="s">
        <v>5178</v>
      </c>
    </row>
    <row r="171" spans="1:8">
      <c r="A171" s="296" t="s">
        <v>44</v>
      </c>
      <c r="B171" s="296" t="s">
        <v>45</v>
      </c>
      <c r="C171" s="296" t="s">
        <v>144</v>
      </c>
      <c r="D171" s="296" t="s">
        <v>1742</v>
      </c>
      <c r="E171" s="317" t="s">
        <v>5147</v>
      </c>
      <c r="F171" s="296" t="s">
        <v>5148</v>
      </c>
      <c r="G171" s="301" t="s">
        <v>5165</v>
      </c>
      <c r="H171" s="301" t="s">
        <v>5173</v>
      </c>
    </row>
    <row r="172" spans="1:8">
      <c r="A172" s="296" t="s">
        <v>44</v>
      </c>
      <c r="B172" s="296" t="s">
        <v>45</v>
      </c>
      <c r="C172" s="296" t="s">
        <v>145</v>
      </c>
      <c r="D172" s="296" t="s">
        <v>1234</v>
      </c>
      <c r="E172" s="317" t="s">
        <v>5147</v>
      </c>
      <c r="F172" s="296" t="s">
        <v>5148</v>
      </c>
      <c r="G172" s="301" t="s">
        <v>5165</v>
      </c>
      <c r="H172" s="301" t="s">
        <v>5173</v>
      </c>
    </row>
    <row r="173" spans="1:8">
      <c r="A173" s="296" t="s">
        <v>44</v>
      </c>
      <c r="B173" s="296" t="s">
        <v>45</v>
      </c>
      <c r="C173" s="296" t="s">
        <v>174</v>
      </c>
      <c r="D173" s="296" t="s">
        <v>1235</v>
      </c>
      <c r="E173" s="317" t="s">
        <v>5147</v>
      </c>
      <c r="F173" s="296" t="s">
        <v>5148</v>
      </c>
      <c r="G173" s="301" t="s">
        <v>5165</v>
      </c>
      <c r="H173" s="301" t="s">
        <v>5173</v>
      </c>
    </row>
    <row r="174" spans="1:8">
      <c r="A174" s="296" t="s">
        <v>44</v>
      </c>
      <c r="B174" s="296" t="s">
        <v>45</v>
      </c>
      <c r="C174" s="296" t="s">
        <v>177</v>
      </c>
      <c r="D174" s="296" t="s">
        <v>1236</v>
      </c>
      <c r="E174" s="317" t="s">
        <v>5147</v>
      </c>
      <c r="F174" s="296" t="s">
        <v>5148</v>
      </c>
      <c r="G174" s="301" t="s">
        <v>5165</v>
      </c>
      <c r="H174" s="301" t="s">
        <v>5173</v>
      </c>
    </row>
    <row r="175" spans="1:8">
      <c r="A175" s="296" t="s">
        <v>44</v>
      </c>
      <c r="B175" s="296" t="s">
        <v>45</v>
      </c>
      <c r="C175" s="296" t="s">
        <v>180</v>
      </c>
      <c r="D175" s="296" t="s">
        <v>1237</v>
      </c>
      <c r="E175" s="317" t="s">
        <v>5147</v>
      </c>
      <c r="F175" s="296" t="s">
        <v>5148</v>
      </c>
      <c r="G175" s="301" t="s">
        <v>5165</v>
      </c>
      <c r="H175" s="301" t="s">
        <v>5173</v>
      </c>
    </row>
    <row r="176" spans="1:8">
      <c r="A176" s="296" t="s">
        <v>44</v>
      </c>
      <c r="B176" s="296" t="s">
        <v>45</v>
      </c>
      <c r="C176" s="296" t="s">
        <v>184</v>
      </c>
      <c r="D176" s="296" t="s">
        <v>1238</v>
      </c>
      <c r="E176" s="317" t="s">
        <v>5147</v>
      </c>
      <c r="F176" s="296" t="s">
        <v>5148</v>
      </c>
      <c r="G176" s="301" t="s">
        <v>5165</v>
      </c>
      <c r="H176" s="301" t="s">
        <v>5173</v>
      </c>
    </row>
    <row r="177" spans="1:8">
      <c r="A177" s="296" t="s">
        <v>44</v>
      </c>
      <c r="B177" s="296" t="s">
        <v>45</v>
      </c>
      <c r="C177" s="296" t="s">
        <v>185</v>
      </c>
      <c r="D177" s="296" t="s">
        <v>1239</v>
      </c>
      <c r="E177" s="317" t="s">
        <v>5147</v>
      </c>
      <c r="F177" s="296" t="s">
        <v>5148</v>
      </c>
      <c r="G177" s="301" t="s">
        <v>5165</v>
      </c>
      <c r="H177" s="301" t="s">
        <v>5173</v>
      </c>
    </row>
    <row r="178" spans="1:8">
      <c r="A178" s="296" t="s">
        <v>44</v>
      </c>
      <c r="B178" s="296" t="s">
        <v>45</v>
      </c>
      <c r="C178" s="296" t="s">
        <v>187</v>
      </c>
      <c r="D178" s="296" t="s">
        <v>1240</v>
      </c>
      <c r="E178" s="317" t="s">
        <v>5147</v>
      </c>
      <c r="F178" s="296" t="s">
        <v>5148</v>
      </c>
      <c r="G178" s="301" t="s">
        <v>5165</v>
      </c>
      <c r="H178" s="301" t="s">
        <v>5173</v>
      </c>
    </row>
    <row r="179" spans="1:8">
      <c r="A179" s="296" t="s">
        <v>44</v>
      </c>
      <c r="B179" s="296" t="s">
        <v>45</v>
      </c>
      <c r="C179" s="296" t="s">
        <v>193</v>
      </c>
      <c r="D179" s="296" t="s">
        <v>1241</v>
      </c>
      <c r="E179" s="317" t="s">
        <v>5147</v>
      </c>
      <c r="F179" s="296" t="s">
        <v>5148</v>
      </c>
      <c r="G179" s="301" t="s">
        <v>5165</v>
      </c>
      <c r="H179" s="301" t="s">
        <v>5173</v>
      </c>
    </row>
    <row r="180" spans="1:8">
      <c r="A180" s="296" t="s">
        <v>44</v>
      </c>
      <c r="B180" s="296" t="s">
        <v>45</v>
      </c>
      <c r="C180" s="296" t="s">
        <v>194</v>
      </c>
      <c r="D180" s="296" t="s">
        <v>1242</v>
      </c>
      <c r="E180" s="317" t="s">
        <v>5147</v>
      </c>
      <c r="F180" s="296" t="s">
        <v>5148</v>
      </c>
      <c r="G180" s="301" t="s">
        <v>5165</v>
      </c>
      <c r="H180" s="301" t="s">
        <v>5173</v>
      </c>
    </row>
    <row r="181" spans="1:8">
      <c r="A181" s="296" t="s">
        <v>44</v>
      </c>
      <c r="B181" s="296" t="s">
        <v>45</v>
      </c>
      <c r="C181" s="296" t="s">
        <v>1912</v>
      </c>
      <c r="D181" s="296" t="s">
        <v>1913</v>
      </c>
      <c r="E181" s="317" t="s">
        <v>5147</v>
      </c>
      <c r="F181" s="296" t="s">
        <v>5148</v>
      </c>
      <c r="G181" s="301" t="s">
        <v>5165</v>
      </c>
      <c r="H181" s="301" t="s">
        <v>5173</v>
      </c>
    </row>
    <row r="182" spans="1:8">
      <c r="A182" s="296" t="s">
        <v>44</v>
      </c>
      <c r="B182" s="296" t="s">
        <v>45</v>
      </c>
      <c r="C182" s="296" t="s">
        <v>670</v>
      </c>
      <c r="D182" s="296" t="s">
        <v>671</v>
      </c>
      <c r="E182" s="317" t="s">
        <v>5147</v>
      </c>
      <c r="F182" s="296" t="s">
        <v>5148</v>
      </c>
      <c r="G182" s="301" t="s">
        <v>5165</v>
      </c>
      <c r="H182" s="301" t="s">
        <v>5173</v>
      </c>
    </row>
    <row r="183" spans="1:8">
      <c r="A183" s="296" t="s">
        <v>44</v>
      </c>
      <c r="B183" s="296" t="s">
        <v>45</v>
      </c>
      <c r="C183" s="296" t="s">
        <v>1657</v>
      </c>
      <c r="D183" s="296" t="s">
        <v>1914</v>
      </c>
      <c r="E183" s="317" t="s">
        <v>5147</v>
      </c>
      <c r="F183" s="296" t="s">
        <v>5148</v>
      </c>
      <c r="G183" s="301" t="s">
        <v>5165</v>
      </c>
      <c r="H183" s="301" t="s">
        <v>5173</v>
      </c>
    </row>
    <row r="184" spans="1:8">
      <c r="A184" s="296" t="s">
        <v>44</v>
      </c>
      <c r="B184" s="296" t="s">
        <v>45</v>
      </c>
      <c r="C184" s="296" t="s">
        <v>1744</v>
      </c>
      <c r="D184" s="296" t="s">
        <v>1915</v>
      </c>
      <c r="E184" s="317" t="s">
        <v>5147</v>
      </c>
      <c r="F184" s="296" t="s">
        <v>5148</v>
      </c>
      <c r="G184" s="301" t="s">
        <v>5165</v>
      </c>
      <c r="H184" s="301" t="s">
        <v>5173</v>
      </c>
    </row>
    <row r="185" spans="1:8">
      <c r="A185" s="296" t="s">
        <v>44</v>
      </c>
      <c r="B185" s="296" t="s">
        <v>45</v>
      </c>
      <c r="C185" s="296" t="s">
        <v>1916</v>
      </c>
      <c r="D185" s="296" t="s">
        <v>1917</v>
      </c>
      <c r="E185" s="317" t="s">
        <v>5147</v>
      </c>
      <c r="F185" s="296" t="s">
        <v>5148</v>
      </c>
      <c r="G185" s="301" t="s">
        <v>5165</v>
      </c>
      <c r="H185" s="301" t="s">
        <v>5173</v>
      </c>
    </row>
    <row r="186" spans="1:8">
      <c r="A186" s="296" t="s">
        <v>44</v>
      </c>
      <c r="B186" s="296" t="s">
        <v>45</v>
      </c>
      <c r="C186" s="296" t="s">
        <v>1918</v>
      </c>
      <c r="D186" s="296" t="s">
        <v>1919</v>
      </c>
      <c r="E186" s="317" t="s">
        <v>5147</v>
      </c>
      <c r="F186" s="296" t="s">
        <v>5148</v>
      </c>
      <c r="G186" s="301" t="s">
        <v>5165</v>
      </c>
      <c r="H186" s="301" t="s">
        <v>5173</v>
      </c>
    </row>
    <row r="187" spans="1:8">
      <c r="A187" s="296" t="s">
        <v>44</v>
      </c>
      <c r="B187" s="296" t="s">
        <v>45</v>
      </c>
      <c r="C187" s="296" t="s">
        <v>3484</v>
      </c>
      <c r="D187" s="296" t="s">
        <v>3485</v>
      </c>
      <c r="E187" s="317" t="s">
        <v>5147</v>
      </c>
      <c r="F187" s="296" t="s">
        <v>5148</v>
      </c>
      <c r="G187" s="301" t="s">
        <v>5165</v>
      </c>
      <c r="H187" s="301" t="s">
        <v>5173</v>
      </c>
    </row>
    <row r="188" spans="1:8">
      <c r="A188" s="296" t="s">
        <v>44</v>
      </c>
      <c r="B188" s="296" t="s">
        <v>45</v>
      </c>
      <c r="C188" s="296" t="s">
        <v>676</v>
      </c>
      <c r="D188" s="296" t="s">
        <v>677</v>
      </c>
      <c r="E188" s="317" t="s">
        <v>5147</v>
      </c>
      <c r="F188" s="296" t="s">
        <v>5148</v>
      </c>
      <c r="G188" s="301" t="s">
        <v>5165</v>
      </c>
      <c r="H188" s="301" t="s">
        <v>5173</v>
      </c>
    </row>
    <row r="189" spans="1:8">
      <c r="A189" s="296" t="s">
        <v>44</v>
      </c>
      <c r="B189" s="296" t="s">
        <v>45</v>
      </c>
      <c r="C189" s="296" t="s">
        <v>233</v>
      </c>
      <c r="D189" s="296" t="s">
        <v>1652</v>
      </c>
      <c r="E189" s="317" t="s">
        <v>5147</v>
      </c>
      <c r="F189" s="296" t="s">
        <v>5148</v>
      </c>
      <c r="G189" s="301" t="s">
        <v>5165</v>
      </c>
      <c r="H189" s="301" t="s">
        <v>5173</v>
      </c>
    </row>
    <row r="190" spans="1:8">
      <c r="A190" s="296" t="s">
        <v>44</v>
      </c>
      <c r="B190" s="296" t="s">
        <v>45</v>
      </c>
      <c r="C190" s="296" t="s">
        <v>683</v>
      </c>
      <c r="D190" s="296" t="s">
        <v>684</v>
      </c>
      <c r="E190" s="317" t="s">
        <v>5147</v>
      </c>
      <c r="F190" s="296" t="s">
        <v>5148</v>
      </c>
      <c r="G190" s="301" t="s">
        <v>5165</v>
      </c>
      <c r="H190" s="301" t="s">
        <v>5173</v>
      </c>
    </row>
    <row r="191" spans="1:8">
      <c r="A191" s="296" t="s">
        <v>44</v>
      </c>
      <c r="B191" s="296" t="s">
        <v>45</v>
      </c>
      <c r="C191" s="296" t="s">
        <v>1998</v>
      </c>
      <c r="D191" s="296" t="s">
        <v>1992</v>
      </c>
      <c r="E191" s="317" t="s">
        <v>5147</v>
      </c>
      <c r="F191" s="296" t="s">
        <v>5148</v>
      </c>
      <c r="G191" s="301" t="s">
        <v>5165</v>
      </c>
      <c r="H191" s="301" t="s">
        <v>5173</v>
      </c>
    </row>
    <row r="192" spans="1:8">
      <c r="A192" s="296" t="s">
        <v>44</v>
      </c>
      <c r="B192" s="296" t="s">
        <v>45</v>
      </c>
      <c r="C192" s="296" t="s">
        <v>1999</v>
      </c>
      <c r="D192" s="296" t="s">
        <v>3473</v>
      </c>
      <c r="E192" s="317" t="s">
        <v>5147</v>
      </c>
      <c r="F192" s="296" t="s">
        <v>5148</v>
      </c>
      <c r="G192" s="301" t="s">
        <v>5165</v>
      </c>
      <c r="H192" s="301" t="s">
        <v>5173</v>
      </c>
    </row>
    <row r="193" spans="1:8">
      <c r="A193" s="296" t="s">
        <v>44</v>
      </c>
      <c r="B193" s="296" t="s">
        <v>45</v>
      </c>
      <c r="C193" s="296" t="s">
        <v>3486</v>
      </c>
      <c r="D193" s="296" t="s">
        <v>3487</v>
      </c>
      <c r="E193" s="317" t="s">
        <v>5147</v>
      </c>
      <c r="F193" s="296" t="s">
        <v>5148</v>
      </c>
      <c r="G193" s="301" t="s">
        <v>5165</v>
      </c>
      <c r="H193" s="301" t="s">
        <v>5173</v>
      </c>
    </row>
    <row r="194" spans="1:8">
      <c r="A194" s="296" t="s">
        <v>536</v>
      </c>
      <c r="B194" s="296" t="s">
        <v>936</v>
      </c>
      <c r="C194" s="296" t="s">
        <v>687</v>
      </c>
      <c r="D194" s="296" t="s">
        <v>688</v>
      </c>
      <c r="E194" s="317" t="s">
        <v>5141</v>
      </c>
      <c r="F194" s="296" t="s">
        <v>5142</v>
      </c>
      <c r="G194" s="301" t="s">
        <v>5167</v>
      </c>
      <c r="H194" s="301" t="s">
        <v>5168</v>
      </c>
    </row>
    <row r="195" spans="1:8">
      <c r="A195" s="296" t="s">
        <v>536</v>
      </c>
      <c r="B195" s="296" t="s">
        <v>936</v>
      </c>
      <c r="C195" s="296" t="s">
        <v>689</v>
      </c>
      <c r="D195" s="296" t="s">
        <v>690</v>
      </c>
      <c r="E195" s="317" t="s">
        <v>5141</v>
      </c>
      <c r="F195" s="296" t="s">
        <v>5142</v>
      </c>
      <c r="G195" s="301" t="s">
        <v>5167</v>
      </c>
      <c r="H195" s="301" t="s">
        <v>5168</v>
      </c>
    </row>
    <row r="196" spans="1:8">
      <c r="A196" s="296" t="s">
        <v>536</v>
      </c>
      <c r="B196" s="296" t="s">
        <v>936</v>
      </c>
      <c r="C196" s="296" t="s">
        <v>937</v>
      </c>
      <c r="D196" s="296" t="s">
        <v>938</v>
      </c>
      <c r="E196" s="317" t="s">
        <v>5141</v>
      </c>
      <c r="F196" s="296" t="s">
        <v>5142</v>
      </c>
      <c r="G196" s="301" t="s">
        <v>5167</v>
      </c>
      <c r="H196" s="301" t="s">
        <v>5168</v>
      </c>
    </row>
    <row r="197" spans="1:8">
      <c r="A197" s="296" t="s">
        <v>536</v>
      </c>
      <c r="B197" s="296" t="s">
        <v>936</v>
      </c>
      <c r="C197" s="296" t="s">
        <v>691</v>
      </c>
      <c r="D197" s="296" t="s">
        <v>692</v>
      </c>
      <c r="E197" s="317" t="s">
        <v>5141</v>
      </c>
      <c r="F197" s="296" t="s">
        <v>5142</v>
      </c>
      <c r="G197" s="301" t="s">
        <v>5167</v>
      </c>
      <c r="H197" s="301" t="s">
        <v>5168</v>
      </c>
    </row>
    <row r="198" spans="1:8">
      <c r="A198" s="296" t="s">
        <v>536</v>
      </c>
      <c r="B198" s="296" t="s">
        <v>936</v>
      </c>
      <c r="C198" s="296" t="s">
        <v>939</v>
      </c>
      <c r="D198" s="296" t="s">
        <v>933</v>
      </c>
      <c r="E198" s="317" t="s">
        <v>5141</v>
      </c>
      <c r="F198" s="296" t="s">
        <v>5142</v>
      </c>
      <c r="G198" s="301" t="s">
        <v>5167</v>
      </c>
      <c r="H198" s="301" t="s">
        <v>5168</v>
      </c>
    </row>
    <row r="199" spans="1:8">
      <c r="A199" s="296" t="s">
        <v>536</v>
      </c>
      <c r="B199" s="296" t="s">
        <v>936</v>
      </c>
      <c r="C199" s="296" t="s">
        <v>693</v>
      </c>
      <c r="D199" s="296" t="s">
        <v>1743</v>
      </c>
      <c r="E199" s="317" t="s">
        <v>5141</v>
      </c>
      <c r="F199" s="296" t="s">
        <v>5142</v>
      </c>
      <c r="G199" s="301" t="s">
        <v>5167</v>
      </c>
      <c r="H199" s="301" t="s">
        <v>5168</v>
      </c>
    </row>
    <row r="200" spans="1:8">
      <c r="A200" s="296" t="s">
        <v>536</v>
      </c>
      <c r="B200" s="296" t="s">
        <v>936</v>
      </c>
      <c r="C200" s="296" t="s">
        <v>694</v>
      </c>
      <c r="D200" s="296" t="s">
        <v>1243</v>
      </c>
      <c r="E200" s="317" t="s">
        <v>5141</v>
      </c>
      <c r="F200" s="296" t="s">
        <v>5142</v>
      </c>
      <c r="G200" s="301" t="s">
        <v>5167</v>
      </c>
      <c r="H200" s="301" t="s">
        <v>5168</v>
      </c>
    </row>
    <row r="201" spans="1:8">
      <c r="A201" s="296" t="s">
        <v>536</v>
      </c>
      <c r="B201" s="296" t="s">
        <v>936</v>
      </c>
      <c r="C201" s="296" t="s">
        <v>695</v>
      </c>
      <c r="D201" s="296" t="s">
        <v>696</v>
      </c>
      <c r="E201" s="317" t="s">
        <v>5141</v>
      </c>
      <c r="F201" s="296" t="s">
        <v>5142</v>
      </c>
      <c r="G201" s="301" t="s">
        <v>5167</v>
      </c>
      <c r="H201" s="301" t="s">
        <v>5168</v>
      </c>
    </row>
    <row r="202" spans="1:8">
      <c r="A202" s="296" t="s">
        <v>536</v>
      </c>
      <c r="B202" s="296" t="s">
        <v>936</v>
      </c>
      <c r="C202" s="296" t="s">
        <v>697</v>
      </c>
      <c r="D202" s="296" t="s">
        <v>682</v>
      </c>
      <c r="E202" s="317" t="s">
        <v>5141</v>
      </c>
      <c r="F202" s="296" t="s">
        <v>5142</v>
      </c>
      <c r="G202" s="301" t="s">
        <v>5167</v>
      </c>
      <c r="H202" s="301" t="s">
        <v>5168</v>
      </c>
    </row>
    <row r="203" spans="1:8">
      <c r="A203" s="296" t="s">
        <v>536</v>
      </c>
      <c r="B203" s="296" t="s">
        <v>936</v>
      </c>
      <c r="C203" s="296" t="s">
        <v>1991</v>
      </c>
      <c r="D203" s="296" t="s">
        <v>1992</v>
      </c>
      <c r="E203" s="317" t="s">
        <v>5141</v>
      </c>
      <c r="F203" s="296" t="s">
        <v>5142</v>
      </c>
      <c r="G203" s="301" t="s">
        <v>5167</v>
      </c>
      <c r="H203" s="301" t="s">
        <v>5168</v>
      </c>
    </row>
    <row r="204" spans="1:8">
      <c r="A204" s="296" t="s">
        <v>536</v>
      </c>
      <c r="B204" s="296" t="s">
        <v>936</v>
      </c>
      <c r="C204" s="296" t="s">
        <v>1993</v>
      </c>
      <c r="D204" s="296" t="s">
        <v>3473</v>
      </c>
      <c r="E204" s="317" t="s">
        <v>5141</v>
      </c>
      <c r="F204" s="296" t="s">
        <v>5142</v>
      </c>
      <c r="G204" s="301" t="s">
        <v>5167</v>
      </c>
      <c r="H204" s="301" t="s">
        <v>5168</v>
      </c>
    </row>
    <row r="205" spans="1:8">
      <c r="A205" s="296" t="s">
        <v>536</v>
      </c>
      <c r="B205" s="296" t="s">
        <v>936</v>
      </c>
      <c r="C205" s="296" t="s">
        <v>3488</v>
      </c>
      <c r="D205" s="296" t="s">
        <v>3489</v>
      </c>
      <c r="E205" s="317" t="s">
        <v>5141</v>
      </c>
      <c r="F205" s="296" t="s">
        <v>5142</v>
      </c>
      <c r="G205" s="301" t="s">
        <v>5167</v>
      </c>
      <c r="H205" s="301" t="s">
        <v>5168</v>
      </c>
    </row>
    <row r="206" spans="1:8">
      <c r="A206" s="296" t="s">
        <v>964</v>
      </c>
      <c r="B206" s="296" t="s">
        <v>965</v>
      </c>
      <c r="C206" s="296" t="s">
        <v>966</v>
      </c>
      <c r="D206" s="296" t="s">
        <v>967</v>
      </c>
      <c r="E206" s="317" t="s">
        <v>5141</v>
      </c>
      <c r="F206" s="296" t="s">
        <v>5142</v>
      </c>
      <c r="G206" s="301" t="s">
        <v>5167</v>
      </c>
      <c r="H206" s="301" t="s">
        <v>5168</v>
      </c>
    </row>
    <row r="207" spans="1:8">
      <c r="A207" s="296" t="s">
        <v>964</v>
      </c>
      <c r="B207" s="296" t="s">
        <v>965</v>
      </c>
      <c r="C207" s="296" t="s">
        <v>968</v>
      </c>
      <c r="D207" s="296" t="s">
        <v>3490</v>
      </c>
      <c r="E207" s="317" t="s">
        <v>5141</v>
      </c>
      <c r="F207" s="296" t="s">
        <v>5142</v>
      </c>
      <c r="G207" s="301" t="s">
        <v>5167</v>
      </c>
      <c r="H207" s="301" t="s">
        <v>5168</v>
      </c>
    </row>
    <row r="208" spans="1:8">
      <c r="A208" s="296" t="s">
        <v>969</v>
      </c>
      <c r="B208" s="296" t="s">
        <v>970</v>
      </c>
      <c r="C208" s="296" t="s">
        <v>971</v>
      </c>
      <c r="D208" s="296" t="s">
        <v>972</v>
      </c>
      <c r="E208" s="317" t="s">
        <v>5149</v>
      </c>
      <c r="F208" s="296" t="s">
        <v>5150</v>
      </c>
      <c r="G208" s="301" t="s">
        <v>5166</v>
      </c>
      <c r="H208" s="301" t="s">
        <v>5171</v>
      </c>
    </row>
    <row r="209" spans="1:8">
      <c r="A209" s="296" t="s">
        <v>969</v>
      </c>
      <c r="B209" s="296" t="s">
        <v>970</v>
      </c>
      <c r="C209" s="296" t="s">
        <v>973</v>
      </c>
      <c r="D209" s="296" t="s">
        <v>974</v>
      </c>
      <c r="E209" s="317" t="s">
        <v>5149</v>
      </c>
      <c r="F209" s="296" t="s">
        <v>5150</v>
      </c>
      <c r="G209" s="301" t="s">
        <v>5166</v>
      </c>
      <c r="H209" s="301" t="s">
        <v>5171</v>
      </c>
    </row>
    <row r="210" spans="1:8">
      <c r="A210" s="296" t="s">
        <v>969</v>
      </c>
      <c r="B210" s="296" t="s">
        <v>970</v>
      </c>
      <c r="C210" s="296" t="s">
        <v>975</v>
      </c>
      <c r="D210" s="296" t="s">
        <v>1244</v>
      </c>
      <c r="E210" s="317" t="s">
        <v>5149</v>
      </c>
      <c r="F210" s="296" t="s">
        <v>5150</v>
      </c>
      <c r="G210" s="301" t="s">
        <v>5166</v>
      </c>
      <c r="H210" s="301" t="s">
        <v>5171</v>
      </c>
    </row>
    <row r="211" spans="1:8">
      <c r="A211" s="296" t="s">
        <v>969</v>
      </c>
      <c r="B211" s="296" t="s">
        <v>970</v>
      </c>
      <c r="C211" s="296" t="s">
        <v>976</v>
      </c>
      <c r="D211" s="296" t="s">
        <v>977</v>
      </c>
      <c r="E211" s="317" t="s">
        <v>5149</v>
      </c>
      <c r="F211" s="296" t="s">
        <v>5150</v>
      </c>
      <c r="G211" s="301" t="s">
        <v>5166</v>
      </c>
      <c r="H211" s="301" t="s">
        <v>5171</v>
      </c>
    </row>
    <row r="212" spans="1:8">
      <c r="A212" s="296" t="s">
        <v>978</v>
      </c>
      <c r="B212" s="296" t="s">
        <v>979</v>
      </c>
      <c r="C212" s="296" t="s">
        <v>980</v>
      </c>
      <c r="D212" s="296" t="s">
        <v>981</v>
      </c>
      <c r="E212" s="317" t="s">
        <v>5161</v>
      </c>
      <c r="F212" s="296" t="s">
        <v>5162</v>
      </c>
      <c r="G212" s="301" t="s">
        <v>5167</v>
      </c>
      <c r="H212" s="301" t="s">
        <v>5179</v>
      </c>
    </row>
    <row r="213" spans="1:8">
      <c r="A213" s="296" t="s">
        <v>978</v>
      </c>
      <c r="B213" s="296" t="s">
        <v>979</v>
      </c>
      <c r="C213" s="296" t="s">
        <v>982</v>
      </c>
      <c r="D213" s="296" t="s">
        <v>983</v>
      </c>
      <c r="E213" s="317" t="s">
        <v>5161</v>
      </c>
      <c r="F213" s="296" t="s">
        <v>5162</v>
      </c>
      <c r="G213" s="301" t="s">
        <v>5167</v>
      </c>
      <c r="H213" s="301" t="s">
        <v>5179</v>
      </c>
    </row>
    <row r="214" spans="1:8">
      <c r="A214" s="296" t="s">
        <v>978</v>
      </c>
      <c r="B214" s="296" t="s">
        <v>979</v>
      </c>
      <c r="C214" s="296" t="s">
        <v>984</v>
      </c>
      <c r="D214" s="296" t="s">
        <v>985</v>
      </c>
      <c r="E214" s="317" t="s">
        <v>5163</v>
      </c>
      <c r="F214" s="296" t="s">
        <v>5164</v>
      </c>
      <c r="G214" s="301" t="s">
        <v>5169</v>
      </c>
      <c r="H214" s="301" t="s">
        <v>5170</v>
      </c>
    </row>
    <row r="215" spans="1:8">
      <c r="A215" s="296" t="s">
        <v>978</v>
      </c>
      <c r="B215" s="296" t="s">
        <v>979</v>
      </c>
      <c r="C215" s="296" t="s">
        <v>986</v>
      </c>
      <c r="D215" s="296" t="s">
        <v>987</v>
      </c>
      <c r="E215" s="317" t="s">
        <v>5161</v>
      </c>
      <c r="F215" s="296" t="s">
        <v>5162</v>
      </c>
      <c r="G215" s="301" t="s">
        <v>5167</v>
      </c>
      <c r="H215" s="301" t="s">
        <v>5179</v>
      </c>
    </row>
    <row r="216" spans="1:8">
      <c r="A216" s="296" t="s">
        <v>978</v>
      </c>
      <c r="B216" s="296" t="s">
        <v>979</v>
      </c>
      <c r="C216" s="296" t="s">
        <v>988</v>
      </c>
      <c r="D216" s="296" t="s">
        <v>989</v>
      </c>
      <c r="E216" s="317" t="s">
        <v>5161</v>
      </c>
      <c r="F216" s="296" t="s">
        <v>5162</v>
      </c>
      <c r="G216" s="301" t="s">
        <v>5167</v>
      </c>
      <c r="H216" s="301" t="s">
        <v>5179</v>
      </c>
    </row>
    <row r="217" spans="1:8">
      <c r="A217" s="296" t="s">
        <v>978</v>
      </c>
      <c r="B217" s="296" t="s">
        <v>979</v>
      </c>
      <c r="C217" s="296" t="s">
        <v>990</v>
      </c>
      <c r="D217" s="296" t="s">
        <v>991</v>
      </c>
      <c r="E217" s="317" t="s">
        <v>5161</v>
      </c>
      <c r="F217" s="296" t="s">
        <v>5162</v>
      </c>
      <c r="G217" s="301" t="s">
        <v>5167</v>
      </c>
      <c r="H217" s="301" t="s">
        <v>5179</v>
      </c>
    </row>
    <row r="218" spans="1:8">
      <c r="A218" s="296" t="s">
        <v>978</v>
      </c>
      <c r="B218" s="296" t="s">
        <v>979</v>
      </c>
      <c r="C218" s="296" t="s">
        <v>992</v>
      </c>
      <c r="D218" s="296" t="s">
        <v>993</v>
      </c>
      <c r="E218" s="317" t="s">
        <v>5161</v>
      </c>
      <c r="F218" s="296" t="s">
        <v>5162</v>
      </c>
      <c r="G218" s="301" t="s">
        <v>5167</v>
      </c>
      <c r="H218" s="301" t="s">
        <v>5179</v>
      </c>
    </row>
    <row r="219" spans="1:8">
      <c r="A219" s="296" t="s">
        <v>978</v>
      </c>
      <c r="B219" s="296" t="s">
        <v>979</v>
      </c>
      <c r="C219" s="296" t="s">
        <v>992</v>
      </c>
      <c r="D219" s="296" t="s">
        <v>993</v>
      </c>
      <c r="E219" s="317" t="s">
        <v>5143</v>
      </c>
      <c r="F219" s="296" t="s">
        <v>5144</v>
      </c>
      <c r="G219" s="301" t="s">
        <v>5165</v>
      </c>
      <c r="H219" s="301" t="s">
        <v>5175</v>
      </c>
    </row>
    <row r="220" spans="1:8">
      <c r="A220" s="296" t="s">
        <v>978</v>
      </c>
      <c r="B220" s="296" t="s">
        <v>979</v>
      </c>
      <c r="C220" s="296" t="s">
        <v>1658</v>
      </c>
      <c r="D220" s="296" t="s">
        <v>1659</v>
      </c>
      <c r="E220" s="317" t="s">
        <v>5161</v>
      </c>
      <c r="F220" s="296" t="s">
        <v>5162</v>
      </c>
      <c r="G220" s="301" t="s">
        <v>5167</v>
      </c>
      <c r="H220" s="301" t="s">
        <v>5179</v>
      </c>
    </row>
    <row r="221" spans="1:8">
      <c r="A221" s="296" t="s">
        <v>978</v>
      </c>
      <c r="B221" s="296" t="s">
        <v>979</v>
      </c>
      <c r="C221" s="296" t="s">
        <v>3491</v>
      </c>
      <c r="D221" s="296" t="s">
        <v>3492</v>
      </c>
      <c r="E221" s="317" t="s">
        <v>5161</v>
      </c>
      <c r="F221" s="296" t="s">
        <v>5162</v>
      </c>
      <c r="G221" s="301" t="s">
        <v>5167</v>
      </c>
      <c r="H221" s="301" t="s">
        <v>5179</v>
      </c>
    </row>
    <row r="222" spans="1:8">
      <c r="A222" s="296" t="s">
        <v>978</v>
      </c>
      <c r="B222" s="296" t="s">
        <v>979</v>
      </c>
      <c r="C222" s="296" t="s">
        <v>994</v>
      </c>
      <c r="D222" s="296" t="s">
        <v>995</v>
      </c>
      <c r="E222" s="317" t="s">
        <v>5161</v>
      </c>
      <c r="F222" s="296" t="s">
        <v>5162</v>
      </c>
      <c r="G222" s="301" t="s">
        <v>5167</v>
      </c>
      <c r="H222" s="301" t="s">
        <v>5179</v>
      </c>
    </row>
    <row r="223" spans="1:8">
      <c r="A223" s="296" t="s">
        <v>978</v>
      </c>
      <c r="B223" s="296" t="s">
        <v>979</v>
      </c>
      <c r="C223" s="296" t="s">
        <v>996</v>
      </c>
      <c r="D223" s="296" t="s">
        <v>997</v>
      </c>
      <c r="E223" s="317" t="s">
        <v>5161</v>
      </c>
      <c r="F223" s="296" t="s">
        <v>5162</v>
      </c>
      <c r="G223" s="301" t="s">
        <v>5167</v>
      </c>
      <c r="H223" s="301" t="s">
        <v>5179</v>
      </c>
    </row>
    <row r="224" spans="1:8">
      <c r="A224" s="296" t="s">
        <v>978</v>
      </c>
      <c r="B224" s="296" t="s">
        <v>979</v>
      </c>
      <c r="C224" s="296" t="s">
        <v>998</v>
      </c>
      <c r="D224" s="296" t="s">
        <v>999</v>
      </c>
      <c r="E224" s="317" t="s">
        <v>5143</v>
      </c>
      <c r="F224" s="296" t="s">
        <v>5144</v>
      </c>
      <c r="G224" s="301" t="s">
        <v>5165</v>
      </c>
      <c r="H224" s="301" t="s">
        <v>5175</v>
      </c>
    </row>
    <row r="225" spans="1:8">
      <c r="A225" s="296" t="s">
        <v>978</v>
      </c>
      <c r="B225" s="296" t="s">
        <v>979</v>
      </c>
      <c r="C225" s="296" t="s">
        <v>1000</v>
      </c>
      <c r="D225" s="296" t="s">
        <v>1001</v>
      </c>
      <c r="E225" s="317" t="s">
        <v>5143</v>
      </c>
      <c r="F225" s="296" t="s">
        <v>5144</v>
      </c>
      <c r="G225" s="301" t="s">
        <v>5165</v>
      </c>
      <c r="H225" s="301" t="s">
        <v>5175</v>
      </c>
    </row>
    <row r="226" spans="1:8">
      <c r="A226" s="296" t="s">
        <v>978</v>
      </c>
      <c r="B226" s="296" t="s">
        <v>979</v>
      </c>
      <c r="C226" s="296" t="s">
        <v>3493</v>
      </c>
      <c r="D226" s="296" t="s">
        <v>3494</v>
      </c>
      <c r="E226" s="317" t="s">
        <v>5161</v>
      </c>
      <c r="F226" s="296" t="s">
        <v>5162</v>
      </c>
      <c r="G226" s="301" t="s">
        <v>5167</v>
      </c>
      <c r="H226" s="301" t="s">
        <v>5179</v>
      </c>
    </row>
    <row r="227" spans="1:8">
      <c r="A227" s="296" t="s">
        <v>1002</v>
      </c>
      <c r="B227" s="296" t="s">
        <v>1003</v>
      </c>
      <c r="C227" s="296" t="s">
        <v>1004</v>
      </c>
      <c r="D227" s="296" t="s">
        <v>1005</v>
      </c>
      <c r="E227" s="317" t="s">
        <v>5141</v>
      </c>
      <c r="F227" s="296" t="s">
        <v>5142</v>
      </c>
      <c r="G227" s="301" t="s">
        <v>5167</v>
      </c>
      <c r="H227" s="301" t="s">
        <v>5168</v>
      </c>
    </row>
    <row r="228" spans="1:8">
      <c r="A228" s="296" t="s">
        <v>1002</v>
      </c>
      <c r="B228" s="296" t="s">
        <v>1003</v>
      </c>
      <c r="C228" s="296" t="s">
        <v>1006</v>
      </c>
      <c r="D228" s="296" t="s">
        <v>1246</v>
      </c>
      <c r="E228" s="317" t="s">
        <v>5141</v>
      </c>
      <c r="F228" s="296" t="s">
        <v>5142</v>
      </c>
      <c r="G228" s="301" t="s">
        <v>5167</v>
      </c>
      <c r="H228" s="301" t="s">
        <v>5168</v>
      </c>
    </row>
    <row r="229" spans="1:8">
      <c r="A229" s="296" t="s">
        <v>1007</v>
      </c>
      <c r="B229" s="296" t="s">
        <v>1008</v>
      </c>
      <c r="C229" s="296" t="s">
        <v>1009</v>
      </c>
      <c r="D229" s="296" t="s">
        <v>1010</v>
      </c>
      <c r="E229" s="317" t="s">
        <v>5161</v>
      </c>
      <c r="F229" s="296" t="s">
        <v>5162</v>
      </c>
      <c r="G229" s="301" t="s">
        <v>5167</v>
      </c>
      <c r="H229" s="301" t="s">
        <v>5179</v>
      </c>
    </row>
    <row r="230" spans="1:8">
      <c r="A230" s="296" t="s">
        <v>1007</v>
      </c>
      <c r="B230" s="296" t="s">
        <v>1008</v>
      </c>
      <c r="C230" s="296" t="s">
        <v>1011</v>
      </c>
      <c r="D230" s="296" t="s">
        <v>1245</v>
      </c>
      <c r="E230" s="317" t="s">
        <v>5161</v>
      </c>
      <c r="F230" s="296" t="s">
        <v>5162</v>
      </c>
      <c r="G230" s="301" t="s">
        <v>5167</v>
      </c>
      <c r="H230" s="301" t="s">
        <v>5179</v>
      </c>
    </row>
    <row r="231" spans="1:8">
      <c r="A231" s="296" t="s">
        <v>1007</v>
      </c>
      <c r="B231" s="296" t="s">
        <v>1008</v>
      </c>
      <c r="C231" s="296" t="s">
        <v>1012</v>
      </c>
      <c r="D231" s="296" t="s">
        <v>1013</v>
      </c>
      <c r="E231" s="317" t="s">
        <v>5161</v>
      </c>
      <c r="F231" s="296" t="s">
        <v>5162</v>
      </c>
      <c r="G231" s="301" t="s">
        <v>5167</v>
      </c>
      <c r="H231" s="301" t="s">
        <v>5179</v>
      </c>
    </row>
    <row r="232" spans="1:8">
      <c r="A232" s="296" t="s">
        <v>1007</v>
      </c>
      <c r="B232" s="296" t="s">
        <v>1008</v>
      </c>
      <c r="C232" s="296" t="s">
        <v>1014</v>
      </c>
      <c r="D232" s="296" t="s">
        <v>1247</v>
      </c>
      <c r="E232" s="317" t="s">
        <v>5161</v>
      </c>
      <c r="F232" s="296" t="s">
        <v>5162</v>
      </c>
      <c r="G232" s="301" t="s">
        <v>5167</v>
      </c>
      <c r="H232" s="301" t="s">
        <v>5179</v>
      </c>
    </row>
    <row r="233" spans="1:8">
      <c r="A233" s="296" t="s">
        <v>1007</v>
      </c>
      <c r="B233" s="296" t="s">
        <v>1008</v>
      </c>
      <c r="C233" s="296" t="s">
        <v>1015</v>
      </c>
      <c r="D233" s="296" t="s">
        <v>1016</v>
      </c>
      <c r="E233" s="317" t="s">
        <v>5161</v>
      </c>
      <c r="F233" s="296" t="s">
        <v>5162</v>
      </c>
      <c r="G233" s="301" t="s">
        <v>5167</v>
      </c>
      <c r="H233" s="301" t="s">
        <v>5179</v>
      </c>
    </row>
    <row r="234" spans="1:8">
      <c r="A234" s="296" t="s">
        <v>1007</v>
      </c>
      <c r="B234" s="296" t="s">
        <v>1008</v>
      </c>
      <c r="C234" s="296" t="s">
        <v>3495</v>
      </c>
      <c r="D234" s="296" t="s">
        <v>3496</v>
      </c>
      <c r="E234" s="317" t="s">
        <v>5161</v>
      </c>
      <c r="F234" s="296" t="s">
        <v>5162</v>
      </c>
      <c r="G234" s="301" t="s">
        <v>5167</v>
      </c>
      <c r="H234" s="301" t="s">
        <v>5179</v>
      </c>
    </row>
    <row r="235" spans="1:8">
      <c r="A235" s="296" t="s">
        <v>1017</v>
      </c>
      <c r="B235" s="296" t="s">
        <v>1018</v>
      </c>
      <c r="C235" s="296" t="s">
        <v>1019</v>
      </c>
      <c r="D235" s="296" t="s">
        <v>1020</v>
      </c>
      <c r="E235" s="317" t="s">
        <v>5143</v>
      </c>
      <c r="F235" s="296" t="s">
        <v>5144</v>
      </c>
      <c r="G235" s="301" t="s">
        <v>5165</v>
      </c>
      <c r="H235" s="301" t="s">
        <v>5175</v>
      </c>
    </row>
    <row r="236" spans="1:8">
      <c r="A236" s="296" t="s">
        <v>1017</v>
      </c>
      <c r="B236" s="296" t="s">
        <v>1018</v>
      </c>
      <c r="C236" s="296" t="s">
        <v>1021</v>
      </c>
      <c r="D236" s="296" t="s">
        <v>1022</v>
      </c>
      <c r="E236" s="317" t="s">
        <v>5143</v>
      </c>
      <c r="F236" s="296" t="s">
        <v>5144</v>
      </c>
      <c r="G236" s="301" t="s">
        <v>5165</v>
      </c>
      <c r="H236" s="301" t="s">
        <v>5175</v>
      </c>
    </row>
    <row r="237" spans="1:8">
      <c r="A237" s="296" t="s">
        <v>1017</v>
      </c>
      <c r="B237" s="296" t="s">
        <v>1018</v>
      </c>
      <c r="C237" s="296" t="s">
        <v>1023</v>
      </c>
      <c r="D237" s="296" t="s">
        <v>1024</v>
      </c>
      <c r="E237" s="317" t="s">
        <v>5143</v>
      </c>
      <c r="F237" s="296" t="s">
        <v>5144</v>
      </c>
      <c r="G237" s="301" t="s">
        <v>5165</v>
      </c>
      <c r="H237" s="301" t="s">
        <v>5175</v>
      </c>
    </row>
    <row r="238" spans="1:8">
      <c r="A238" s="296" t="s">
        <v>1017</v>
      </c>
      <c r="B238" s="296" t="s">
        <v>1018</v>
      </c>
      <c r="C238" s="296" t="s">
        <v>1025</v>
      </c>
      <c r="D238" s="296" t="s">
        <v>1026</v>
      </c>
      <c r="E238" s="317" t="s">
        <v>5143</v>
      </c>
      <c r="F238" s="296" t="s">
        <v>5144</v>
      </c>
      <c r="G238" s="301" t="s">
        <v>5165</v>
      </c>
      <c r="H238" s="301" t="s">
        <v>5175</v>
      </c>
    </row>
    <row r="239" spans="1:8">
      <c r="A239" s="296" t="s">
        <v>1017</v>
      </c>
      <c r="B239" s="296" t="s">
        <v>1018</v>
      </c>
      <c r="C239" s="296" t="s">
        <v>1660</v>
      </c>
      <c r="D239" s="296" t="s">
        <v>1661</v>
      </c>
      <c r="E239" s="317" t="s">
        <v>5143</v>
      </c>
      <c r="F239" s="296" t="s">
        <v>5144</v>
      </c>
      <c r="G239" s="301" t="s">
        <v>5165</v>
      </c>
      <c r="H239" s="301" t="s">
        <v>5175</v>
      </c>
    </row>
    <row r="240" spans="1:8">
      <c r="A240" s="296" t="s">
        <v>1017</v>
      </c>
      <c r="B240" s="296" t="s">
        <v>1018</v>
      </c>
      <c r="C240" s="296" t="s">
        <v>1027</v>
      </c>
      <c r="D240" s="296" t="s">
        <v>1028</v>
      </c>
      <c r="E240" s="317" t="s">
        <v>5143</v>
      </c>
      <c r="F240" s="296" t="s">
        <v>5144</v>
      </c>
      <c r="G240" s="301" t="s">
        <v>5165</v>
      </c>
      <c r="H240" s="301" t="s">
        <v>5175</v>
      </c>
    </row>
    <row r="241" spans="1:8">
      <c r="A241" s="296" t="s">
        <v>1017</v>
      </c>
      <c r="B241" s="296" t="s">
        <v>1018</v>
      </c>
      <c r="C241" s="296" t="s">
        <v>2004</v>
      </c>
      <c r="D241" s="296" t="s">
        <v>3497</v>
      </c>
      <c r="E241" s="317" t="s">
        <v>5143</v>
      </c>
      <c r="F241" s="296" t="s">
        <v>5144</v>
      </c>
      <c r="G241" s="301" t="s">
        <v>5165</v>
      </c>
      <c r="H241" s="301" t="s">
        <v>5175</v>
      </c>
    </row>
    <row r="242" spans="1:8">
      <c r="A242" s="296" t="s">
        <v>1017</v>
      </c>
      <c r="B242" s="296" t="s">
        <v>1018</v>
      </c>
      <c r="C242" s="296" t="s">
        <v>1662</v>
      </c>
      <c r="D242" s="296" t="s">
        <v>684</v>
      </c>
      <c r="E242" s="317" t="s">
        <v>5143</v>
      </c>
      <c r="F242" s="296" t="s">
        <v>5144</v>
      </c>
      <c r="G242" s="301" t="s">
        <v>5165</v>
      </c>
      <c r="H242" s="301" t="s">
        <v>5175</v>
      </c>
    </row>
    <row r="243" spans="1:8">
      <c r="A243" s="296" t="s">
        <v>1029</v>
      </c>
      <c r="B243" s="296" t="s">
        <v>1030</v>
      </c>
      <c r="C243" s="296" t="s">
        <v>1031</v>
      </c>
      <c r="D243" s="296" t="s">
        <v>1032</v>
      </c>
      <c r="E243" s="317" t="s">
        <v>5147</v>
      </c>
      <c r="F243" s="296" t="s">
        <v>5148</v>
      </c>
      <c r="G243" s="301" t="s">
        <v>5165</v>
      </c>
      <c r="H243" s="301" t="s">
        <v>5173</v>
      </c>
    </row>
    <row r="244" spans="1:8">
      <c r="A244" s="296" t="s">
        <v>1029</v>
      </c>
      <c r="B244" s="296" t="s">
        <v>1030</v>
      </c>
      <c r="C244" s="296" t="s">
        <v>1033</v>
      </c>
      <c r="D244" s="296" t="s">
        <v>1034</v>
      </c>
      <c r="E244" s="317" t="s">
        <v>5141</v>
      </c>
      <c r="F244" s="296" t="s">
        <v>5142</v>
      </c>
      <c r="G244" s="301" t="s">
        <v>5167</v>
      </c>
      <c r="H244" s="301" t="s">
        <v>5168</v>
      </c>
    </row>
    <row r="245" spans="1:8">
      <c r="A245" s="296" t="s">
        <v>1029</v>
      </c>
      <c r="B245" s="296" t="s">
        <v>1030</v>
      </c>
      <c r="C245" s="296" t="s">
        <v>1033</v>
      </c>
      <c r="D245" s="296" t="s">
        <v>1034</v>
      </c>
      <c r="E245" s="317" t="s">
        <v>5147</v>
      </c>
      <c r="F245" s="296" t="s">
        <v>5148</v>
      </c>
      <c r="G245" s="301" t="s">
        <v>5165</v>
      </c>
      <c r="H245" s="301" t="s">
        <v>5173</v>
      </c>
    </row>
    <row r="246" spans="1:8">
      <c r="A246" s="296" t="s">
        <v>1029</v>
      </c>
      <c r="B246" s="296" t="s">
        <v>1030</v>
      </c>
      <c r="C246" s="296" t="s">
        <v>1035</v>
      </c>
      <c r="D246" s="296" t="s">
        <v>1036</v>
      </c>
      <c r="E246" s="317" t="s">
        <v>5147</v>
      </c>
      <c r="F246" s="296" t="s">
        <v>5148</v>
      </c>
      <c r="G246" s="301" t="s">
        <v>5165</v>
      </c>
      <c r="H246" s="301" t="s">
        <v>5173</v>
      </c>
    </row>
    <row r="247" spans="1:8">
      <c r="A247" s="296" t="s">
        <v>1029</v>
      </c>
      <c r="B247" s="296" t="s">
        <v>1030</v>
      </c>
      <c r="C247" s="296" t="s">
        <v>1037</v>
      </c>
      <c r="D247" s="296" t="s">
        <v>1038</v>
      </c>
      <c r="E247" s="317" t="s">
        <v>5147</v>
      </c>
      <c r="F247" s="296" t="s">
        <v>5148</v>
      </c>
      <c r="G247" s="301" t="s">
        <v>5165</v>
      </c>
      <c r="H247" s="301" t="s">
        <v>5173</v>
      </c>
    </row>
    <row r="248" spans="1:8">
      <c r="A248" s="296" t="s">
        <v>1029</v>
      </c>
      <c r="B248" s="296" t="s">
        <v>1030</v>
      </c>
      <c r="C248" s="296" t="s">
        <v>1039</v>
      </c>
      <c r="D248" s="296" t="s">
        <v>1040</v>
      </c>
      <c r="E248" s="317" t="s">
        <v>5147</v>
      </c>
      <c r="F248" s="296" t="s">
        <v>5148</v>
      </c>
      <c r="G248" s="301" t="s">
        <v>5165</v>
      </c>
      <c r="H248" s="301" t="s">
        <v>5173</v>
      </c>
    </row>
    <row r="249" spans="1:8">
      <c r="A249" s="296" t="s">
        <v>1029</v>
      </c>
      <c r="B249" s="296" t="s">
        <v>1030</v>
      </c>
      <c r="C249" s="296" t="s">
        <v>1041</v>
      </c>
      <c r="D249" s="296" t="s">
        <v>1042</v>
      </c>
      <c r="E249" s="317" t="s">
        <v>5147</v>
      </c>
      <c r="F249" s="296" t="s">
        <v>5148</v>
      </c>
      <c r="G249" s="301" t="s">
        <v>5165</v>
      </c>
      <c r="H249" s="301" t="s">
        <v>5173</v>
      </c>
    </row>
    <row r="250" spans="1:8">
      <c r="A250" s="296" t="s">
        <v>1029</v>
      </c>
      <c r="B250" s="296" t="s">
        <v>1030</v>
      </c>
      <c r="C250" s="296" t="s">
        <v>1043</v>
      </c>
      <c r="D250" s="296" t="s">
        <v>1044</v>
      </c>
      <c r="E250" s="317" t="s">
        <v>5147</v>
      </c>
      <c r="F250" s="296" t="s">
        <v>5148</v>
      </c>
      <c r="G250" s="301" t="s">
        <v>5165</v>
      </c>
      <c r="H250" s="301" t="s">
        <v>5173</v>
      </c>
    </row>
    <row r="251" spans="1:8">
      <c r="A251" s="296" t="s">
        <v>1029</v>
      </c>
      <c r="B251" s="296" t="s">
        <v>1030</v>
      </c>
      <c r="C251" s="296" t="s">
        <v>1045</v>
      </c>
      <c r="D251" s="296" t="s">
        <v>1046</v>
      </c>
      <c r="E251" s="317" t="s">
        <v>5147</v>
      </c>
      <c r="F251" s="296" t="s">
        <v>5148</v>
      </c>
      <c r="G251" s="301" t="s">
        <v>5165</v>
      </c>
      <c r="H251" s="301" t="s">
        <v>5173</v>
      </c>
    </row>
    <row r="252" spans="1:8">
      <c r="A252" s="296" t="s">
        <v>1029</v>
      </c>
      <c r="B252" s="296" t="s">
        <v>1030</v>
      </c>
      <c r="C252" s="296" t="s">
        <v>1047</v>
      </c>
      <c r="D252" s="296" t="s">
        <v>1048</v>
      </c>
      <c r="E252" s="317" t="s">
        <v>5147</v>
      </c>
      <c r="F252" s="296" t="s">
        <v>5148</v>
      </c>
      <c r="G252" s="301" t="s">
        <v>5165</v>
      </c>
      <c r="H252" s="301" t="s">
        <v>5173</v>
      </c>
    </row>
    <row r="253" spans="1:8">
      <c r="A253" s="296" t="s">
        <v>1029</v>
      </c>
      <c r="B253" s="296" t="s">
        <v>1030</v>
      </c>
      <c r="C253" s="296" t="s">
        <v>1049</v>
      </c>
      <c r="D253" s="296" t="s">
        <v>1050</v>
      </c>
      <c r="E253" s="317" t="s">
        <v>5147</v>
      </c>
      <c r="F253" s="296" t="s">
        <v>5148</v>
      </c>
      <c r="G253" s="301" t="s">
        <v>5165</v>
      </c>
      <c r="H253" s="301" t="s">
        <v>5173</v>
      </c>
    </row>
    <row r="254" spans="1:8">
      <c r="A254" s="296" t="s">
        <v>1029</v>
      </c>
      <c r="B254" s="296" t="s">
        <v>1030</v>
      </c>
      <c r="C254" s="296" t="s">
        <v>1051</v>
      </c>
      <c r="D254" s="296" t="s">
        <v>1052</v>
      </c>
      <c r="E254" s="317" t="s">
        <v>5147</v>
      </c>
      <c r="F254" s="296" t="s">
        <v>5148</v>
      </c>
      <c r="G254" s="301" t="s">
        <v>5165</v>
      </c>
      <c r="H254" s="301" t="s">
        <v>5173</v>
      </c>
    </row>
    <row r="255" spans="1:8">
      <c r="A255" s="296" t="s">
        <v>1029</v>
      </c>
      <c r="B255" s="296" t="s">
        <v>1030</v>
      </c>
      <c r="C255" s="296" t="s">
        <v>1053</v>
      </c>
      <c r="D255" s="296" t="s">
        <v>1054</v>
      </c>
      <c r="E255" s="317" t="s">
        <v>5147</v>
      </c>
      <c r="F255" s="296" t="s">
        <v>5148</v>
      </c>
      <c r="G255" s="301" t="s">
        <v>5165</v>
      </c>
      <c r="H255" s="301" t="s">
        <v>5173</v>
      </c>
    </row>
    <row r="256" spans="1:8">
      <c r="A256" s="296" t="s">
        <v>1029</v>
      </c>
      <c r="B256" s="296" t="s">
        <v>1030</v>
      </c>
      <c r="C256" s="296" t="s">
        <v>1055</v>
      </c>
      <c r="D256" s="296" t="s">
        <v>1056</v>
      </c>
      <c r="E256" s="317" t="s">
        <v>5147</v>
      </c>
      <c r="F256" s="296" t="s">
        <v>5148</v>
      </c>
      <c r="G256" s="301" t="s">
        <v>5165</v>
      </c>
      <c r="H256" s="301" t="s">
        <v>5173</v>
      </c>
    </row>
    <row r="257" spans="1:8">
      <c r="A257" s="296" t="s">
        <v>1029</v>
      </c>
      <c r="B257" s="296" t="s">
        <v>1030</v>
      </c>
      <c r="C257" s="296" t="s">
        <v>1663</v>
      </c>
      <c r="D257" s="296" t="s">
        <v>1664</v>
      </c>
      <c r="E257" s="317" t="s">
        <v>5147</v>
      </c>
      <c r="F257" s="296" t="s">
        <v>5148</v>
      </c>
      <c r="G257" s="301" t="s">
        <v>5165</v>
      </c>
      <c r="H257" s="301" t="s">
        <v>5173</v>
      </c>
    </row>
    <row r="258" spans="1:8">
      <c r="A258" s="296" t="s">
        <v>1029</v>
      </c>
      <c r="B258" s="296" t="s">
        <v>1030</v>
      </c>
      <c r="C258" s="296" t="s">
        <v>1969</v>
      </c>
      <c r="D258" s="296" t="s">
        <v>1970</v>
      </c>
      <c r="E258" s="317" t="s">
        <v>5147</v>
      </c>
      <c r="F258" s="296" t="s">
        <v>5148</v>
      </c>
      <c r="G258" s="301" t="s">
        <v>5165</v>
      </c>
      <c r="H258" s="301" t="s">
        <v>5173</v>
      </c>
    </row>
    <row r="259" spans="1:8">
      <c r="A259" s="296" t="s">
        <v>1029</v>
      </c>
      <c r="B259" s="296" t="s">
        <v>1030</v>
      </c>
      <c r="C259" s="296" t="s">
        <v>3498</v>
      </c>
      <c r="D259" s="296" t="s">
        <v>3499</v>
      </c>
      <c r="E259" s="317" t="s">
        <v>5147</v>
      </c>
      <c r="F259" s="296" t="s">
        <v>5148</v>
      </c>
      <c r="G259" s="301" t="s">
        <v>5165</v>
      </c>
      <c r="H259" s="301" t="s">
        <v>5173</v>
      </c>
    </row>
    <row r="260" spans="1:8">
      <c r="A260" s="296" t="s">
        <v>1029</v>
      </c>
      <c r="B260" s="296" t="s">
        <v>1030</v>
      </c>
      <c r="C260" s="296" t="s">
        <v>3500</v>
      </c>
      <c r="D260" s="296" t="s">
        <v>3501</v>
      </c>
      <c r="E260" s="317" t="s">
        <v>5147</v>
      </c>
      <c r="F260" s="296" t="s">
        <v>5148</v>
      </c>
      <c r="G260" s="301" t="s">
        <v>5165</v>
      </c>
      <c r="H260" s="301" t="s">
        <v>5173</v>
      </c>
    </row>
    <row r="261" spans="1:8">
      <c r="A261" s="296" t="s">
        <v>1029</v>
      </c>
      <c r="B261" s="296" t="s">
        <v>1030</v>
      </c>
      <c r="C261" s="296" t="s">
        <v>1971</v>
      </c>
      <c r="D261" s="296" t="s">
        <v>1972</v>
      </c>
      <c r="E261" s="317" t="s">
        <v>5147</v>
      </c>
      <c r="F261" s="296" t="s">
        <v>5148</v>
      </c>
      <c r="G261" s="301" t="s">
        <v>5165</v>
      </c>
      <c r="H261" s="301" t="s">
        <v>5173</v>
      </c>
    </row>
    <row r="262" spans="1:8">
      <c r="A262" s="296" t="s">
        <v>1029</v>
      </c>
      <c r="B262" s="296" t="s">
        <v>1030</v>
      </c>
      <c r="C262" s="296" t="s">
        <v>1057</v>
      </c>
      <c r="D262" s="296" t="s">
        <v>1058</v>
      </c>
      <c r="E262" s="317" t="s">
        <v>5147</v>
      </c>
      <c r="F262" s="296" t="s">
        <v>5148</v>
      </c>
      <c r="G262" s="301" t="s">
        <v>5165</v>
      </c>
      <c r="H262" s="301" t="s">
        <v>5173</v>
      </c>
    </row>
    <row r="263" spans="1:8">
      <c r="A263" s="296" t="s">
        <v>1029</v>
      </c>
      <c r="B263" s="296" t="s">
        <v>1030</v>
      </c>
      <c r="C263" s="296" t="s">
        <v>1059</v>
      </c>
      <c r="D263" s="296" t="s">
        <v>1060</v>
      </c>
      <c r="E263" s="317" t="s">
        <v>5147</v>
      </c>
      <c r="F263" s="296" t="s">
        <v>5148</v>
      </c>
      <c r="G263" s="301" t="s">
        <v>5165</v>
      </c>
      <c r="H263" s="301" t="s">
        <v>5173</v>
      </c>
    </row>
    <row r="264" spans="1:8">
      <c r="A264" s="296" t="s">
        <v>1029</v>
      </c>
      <c r="B264" s="296" t="s">
        <v>1030</v>
      </c>
      <c r="C264" s="296" t="s">
        <v>1061</v>
      </c>
      <c r="D264" s="296" t="s">
        <v>684</v>
      </c>
      <c r="E264" s="317" t="s">
        <v>5147</v>
      </c>
      <c r="F264" s="296" t="s">
        <v>5148</v>
      </c>
      <c r="G264" s="301" t="s">
        <v>5165</v>
      </c>
      <c r="H264" s="301" t="s">
        <v>5173</v>
      </c>
    </row>
    <row r="265" spans="1:8">
      <c r="A265" s="296" t="s">
        <v>1062</v>
      </c>
      <c r="B265" s="296" t="s">
        <v>1063</v>
      </c>
      <c r="C265" s="296" t="s">
        <v>1064</v>
      </c>
      <c r="D265" s="296" t="s">
        <v>1065</v>
      </c>
      <c r="E265" s="317" t="s">
        <v>5143</v>
      </c>
      <c r="F265" s="296" t="s">
        <v>5144</v>
      </c>
      <c r="G265" s="301" t="s">
        <v>5165</v>
      </c>
      <c r="H265" s="301" t="s">
        <v>5175</v>
      </c>
    </row>
    <row r="266" spans="1:8">
      <c r="A266" s="296" t="s">
        <v>1062</v>
      </c>
      <c r="B266" s="296" t="s">
        <v>1063</v>
      </c>
      <c r="C266" s="296" t="s">
        <v>1066</v>
      </c>
      <c r="D266" s="296" t="s">
        <v>1665</v>
      </c>
      <c r="E266" s="317" t="s">
        <v>5143</v>
      </c>
      <c r="F266" s="296" t="s">
        <v>5144</v>
      </c>
      <c r="G266" s="301" t="s">
        <v>5165</v>
      </c>
      <c r="H266" s="301" t="s">
        <v>5175</v>
      </c>
    </row>
    <row r="267" spans="1:8">
      <c r="A267" s="296" t="s">
        <v>1062</v>
      </c>
      <c r="B267" s="296" t="s">
        <v>1063</v>
      </c>
      <c r="C267" s="296" t="s">
        <v>1067</v>
      </c>
      <c r="D267" s="296" t="s">
        <v>1068</v>
      </c>
      <c r="E267" s="317" t="s">
        <v>5143</v>
      </c>
      <c r="F267" s="296" t="s">
        <v>5144</v>
      </c>
      <c r="G267" s="301" t="s">
        <v>5165</v>
      </c>
      <c r="H267" s="301" t="s">
        <v>5175</v>
      </c>
    </row>
    <row r="268" spans="1:8">
      <c r="A268" s="296" t="s">
        <v>1062</v>
      </c>
      <c r="B268" s="296" t="s">
        <v>1063</v>
      </c>
      <c r="C268" s="296" t="s">
        <v>3502</v>
      </c>
      <c r="D268" s="296" t="s">
        <v>3503</v>
      </c>
      <c r="E268" s="317" t="s">
        <v>5143</v>
      </c>
      <c r="F268" s="296" t="s">
        <v>5144</v>
      </c>
      <c r="G268" s="301" t="s">
        <v>5165</v>
      </c>
      <c r="H268" s="301" t="s">
        <v>5175</v>
      </c>
    </row>
    <row r="269" spans="1:8">
      <c r="A269" s="296" t="s">
        <v>1062</v>
      </c>
      <c r="B269" s="296" t="s">
        <v>1063</v>
      </c>
      <c r="C269" s="296" t="s">
        <v>1069</v>
      </c>
      <c r="D269" s="296" t="s">
        <v>1070</v>
      </c>
      <c r="E269" s="317" t="s">
        <v>5143</v>
      </c>
      <c r="F269" s="296" t="s">
        <v>5144</v>
      </c>
      <c r="G269" s="301" t="s">
        <v>5165</v>
      </c>
      <c r="H269" s="301" t="s">
        <v>5175</v>
      </c>
    </row>
    <row r="270" spans="1:8">
      <c r="A270" s="296" t="s">
        <v>1062</v>
      </c>
      <c r="B270" s="296" t="s">
        <v>1063</v>
      </c>
      <c r="C270" s="296" t="s">
        <v>2009</v>
      </c>
      <c r="D270" s="296" t="s">
        <v>2010</v>
      </c>
      <c r="E270" s="317" t="s">
        <v>5143</v>
      </c>
      <c r="F270" s="296" t="s">
        <v>5144</v>
      </c>
      <c r="G270" s="301" t="s">
        <v>5165</v>
      </c>
      <c r="H270" s="301" t="s">
        <v>5175</v>
      </c>
    </row>
    <row r="271" spans="1:8">
      <c r="A271" s="296" t="s">
        <v>1062</v>
      </c>
      <c r="B271" s="296" t="s">
        <v>1063</v>
      </c>
      <c r="C271" s="296" t="s">
        <v>2011</v>
      </c>
      <c r="D271" s="296" t="s">
        <v>3504</v>
      </c>
      <c r="E271" s="317" t="s">
        <v>5143</v>
      </c>
      <c r="F271" s="296" t="s">
        <v>5144</v>
      </c>
      <c r="G271" s="301" t="s">
        <v>5165</v>
      </c>
      <c r="H271" s="301" t="s">
        <v>5175</v>
      </c>
    </row>
    <row r="272" spans="1:8">
      <c r="A272" s="296" t="s">
        <v>1071</v>
      </c>
      <c r="B272" s="296" t="s">
        <v>1072</v>
      </c>
      <c r="C272" s="296" t="s">
        <v>1073</v>
      </c>
      <c r="D272" s="296" t="s">
        <v>1074</v>
      </c>
      <c r="E272" s="317" t="s">
        <v>5143</v>
      </c>
      <c r="F272" s="296" t="s">
        <v>5144</v>
      </c>
      <c r="G272" s="301" t="s">
        <v>5165</v>
      </c>
      <c r="H272" s="301" t="s">
        <v>5175</v>
      </c>
    </row>
    <row r="273" spans="1:8">
      <c r="A273" s="296" t="s">
        <v>1071</v>
      </c>
      <c r="B273" s="296" t="s">
        <v>1072</v>
      </c>
      <c r="C273" s="296" t="s">
        <v>1075</v>
      </c>
      <c r="D273" s="296" t="s">
        <v>1076</v>
      </c>
      <c r="E273" s="317" t="s">
        <v>5143</v>
      </c>
      <c r="F273" s="296" t="s">
        <v>5144</v>
      </c>
      <c r="G273" s="301" t="s">
        <v>5165</v>
      </c>
      <c r="H273" s="301" t="s">
        <v>5175</v>
      </c>
    </row>
    <row r="274" spans="1:8">
      <c r="A274" s="296" t="s">
        <v>1071</v>
      </c>
      <c r="B274" s="296" t="s">
        <v>1072</v>
      </c>
      <c r="C274" s="296" t="s">
        <v>1077</v>
      </c>
      <c r="D274" s="296" t="s">
        <v>1078</v>
      </c>
      <c r="E274" s="317" t="s">
        <v>5143</v>
      </c>
      <c r="F274" s="296" t="s">
        <v>5144</v>
      </c>
      <c r="G274" s="301" t="s">
        <v>5165</v>
      </c>
      <c r="H274" s="301" t="s">
        <v>5175</v>
      </c>
    </row>
    <row r="275" spans="1:8">
      <c r="A275" s="296" t="s">
        <v>1071</v>
      </c>
      <c r="B275" s="296" t="s">
        <v>1072</v>
      </c>
      <c r="C275" s="296" t="s">
        <v>1079</v>
      </c>
      <c r="D275" s="296" t="s">
        <v>1080</v>
      </c>
      <c r="E275" s="317" t="s">
        <v>5143</v>
      </c>
      <c r="F275" s="296" t="s">
        <v>5144</v>
      </c>
      <c r="G275" s="301" t="s">
        <v>5165</v>
      </c>
      <c r="H275" s="301" t="s">
        <v>5175</v>
      </c>
    </row>
    <row r="276" spans="1:8">
      <c r="A276" s="296" t="s">
        <v>1071</v>
      </c>
      <c r="B276" s="296" t="s">
        <v>1072</v>
      </c>
      <c r="C276" s="296" t="s">
        <v>1081</v>
      </c>
      <c r="D276" s="296" t="s">
        <v>1082</v>
      </c>
      <c r="E276" s="317" t="s">
        <v>5143</v>
      </c>
      <c r="F276" s="296" t="s">
        <v>5144</v>
      </c>
      <c r="G276" s="301" t="s">
        <v>5165</v>
      </c>
      <c r="H276" s="301" t="s">
        <v>5175</v>
      </c>
    </row>
    <row r="277" spans="1:8">
      <c r="A277" s="296" t="s">
        <v>1071</v>
      </c>
      <c r="B277" s="296" t="s">
        <v>1072</v>
      </c>
      <c r="C277" s="296" t="s">
        <v>1083</v>
      </c>
      <c r="D277" s="296" t="s">
        <v>1084</v>
      </c>
      <c r="E277" s="317" t="s">
        <v>5143</v>
      </c>
      <c r="F277" s="296" t="s">
        <v>5144</v>
      </c>
      <c r="G277" s="301" t="s">
        <v>5165</v>
      </c>
      <c r="H277" s="301" t="s">
        <v>5175</v>
      </c>
    </row>
    <row r="278" spans="1:8">
      <c r="A278" s="296" t="s">
        <v>1071</v>
      </c>
      <c r="B278" s="296" t="s">
        <v>1072</v>
      </c>
      <c r="C278" s="296" t="s">
        <v>1085</v>
      </c>
      <c r="D278" s="296" t="s">
        <v>1086</v>
      </c>
      <c r="E278" s="317" t="s">
        <v>5143</v>
      </c>
      <c r="F278" s="296" t="s">
        <v>5144</v>
      </c>
      <c r="G278" s="301" t="s">
        <v>5165</v>
      </c>
      <c r="H278" s="301" t="s">
        <v>5175</v>
      </c>
    </row>
    <row r="279" spans="1:8">
      <c r="A279" s="296" t="s">
        <v>1071</v>
      </c>
      <c r="B279" s="296" t="s">
        <v>1072</v>
      </c>
      <c r="C279" s="296" t="s">
        <v>1087</v>
      </c>
      <c r="D279" s="296" t="s">
        <v>1088</v>
      </c>
      <c r="E279" s="317" t="s">
        <v>5143</v>
      </c>
      <c r="F279" s="296" t="s">
        <v>5144</v>
      </c>
      <c r="G279" s="301" t="s">
        <v>5165</v>
      </c>
      <c r="H279" s="301" t="s">
        <v>5175</v>
      </c>
    </row>
    <row r="280" spans="1:8">
      <c r="A280" s="296" t="s">
        <v>1071</v>
      </c>
      <c r="B280" s="296" t="s">
        <v>1072</v>
      </c>
      <c r="C280" s="296" t="s">
        <v>1089</v>
      </c>
      <c r="D280" s="296" t="s">
        <v>1090</v>
      </c>
      <c r="E280" s="317" t="s">
        <v>5143</v>
      </c>
      <c r="F280" s="296" t="s">
        <v>5144</v>
      </c>
      <c r="G280" s="301" t="s">
        <v>5165</v>
      </c>
      <c r="H280" s="301" t="s">
        <v>5175</v>
      </c>
    </row>
    <row r="281" spans="1:8">
      <c r="A281" s="296" t="s">
        <v>1071</v>
      </c>
      <c r="B281" s="296" t="s">
        <v>1072</v>
      </c>
      <c r="C281" s="296" t="s">
        <v>1091</v>
      </c>
      <c r="D281" s="296" t="s">
        <v>3505</v>
      </c>
      <c r="E281" s="317" t="s">
        <v>5143</v>
      </c>
      <c r="F281" s="296" t="s">
        <v>5144</v>
      </c>
      <c r="G281" s="301" t="s">
        <v>5165</v>
      </c>
      <c r="H281" s="301" t="s">
        <v>5175</v>
      </c>
    </row>
    <row r="282" spans="1:8">
      <c r="A282" s="296" t="s">
        <v>1071</v>
      </c>
      <c r="B282" s="296" t="s">
        <v>1072</v>
      </c>
      <c r="C282" s="296" t="s">
        <v>1092</v>
      </c>
      <c r="D282" s="296" t="s">
        <v>1666</v>
      </c>
      <c r="E282" s="317" t="s">
        <v>5143</v>
      </c>
      <c r="F282" s="296" t="s">
        <v>5144</v>
      </c>
      <c r="G282" s="301" t="s">
        <v>5165</v>
      </c>
      <c r="H282" s="301" t="s">
        <v>5175</v>
      </c>
    </row>
    <row r="283" spans="1:8">
      <c r="A283" s="296" t="s">
        <v>1071</v>
      </c>
      <c r="B283" s="296" t="s">
        <v>1072</v>
      </c>
      <c r="C283" s="296" t="s">
        <v>1093</v>
      </c>
      <c r="D283" s="296" t="s">
        <v>1667</v>
      </c>
      <c r="E283" s="317" t="s">
        <v>5143</v>
      </c>
      <c r="F283" s="296" t="s">
        <v>5144</v>
      </c>
      <c r="G283" s="301" t="s">
        <v>5165</v>
      </c>
      <c r="H283" s="301" t="s">
        <v>5175</v>
      </c>
    </row>
    <row r="284" spans="1:8">
      <c r="A284" s="296" t="s">
        <v>1071</v>
      </c>
      <c r="B284" s="296" t="s">
        <v>1072</v>
      </c>
      <c r="C284" s="296" t="s">
        <v>1094</v>
      </c>
      <c r="D284" s="296" t="s">
        <v>1668</v>
      </c>
      <c r="E284" s="317" t="s">
        <v>5143</v>
      </c>
      <c r="F284" s="296" t="s">
        <v>5144</v>
      </c>
      <c r="G284" s="301" t="s">
        <v>5165</v>
      </c>
      <c r="H284" s="301" t="s">
        <v>5175</v>
      </c>
    </row>
    <row r="285" spans="1:8">
      <c r="A285" s="296" t="s">
        <v>1071</v>
      </c>
      <c r="B285" s="296" t="s">
        <v>1072</v>
      </c>
      <c r="C285" s="296" t="s">
        <v>1095</v>
      </c>
      <c r="D285" s="296" t="s">
        <v>1096</v>
      </c>
      <c r="E285" s="317" t="s">
        <v>5143</v>
      </c>
      <c r="F285" s="296" t="s">
        <v>5144</v>
      </c>
      <c r="G285" s="301" t="s">
        <v>5165</v>
      </c>
      <c r="H285" s="301" t="s">
        <v>5175</v>
      </c>
    </row>
    <row r="286" spans="1:8">
      <c r="A286" s="296" t="s">
        <v>1071</v>
      </c>
      <c r="B286" s="296" t="s">
        <v>1072</v>
      </c>
      <c r="C286" s="296" t="s">
        <v>1097</v>
      </c>
      <c r="D286" s="296" t="s">
        <v>1669</v>
      </c>
      <c r="E286" s="317" t="s">
        <v>5143</v>
      </c>
      <c r="F286" s="296" t="s">
        <v>5144</v>
      </c>
      <c r="G286" s="301" t="s">
        <v>5165</v>
      </c>
      <c r="H286" s="301" t="s">
        <v>5175</v>
      </c>
    </row>
    <row r="287" spans="1:8">
      <c r="A287" s="296" t="s">
        <v>1071</v>
      </c>
      <c r="B287" s="296" t="s">
        <v>1072</v>
      </c>
      <c r="C287" s="296" t="s">
        <v>1098</v>
      </c>
      <c r="D287" s="296" t="s">
        <v>1670</v>
      </c>
      <c r="E287" s="317" t="s">
        <v>5143</v>
      </c>
      <c r="F287" s="296" t="s">
        <v>5144</v>
      </c>
      <c r="G287" s="301" t="s">
        <v>5165</v>
      </c>
      <c r="H287" s="301" t="s">
        <v>5175</v>
      </c>
    </row>
    <row r="288" spans="1:8">
      <c r="A288" s="296" t="s">
        <v>1071</v>
      </c>
      <c r="B288" s="296" t="s">
        <v>1072</v>
      </c>
      <c r="C288" s="296" t="s">
        <v>1099</v>
      </c>
      <c r="D288" s="296" t="s">
        <v>1100</v>
      </c>
      <c r="E288" s="317" t="s">
        <v>5143</v>
      </c>
      <c r="F288" s="296" t="s">
        <v>5144</v>
      </c>
      <c r="G288" s="301" t="s">
        <v>5165</v>
      </c>
      <c r="H288" s="301" t="s">
        <v>5175</v>
      </c>
    </row>
    <row r="289" spans="1:8">
      <c r="A289" s="296" t="s">
        <v>1071</v>
      </c>
      <c r="B289" s="296" t="s">
        <v>1072</v>
      </c>
      <c r="C289" s="296" t="s">
        <v>1101</v>
      </c>
      <c r="D289" s="296" t="s">
        <v>1102</v>
      </c>
      <c r="E289" s="317" t="s">
        <v>5143</v>
      </c>
      <c r="F289" s="296" t="s">
        <v>5144</v>
      </c>
      <c r="G289" s="301" t="s">
        <v>5165</v>
      </c>
      <c r="H289" s="301" t="s">
        <v>5175</v>
      </c>
    </row>
    <row r="290" spans="1:8">
      <c r="A290" s="296" t="s">
        <v>1071</v>
      </c>
      <c r="B290" s="296" t="s">
        <v>1072</v>
      </c>
      <c r="C290" s="296" t="s">
        <v>1957</v>
      </c>
      <c r="D290" s="296" t="s">
        <v>1958</v>
      </c>
      <c r="E290" s="317" t="s">
        <v>5143</v>
      </c>
      <c r="F290" s="296" t="s">
        <v>5144</v>
      </c>
      <c r="G290" s="301" t="s">
        <v>5165</v>
      </c>
      <c r="H290" s="301" t="s">
        <v>5175</v>
      </c>
    </row>
    <row r="291" spans="1:8">
      <c r="A291" s="296" t="s">
        <v>1071</v>
      </c>
      <c r="B291" s="296" t="s">
        <v>1072</v>
      </c>
      <c r="C291" s="296" t="s">
        <v>1959</v>
      </c>
      <c r="D291" s="296" t="s">
        <v>1960</v>
      </c>
      <c r="E291" s="317" t="s">
        <v>5143</v>
      </c>
      <c r="F291" s="296" t="s">
        <v>5144</v>
      </c>
      <c r="G291" s="301" t="s">
        <v>5165</v>
      </c>
      <c r="H291" s="301" t="s">
        <v>5175</v>
      </c>
    </row>
    <row r="292" spans="1:8">
      <c r="A292" s="296" t="s">
        <v>1071</v>
      </c>
      <c r="B292" s="296" t="s">
        <v>1072</v>
      </c>
      <c r="C292" s="296" t="s">
        <v>1961</v>
      </c>
      <c r="D292" s="296" t="s">
        <v>1962</v>
      </c>
      <c r="E292" s="317" t="s">
        <v>5143</v>
      </c>
      <c r="F292" s="296" t="s">
        <v>5144</v>
      </c>
      <c r="G292" s="301" t="s">
        <v>5165</v>
      </c>
      <c r="H292" s="301" t="s">
        <v>5175</v>
      </c>
    </row>
    <row r="293" spans="1:8">
      <c r="A293" s="296" t="s">
        <v>1071</v>
      </c>
      <c r="B293" s="296" t="s">
        <v>1072</v>
      </c>
      <c r="C293" s="296" t="s">
        <v>3506</v>
      </c>
      <c r="D293" s="296" t="s">
        <v>3507</v>
      </c>
      <c r="E293" s="317" t="s">
        <v>5143</v>
      </c>
      <c r="F293" s="296" t="s">
        <v>5144</v>
      </c>
      <c r="G293" s="301" t="s">
        <v>5165</v>
      </c>
      <c r="H293" s="301" t="s">
        <v>5175</v>
      </c>
    </row>
    <row r="294" spans="1:8">
      <c r="A294" s="296" t="s">
        <v>1071</v>
      </c>
      <c r="B294" s="296" t="s">
        <v>1072</v>
      </c>
      <c r="C294" s="296" t="s">
        <v>3508</v>
      </c>
      <c r="D294" s="296" t="s">
        <v>3509</v>
      </c>
      <c r="E294" s="317" t="s">
        <v>5143</v>
      </c>
      <c r="F294" s="296" t="s">
        <v>5144</v>
      </c>
      <c r="G294" s="301" t="s">
        <v>5165</v>
      </c>
      <c r="H294" s="301" t="s">
        <v>5175</v>
      </c>
    </row>
    <row r="295" spans="1:8">
      <c r="A295" s="296" t="s">
        <v>1103</v>
      </c>
      <c r="B295" s="296" t="s">
        <v>1104</v>
      </c>
      <c r="C295" s="296" t="s">
        <v>1105</v>
      </c>
      <c r="D295" s="296" t="s">
        <v>1106</v>
      </c>
      <c r="E295" s="317" t="s">
        <v>5159</v>
      </c>
      <c r="F295" s="296" t="s">
        <v>5160</v>
      </c>
      <c r="G295" s="301" t="s">
        <v>5165</v>
      </c>
      <c r="H295" s="301" t="s">
        <v>5177</v>
      </c>
    </row>
    <row r="296" spans="1:8">
      <c r="A296" s="296" t="s">
        <v>1103</v>
      </c>
      <c r="B296" s="296" t="s">
        <v>1104</v>
      </c>
      <c r="C296" s="296" t="s">
        <v>1105</v>
      </c>
      <c r="D296" s="296" t="s">
        <v>1106</v>
      </c>
      <c r="E296" s="317" t="s">
        <v>5143</v>
      </c>
      <c r="F296" s="296" t="s">
        <v>5144</v>
      </c>
      <c r="G296" s="301" t="s">
        <v>5165</v>
      </c>
      <c r="H296" s="301" t="s">
        <v>5175</v>
      </c>
    </row>
    <row r="297" spans="1:8">
      <c r="A297" s="296" t="s">
        <v>1103</v>
      </c>
      <c r="B297" s="296" t="s">
        <v>1104</v>
      </c>
      <c r="C297" s="296" t="s">
        <v>1107</v>
      </c>
      <c r="D297" s="296" t="s">
        <v>1108</v>
      </c>
      <c r="E297" s="317" t="s">
        <v>5143</v>
      </c>
      <c r="F297" s="296" t="s">
        <v>5144</v>
      </c>
      <c r="G297" s="301" t="s">
        <v>5165</v>
      </c>
      <c r="H297" s="301" t="s">
        <v>5175</v>
      </c>
    </row>
    <row r="298" spans="1:8">
      <c r="A298" s="296" t="s">
        <v>1103</v>
      </c>
      <c r="B298" s="296" t="s">
        <v>1104</v>
      </c>
      <c r="C298" s="296" t="s">
        <v>1109</v>
      </c>
      <c r="D298" s="296" t="s">
        <v>1110</v>
      </c>
      <c r="E298" s="317" t="s">
        <v>5143</v>
      </c>
      <c r="F298" s="296" t="s">
        <v>5144</v>
      </c>
      <c r="G298" s="301" t="s">
        <v>5165</v>
      </c>
      <c r="H298" s="301" t="s">
        <v>5175</v>
      </c>
    </row>
    <row r="299" spans="1:8">
      <c r="A299" s="296" t="s">
        <v>1103</v>
      </c>
      <c r="B299" s="296" t="s">
        <v>1104</v>
      </c>
      <c r="C299" s="296" t="s">
        <v>1111</v>
      </c>
      <c r="D299" s="296" t="s">
        <v>1112</v>
      </c>
      <c r="E299" s="317" t="s">
        <v>5143</v>
      </c>
      <c r="F299" s="296" t="s">
        <v>5144</v>
      </c>
      <c r="G299" s="301" t="s">
        <v>5165</v>
      </c>
      <c r="H299" s="301" t="s">
        <v>5175</v>
      </c>
    </row>
    <row r="300" spans="1:8">
      <c r="A300" s="296" t="s">
        <v>1103</v>
      </c>
      <c r="B300" s="296" t="s">
        <v>1104</v>
      </c>
      <c r="C300" s="296" t="s">
        <v>1113</v>
      </c>
      <c r="D300" s="296" t="s">
        <v>1114</v>
      </c>
      <c r="E300" s="317" t="s">
        <v>5143</v>
      </c>
      <c r="F300" s="296" t="s">
        <v>5144</v>
      </c>
      <c r="G300" s="301" t="s">
        <v>5165</v>
      </c>
      <c r="H300" s="301" t="s">
        <v>5175</v>
      </c>
    </row>
    <row r="301" spans="1:8">
      <c r="A301" s="296" t="s">
        <v>1103</v>
      </c>
      <c r="B301" s="296" t="s">
        <v>1104</v>
      </c>
      <c r="C301" s="296" t="s">
        <v>1115</v>
      </c>
      <c r="D301" s="296" t="s">
        <v>1116</v>
      </c>
      <c r="E301" s="317" t="s">
        <v>5143</v>
      </c>
      <c r="F301" s="296" t="s">
        <v>5144</v>
      </c>
      <c r="G301" s="301" t="s">
        <v>5165</v>
      </c>
      <c r="H301" s="301" t="s">
        <v>5175</v>
      </c>
    </row>
    <row r="302" spans="1:8">
      <c r="A302" s="296" t="s">
        <v>1103</v>
      </c>
      <c r="B302" s="296" t="s">
        <v>1104</v>
      </c>
      <c r="C302" s="296" t="s">
        <v>1117</v>
      </c>
      <c r="D302" s="296" t="s">
        <v>1118</v>
      </c>
      <c r="E302" s="317" t="s">
        <v>5143</v>
      </c>
      <c r="F302" s="296" t="s">
        <v>5144</v>
      </c>
      <c r="G302" s="301" t="s">
        <v>5165</v>
      </c>
      <c r="H302" s="301" t="s">
        <v>5175</v>
      </c>
    </row>
    <row r="303" spans="1:8">
      <c r="A303" s="296" t="s">
        <v>1103</v>
      </c>
      <c r="B303" s="296" t="s">
        <v>1104</v>
      </c>
      <c r="C303" s="296" t="s">
        <v>1119</v>
      </c>
      <c r="D303" s="296" t="s">
        <v>1120</v>
      </c>
      <c r="E303" s="317" t="s">
        <v>5143</v>
      </c>
      <c r="F303" s="296" t="s">
        <v>5144</v>
      </c>
      <c r="G303" s="301" t="s">
        <v>5165</v>
      </c>
      <c r="H303" s="301" t="s">
        <v>5175</v>
      </c>
    </row>
    <row r="304" spans="1:8">
      <c r="A304" s="296" t="s">
        <v>1103</v>
      </c>
      <c r="B304" s="296" t="s">
        <v>1104</v>
      </c>
      <c r="C304" s="296" t="s">
        <v>1121</v>
      </c>
      <c r="D304" s="296" t="s">
        <v>1122</v>
      </c>
      <c r="E304" s="317" t="s">
        <v>5159</v>
      </c>
      <c r="F304" s="296" t="s">
        <v>5160</v>
      </c>
      <c r="G304" s="301" t="s">
        <v>5165</v>
      </c>
      <c r="H304" s="301" t="s">
        <v>5177</v>
      </c>
    </row>
    <row r="305" spans="1:8">
      <c r="A305" s="296" t="s">
        <v>1103</v>
      </c>
      <c r="B305" s="296" t="s">
        <v>1104</v>
      </c>
      <c r="C305" s="296" t="s">
        <v>1121</v>
      </c>
      <c r="D305" s="296" t="s">
        <v>1122</v>
      </c>
      <c r="E305" s="317" t="s">
        <v>5143</v>
      </c>
      <c r="F305" s="296" t="s">
        <v>5144</v>
      </c>
      <c r="G305" s="301" t="s">
        <v>5165</v>
      </c>
      <c r="H305" s="301" t="s">
        <v>5175</v>
      </c>
    </row>
    <row r="306" spans="1:8">
      <c r="A306" s="296" t="s">
        <v>1103</v>
      </c>
      <c r="B306" s="296" t="s">
        <v>1104</v>
      </c>
      <c r="C306" s="296" t="s">
        <v>1123</v>
      </c>
      <c r="D306" s="296" t="s">
        <v>1124</v>
      </c>
      <c r="E306" s="317" t="s">
        <v>5143</v>
      </c>
      <c r="F306" s="296" t="s">
        <v>5144</v>
      </c>
      <c r="G306" s="301" t="s">
        <v>5165</v>
      </c>
      <c r="H306" s="301" t="s">
        <v>5175</v>
      </c>
    </row>
    <row r="307" spans="1:8">
      <c r="A307" s="296" t="s">
        <v>1103</v>
      </c>
      <c r="B307" s="296" t="s">
        <v>1104</v>
      </c>
      <c r="C307" s="296" t="s">
        <v>1125</v>
      </c>
      <c r="D307" s="296" t="s">
        <v>1126</v>
      </c>
      <c r="E307" s="317" t="s">
        <v>5143</v>
      </c>
      <c r="F307" s="296" t="s">
        <v>5144</v>
      </c>
      <c r="G307" s="301" t="s">
        <v>5165</v>
      </c>
      <c r="H307" s="301" t="s">
        <v>5175</v>
      </c>
    </row>
    <row r="308" spans="1:8">
      <c r="A308" s="296" t="s">
        <v>1103</v>
      </c>
      <c r="B308" s="296" t="s">
        <v>1104</v>
      </c>
      <c r="C308" s="296" t="s">
        <v>1963</v>
      </c>
      <c r="D308" s="296" t="s">
        <v>1964</v>
      </c>
      <c r="E308" s="317" t="s">
        <v>5143</v>
      </c>
      <c r="F308" s="296" t="s">
        <v>5144</v>
      </c>
      <c r="G308" s="301" t="s">
        <v>5165</v>
      </c>
      <c r="H308" s="301" t="s">
        <v>5175</v>
      </c>
    </row>
    <row r="309" spans="1:8">
      <c r="A309" s="296" t="s">
        <v>1103</v>
      </c>
      <c r="B309" s="296" t="s">
        <v>1104</v>
      </c>
      <c r="C309" s="296" t="s">
        <v>1965</v>
      </c>
      <c r="D309" s="296" t="s">
        <v>1966</v>
      </c>
      <c r="E309" s="317" t="s">
        <v>5143</v>
      </c>
      <c r="F309" s="296" t="s">
        <v>5144</v>
      </c>
      <c r="G309" s="301" t="s">
        <v>5165</v>
      </c>
      <c r="H309" s="301" t="s">
        <v>5175</v>
      </c>
    </row>
    <row r="310" spans="1:8">
      <c r="A310" s="296" t="s">
        <v>1103</v>
      </c>
      <c r="B310" s="296" t="s">
        <v>1104</v>
      </c>
      <c r="C310" s="296" t="s">
        <v>1967</v>
      </c>
      <c r="D310" s="296" t="s">
        <v>1968</v>
      </c>
      <c r="E310" s="317" t="s">
        <v>5143</v>
      </c>
      <c r="F310" s="296" t="s">
        <v>5144</v>
      </c>
      <c r="G310" s="301" t="s">
        <v>5165</v>
      </c>
      <c r="H310" s="301" t="s">
        <v>5175</v>
      </c>
    </row>
    <row r="311" spans="1:8">
      <c r="A311" s="296" t="s">
        <v>1103</v>
      </c>
      <c r="B311" s="296" t="s">
        <v>1104</v>
      </c>
      <c r="C311" s="296" t="s">
        <v>3510</v>
      </c>
      <c r="D311" s="296" t="s">
        <v>3511</v>
      </c>
      <c r="E311" s="317" t="s">
        <v>5143</v>
      </c>
      <c r="F311" s="296" t="s">
        <v>5144</v>
      </c>
      <c r="G311" s="301" t="s">
        <v>5165</v>
      </c>
      <c r="H311" s="301" t="s">
        <v>5175</v>
      </c>
    </row>
    <row r="312" spans="1:8">
      <c r="A312" s="296" t="s">
        <v>1103</v>
      </c>
      <c r="B312" s="296" t="s">
        <v>1104</v>
      </c>
      <c r="C312" s="296" t="s">
        <v>1127</v>
      </c>
      <c r="D312" s="296" t="s">
        <v>684</v>
      </c>
      <c r="E312" s="317" t="s">
        <v>5159</v>
      </c>
      <c r="F312" s="296" t="s">
        <v>5160</v>
      </c>
      <c r="G312" s="301" t="s">
        <v>5165</v>
      </c>
      <c r="H312" s="301" t="s">
        <v>5177</v>
      </c>
    </row>
    <row r="313" spans="1:8">
      <c r="A313" s="296" t="s">
        <v>1103</v>
      </c>
      <c r="B313" s="296" t="s">
        <v>1104</v>
      </c>
      <c r="C313" s="296" t="s">
        <v>1128</v>
      </c>
      <c r="D313" s="296" t="s">
        <v>1129</v>
      </c>
      <c r="E313" s="317" t="s">
        <v>5159</v>
      </c>
      <c r="F313" s="296" t="s">
        <v>5160</v>
      </c>
      <c r="G313" s="301" t="s">
        <v>5165</v>
      </c>
      <c r="H313" s="301" t="s">
        <v>5177</v>
      </c>
    </row>
    <row r="314" spans="1:8">
      <c r="A314" s="296" t="s">
        <v>3458</v>
      </c>
      <c r="B314" s="296" t="s">
        <v>3459</v>
      </c>
      <c r="C314" s="296" t="s">
        <v>1791</v>
      </c>
      <c r="D314" s="296" t="s">
        <v>1792</v>
      </c>
      <c r="E314" s="317" t="s">
        <v>5141</v>
      </c>
      <c r="F314" s="296" t="s">
        <v>5142</v>
      </c>
      <c r="G314" s="301" t="s">
        <v>5167</v>
      </c>
      <c r="H314" s="301" t="s">
        <v>5168</v>
      </c>
    </row>
    <row r="315" spans="1:8">
      <c r="A315" s="296" t="s">
        <v>3458</v>
      </c>
      <c r="B315" s="296" t="s">
        <v>3459</v>
      </c>
      <c r="C315" s="296" t="s">
        <v>1823</v>
      </c>
      <c r="D315" s="296" t="s">
        <v>1824</v>
      </c>
      <c r="E315" s="317" t="s">
        <v>5141</v>
      </c>
      <c r="F315" s="296" t="s">
        <v>5142</v>
      </c>
      <c r="G315" s="301" t="s">
        <v>5167</v>
      </c>
      <c r="H315" s="301" t="s">
        <v>5168</v>
      </c>
    </row>
    <row r="316" spans="1:8">
      <c r="A316" s="296" t="s">
        <v>3458</v>
      </c>
      <c r="B316" s="296" t="s">
        <v>3459</v>
      </c>
      <c r="C316" s="296" t="s">
        <v>3512</v>
      </c>
      <c r="D316" s="296" t="s">
        <v>3513</v>
      </c>
      <c r="E316" s="317" t="s">
        <v>5141</v>
      </c>
      <c r="F316" s="296" t="s">
        <v>5142</v>
      </c>
      <c r="G316" s="301" t="s">
        <v>5167</v>
      </c>
      <c r="H316" s="301" t="s">
        <v>5168</v>
      </c>
    </row>
    <row r="317" spans="1:8">
      <c r="A317" s="296" t="s">
        <v>3458</v>
      </c>
      <c r="B317" s="296" t="s">
        <v>3459</v>
      </c>
      <c r="C317" s="296" t="s">
        <v>3514</v>
      </c>
      <c r="D317" s="296" t="s">
        <v>3515</v>
      </c>
      <c r="E317" s="317" t="s">
        <v>5141</v>
      </c>
      <c r="F317" s="296" t="s">
        <v>5142</v>
      </c>
      <c r="G317" s="301" t="s">
        <v>5167</v>
      </c>
      <c r="H317" s="301" t="s">
        <v>5168</v>
      </c>
    </row>
    <row r="318" spans="1:8">
      <c r="A318" s="296" t="s">
        <v>3458</v>
      </c>
      <c r="B318" s="296" t="s">
        <v>3459</v>
      </c>
      <c r="C318" s="296" t="s">
        <v>3516</v>
      </c>
      <c r="D318" s="296" t="s">
        <v>3517</v>
      </c>
      <c r="E318" s="317" t="s">
        <v>5141</v>
      </c>
      <c r="F318" s="296" t="s">
        <v>5142</v>
      </c>
      <c r="G318" s="301" t="s">
        <v>5167</v>
      </c>
      <c r="H318" s="301" t="s">
        <v>5168</v>
      </c>
    </row>
    <row r="319" spans="1:8">
      <c r="A319" s="296" t="s">
        <v>3458</v>
      </c>
      <c r="B319" s="296" t="s">
        <v>3459</v>
      </c>
      <c r="C319" s="296" t="s">
        <v>1867</v>
      </c>
      <c r="D319" s="296" t="s">
        <v>1868</v>
      </c>
      <c r="E319" s="317" t="s">
        <v>5141</v>
      </c>
      <c r="F319" s="296" t="s">
        <v>5142</v>
      </c>
      <c r="G319" s="301" t="s">
        <v>5167</v>
      </c>
      <c r="H319" s="301" t="s">
        <v>5168</v>
      </c>
    </row>
    <row r="320" spans="1:8">
      <c r="A320" s="296" t="s">
        <v>3458</v>
      </c>
      <c r="B320" s="296" t="s">
        <v>3459</v>
      </c>
      <c r="C320" s="296" t="s">
        <v>959</v>
      </c>
      <c r="D320" s="296" t="s">
        <v>960</v>
      </c>
      <c r="E320" s="317" t="s">
        <v>5141</v>
      </c>
      <c r="F320" s="296" t="s">
        <v>5142</v>
      </c>
      <c r="G320" s="301" t="s">
        <v>5167</v>
      </c>
      <c r="H320" s="301" t="s">
        <v>5168</v>
      </c>
    </row>
    <row r="321" spans="1:8">
      <c r="A321" s="296" t="s">
        <v>3458</v>
      </c>
      <c r="B321" s="296" t="s">
        <v>3459</v>
      </c>
      <c r="C321" s="296" t="s">
        <v>3518</v>
      </c>
      <c r="D321" s="296" t="s">
        <v>3519</v>
      </c>
      <c r="E321" s="317" t="s">
        <v>5141</v>
      </c>
      <c r="F321" s="296" t="s">
        <v>5142</v>
      </c>
      <c r="G321" s="301" t="s">
        <v>5167</v>
      </c>
      <c r="H321" s="301" t="s">
        <v>5168</v>
      </c>
    </row>
    <row r="322" spans="1:8">
      <c r="A322" s="296" t="s">
        <v>3458</v>
      </c>
      <c r="B322" s="296" t="s">
        <v>3459</v>
      </c>
      <c r="C322" s="296" t="s">
        <v>3520</v>
      </c>
      <c r="D322" s="296" t="s">
        <v>3521</v>
      </c>
      <c r="E322" s="317" t="s">
        <v>5141</v>
      </c>
      <c r="F322" s="296" t="s">
        <v>5142</v>
      </c>
      <c r="G322" s="301" t="s">
        <v>5167</v>
      </c>
      <c r="H322" s="301" t="s">
        <v>5168</v>
      </c>
    </row>
    <row r="323" spans="1:8">
      <c r="A323" s="296" t="s">
        <v>3458</v>
      </c>
      <c r="B323" s="296" t="s">
        <v>3459</v>
      </c>
      <c r="C323" s="296" t="s">
        <v>3522</v>
      </c>
      <c r="D323" s="296" t="s">
        <v>3523</v>
      </c>
      <c r="E323" s="317" t="s">
        <v>5141</v>
      </c>
      <c r="F323" s="296" t="s">
        <v>5142</v>
      </c>
      <c r="G323" s="301" t="s">
        <v>5167</v>
      </c>
      <c r="H323" s="301" t="s">
        <v>5168</v>
      </c>
    </row>
    <row r="324" spans="1:8">
      <c r="A324" s="296" t="s">
        <v>3458</v>
      </c>
      <c r="B324" s="296" t="s">
        <v>3459</v>
      </c>
      <c r="C324" s="296" t="s">
        <v>3460</v>
      </c>
      <c r="D324" s="296" t="s">
        <v>684</v>
      </c>
      <c r="E324" s="317" t="s">
        <v>5141</v>
      </c>
      <c r="F324" s="296" t="s">
        <v>5142</v>
      </c>
      <c r="G324" s="301" t="s">
        <v>5167</v>
      </c>
      <c r="H324" s="301" t="s">
        <v>5168</v>
      </c>
    </row>
  </sheetData>
  <autoFilter ref="A3:H32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217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2" t="s">
        <v>1130</v>
      </c>
      <c r="B1" s="133"/>
    </row>
    <row r="2" spans="1:2">
      <c r="A2" s="180" t="s">
        <v>698</v>
      </c>
      <c r="B2" s="181"/>
    </row>
    <row r="3" spans="1:2">
      <c r="A3" s="171" t="s">
        <v>932</v>
      </c>
      <c r="B3" s="175" t="s">
        <v>492</v>
      </c>
    </row>
    <row r="4" spans="1:2">
      <c r="A4" s="172" t="s">
        <v>940</v>
      </c>
      <c r="B4" s="176" t="s">
        <v>941</v>
      </c>
    </row>
    <row r="5" spans="1:2">
      <c r="A5" s="173" t="s">
        <v>963</v>
      </c>
      <c r="B5" s="174" t="s">
        <v>1652</v>
      </c>
    </row>
    <row r="6" spans="1:2">
      <c r="A6" s="178" t="s">
        <v>1168</v>
      </c>
      <c r="B6" s="177" t="s">
        <v>1169</v>
      </c>
    </row>
    <row r="7" spans="1:2">
      <c r="A7" s="178" t="s">
        <v>1170</v>
      </c>
      <c r="B7" s="177" t="s">
        <v>1171</v>
      </c>
    </row>
    <row r="8" spans="1:2">
      <c r="A8" s="178" t="s">
        <v>1172</v>
      </c>
      <c r="B8" s="177" t="s">
        <v>1173</v>
      </c>
    </row>
    <row r="9" spans="1:2">
      <c r="A9" s="178" t="s">
        <v>1174</v>
      </c>
      <c r="B9" s="177" t="s">
        <v>258</v>
      </c>
    </row>
    <row r="10" spans="1:2">
      <c r="A10" s="178" t="s">
        <v>1175</v>
      </c>
      <c r="B10" s="177" t="s">
        <v>1176</v>
      </c>
    </row>
    <row r="11" spans="1:2">
      <c r="A11" s="178" t="s">
        <v>1177</v>
      </c>
      <c r="B11" s="177" t="s">
        <v>1178</v>
      </c>
    </row>
    <row r="12" spans="1:2">
      <c r="A12" s="178" t="s">
        <v>1179</v>
      </c>
      <c r="B12" s="177" t="s">
        <v>1180</v>
      </c>
    </row>
    <row r="13" spans="1:2" ht="15.75" customHeight="1">
      <c r="A13" s="178" t="s">
        <v>1181</v>
      </c>
      <c r="B13" s="177" t="s">
        <v>1182</v>
      </c>
    </row>
    <row r="14" spans="1:2">
      <c r="A14" s="173" t="s">
        <v>956</v>
      </c>
      <c r="B14" s="174" t="s">
        <v>1001</v>
      </c>
    </row>
    <row r="15" spans="1:2">
      <c r="A15" s="178" t="s">
        <v>1131</v>
      </c>
      <c r="B15" s="177" t="s">
        <v>1132</v>
      </c>
    </row>
    <row r="16" spans="1:2">
      <c r="A16" s="178" t="s">
        <v>1133</v>
      </c>
      <c r="B16" s="177" t="s">
        <v>1134</v>
      </c>
    </row>
    <row r="17" spans="1:2">
      <c r="A17" s="178" t="s">
        <v>1135</v>
      </c>
      <c r="B17" s="177" t="s">
        <v>1136</v>
      </c>
    </row>
    <row r="18" spans="1:2">
      <c r="A18" s="178" t="s">
        <v>1137</v>
      </c>
      <c r="B18" s="177" t="s">
        <v>1138</v>
      </c>
    </row>
    <row r="19" spans="1:2">
      <c r="A19" s="178" t="s">
        <v>1139</v>
      </c>
      <c r="B19" s="177" t="s">
        <v>872</v>
      </c>
    </row>
    <row r="20" spans="1:2">
      <c r="A20" s="178" t="s">
        <v>1140</v>
      </c>
      <c r="B20" s="177" t="s">
        <v>874</v>
      </c>
    </row>
    <row r="21" spans="1:2">
      <c r="A21" s="178" t="s">
        <v>1141</v>
      </c>
      <c r="B21" s="177" t="s">
        <v>876</v>
      </c>
    </row>
    <row r="22" spans="1:2">
      <c r="A22" s="178" t="s">
        <v>1142</v>
      </c>
      <c r="B22" s="177" t="s">
        <v>1143</v>
      </c>
    </row>
    <row r="23" spans="1:2">
      <c r="A23" s="178" t="s">
        <v>1144</v>
      </c>
      <c r="B23" s="177" t="s">
        <v>1145</v>
      </c>
    </row>
    <row r="24" spans="1:2">
      <c r="A24" s="178" t="s">
        <v>1146</v>
      </c>
      <c r="B24" s="177" t="s">
        <v>1147</v>
      </c>
    </row>
    <row r="25" spans="1:2">
      <c r="A25" s="178" t="s">
        <v>1148</v>
      </c>
      <c r="B25" s="177" t="s">
        <v>1149</v>
      </c>
    </row>
    <row r="26" spans="1:2">
      <c r="A26" s="178" t="s">
        <v>1150</v>
      </c>
      <c r="B26" s="177" t="s">
        <v>1151</v>
      </c>
    </row>
    <row r="27" spans="1:2">
      <c r="A27" s="178" t="s">
        <v>1152</v>
      </c>
      <c r="B27" s="177" t="s">
        <v>1153</v>
      </c>
    </row>
    <row r="28" spans="1:2">
      <c r="A28" s="178" t="s">
        <v>1154</v>
      </c>
      <c r="B28" s="177" t="s">
        <v>1155</v>
      </c>
    </row>
    <row r="29" spans="1:2">
      <c r="A29" s="178" t="s">
        <v>1156</v>
      </c>
      <c r="B29" s="177" t="s">
        <v>1157</v>
      </c>
    </row>
    <row r="30" spans="1:2">
      <c r="A30" s="178" t="s">
        <v>1158</v>
      </c>
      <c r="B30" s="177" t="s">
        <v>1159</v>
      </c>
    </row>
    <row r="31" spans="1:2">
      <c r="A31" s="178" t="s">
        <v>1160</v>
      </c>
      <c r="B31" s="177" t="s">
        <v>1161</v>
      </c>
    </row>
    <row r="32" spans="1:2">
      <c r="A32" s="178" t="s">
        <v>1162</v>
      </c>
      <c r="B32" s="177" t="s">
        <v>1163</v>
      </c>
    </row>
    <row r="33" spans="1:2">
      <c r="A33" s="178" t="s">
        <v>1164</v>
      </c>
      <c r="B33" s="177" t="s">
        <v>1165</v>
      </c>
    </row>
    <row r="34" spans="1:2">
      <c r="A34" s="178" t="s">
        <v>1166</v>
      </c>
      <c r="B34" s="177" t="s">
        <v>1167</v>
      </c>
    </row>
    <row r="35" spans="1:2">
      <c r="A35" s="178" t="s">
        <v>1248</v>
      </c>
      <c r="B35" s="177" t="s">
        <v>1188</v>
      </c>
    </row>
    <row r="36" spans="1:2">
      <c r="A36" s="178" t="s">
        <v>2012</v>
      </c>
      <c r="B36" s="177" t="s">
        <v>2013</v>
      </c>
    </row>
    <row r="37" spans="1:2">
      <c r="A37" s="172" t="s">
        <v>44</v>
      </c>
      <c r="B37" s="176" t="s">
        <v>45</v>
      </c>
    </row>
    <row r="38" spans="1:2">
      <c r="A38" s="173" t="s">
        <v>92</v>
      </c>
      <c r="B38" s="174" t="s">
        <v>1737</v>
      </c>
    </row>
    <row r="39" spans="1:2">
      <c r="A39" s="183" t="s">
        <v>699</v>
      </c>
      <c r="B39" s="182" t="s">
        <v>700</v>
      </c>
    </row>
    <row r="40" spans="1:2">
      <c r="A40" s="183" t="s">
        <v>701</v>
      </c>
      <c r="B40" s="182" t="s">
        <v>702</v>
      </c>
    </row>
    <row r="41" spans="1:2">
      <c r="A41" s="183" t="s">
        <v>703</v>
      </c>
      <c r="B41" s="182" t="s">
        <v>704</v>
      </c>
    </row>
    <row r="42" spans="1:2">
      <c r="A42" s="183" t="s">
        <v>705</v>
      </c>
      <c r="B42" s="182" t="s">
        <v>706</v>
      </c>
    </row>
    <row r="43" spans="1:2">
      <c r="A43" s="183" t="s">
        <v>707</v>
      </c>
      <c r="B43" s="182" t="s">
        <v>708</v>
      </c>
    </row>
    <row r="44" spans="1:2">
      <c r="A44" s="183" t="s">
        <v>3020</v>
      </c>
      <c r="B44" s="182" t="s">
        <v>3021</v>
      </c>
    </row>
    <row r="45" spans="1:2">
      <c r="A45" s="183" t="s">
        <v>3022</v>
      </c>
      <c r="B45" s="182" t="s">
        <v>3023</v>
      </c>
    </row>
    <row r="46" spans="1:2">
      <c r="A46" s="183" t="s">
        <v>3024</v>
      </c>
      <c r="B46" s="182" t="s">
        <v>3025</v>
      </c>
    </row>
    <row r="47" spans="1:2">
      <c r="A47" s="183" t="s">
        <v>709</v>
      </c>
      <c r="B47" s="182" t="s">
        <v>710</v>
      </c>
    </row>
    <row r="48" spans="1:2">
      <c r="A48" s="183" t="s">
        <v>1249</v>
      </c>
      <c r="B48" s="182" t="s">
        <v>1250</v>
      </c>
    </row>
    <row r="49" spans="1:2">
      <c r="A49" s="183" t="s">
        <v>1251</v>
      </c>
      <c r="B49" s="182" t="s">
        <v>1252</v>
      </c>
    </row>
    <row r="50" spans="1:2">
      <c r="A50" s="183" t="s">
        <v>1253</v>
      </c>
      <c r="B50" s="182" t="s">
        <v>1254</v>
      </c>
    </row>
    <row r="51" spans="1:2">
      <c r="A51" s="183" t="s">
        <v>1255</v>
      </c>
      <c r="B51" s="182" t="s">
        <v>1256</v>
      </c>
    </row>
    <row r="52" spans="1:2">
      <c r="A52" s="183" t="s">
        <v>1257</v>
      </c>
      <c r="B52" s="182" t="s">
        <v>1258</v>
      </c>
    </row>
    <row r="53" spans="1:2">
      <c r="A53" s="183" t="s">
        <v>1259</v>
      </c>
      <c r="B53" s="182" t="s">
        <v>1260</v>
      </c>
    </row>
    <row r="54" spans="1:2">
      <c r="A54" s="183" t="s">
        <v>1261</v>
      </c>
      <c r="B54" s="182" t="s">
        <v>1262</v>
      </c>
    </row>
    <row r="55" spans="1:2">
      <c r="A55" s="183" t="s">
        <v>1263</v>
      </c>
      <c r="B55" s="182" t="s">
        <v>1264</v>
      </c>
    </row>
    <row r="56" spans="1:2">
      <c r="A56" s="183" t="s">
        <v>1265</v>
      </c>
      <c r="B56" s="182" t="s">
        <v>1266</v>
      </c>
    </row>
    <row r="57" spans="1:2">
      <c r="A57" s="183" t="s">
        <v>1267</v>
      </c>
      <c r="B57" s="182" t="s">
        <v>1268</v>
      </c>
    </row>
    <row r="58" spans="1:2">
      <c r="A58" s="183" t="s">
        <v>1269</v>
      </c>
      <c r="B58" s="182" t="s">
        <v>1270</v>
      </c>
    </row>
    <row r="59" spans="1:2">
      <c r="A59" s="183" t="s">
        <v>3026</v>
      </c>
      <c r="B59" s="182" t="s">
        <v>3027</v>
      </c>
    </row>
    <row r="60" spans="1:2">
      <c r="A60" s="183" t="s">
        <v>2014</v>
      </c>
      <c r="B60" s="182" t="s">
        <v>2015</v>
      </c>
    </row>
    <row r="61" spans="1:2">
      <c r="A61" s="183" t="s">
        <v>2016</v>
      </c>
      <c r="B61" s="182" t="s">
        <v>2017</v>
      </c>
    </row>
    <row r="62" spans="1:2">
      <c r="A62" s="183" t="s">
        <v>2018</v>
      </c>
      <c r="B62" s="182" t="s">
        <v>2019</v>
      </c>
    </row>
    <row r="63" spans="1:2">
      <c r="A63" s="183" t="s">
        <v>2020</v>
      </c>
      <c r="B63" s="182" t="s">
        <v>2021</v>
      </c>
    </row>
    <row r="64" spans="1:2">
      <c r="A64" s="183" t="s">
        <v>2022</v>
      </c>
      <c r="B64" s="182" t="s">
        <v>2023</v>
      </c>
    </row>
    <row r="65" spans="1:2">
      <c r="A65" s="183" t="s">
        <v>2024</v>
      </c>
      <c r="B65" s="182" t="s">
        <v>2025</v>
      </c>
    </row>
    <row r="66" spans="1:2">
      <c r="A66" s="183" t="s">
        <v>2026</v>
      </c>
      <c r="B66" s="182" t="s">
        <v>2027</v>
      </c>
    </row>
    <row r="67" spans="1:2">
      <c r="A67" s="183" t="s">
        <v>2028</v>
      </c>
      <c r="B67" s="182" t="s">
        <v>2029</v>
      </c>
    </row>
    <row r="68" spans="1:2">
      <c r="A68" s="183" t="s">
        <v>2030</v>
      </c>
      <c r="B68" s="182" t="s">
        <v>2031</v>
      </c>
    </row>
    <row r="69" spans="1:2">
      <c r="A69" s="183" t="s">
        <v>2032</v>
      </c>
      <c r="B69" s="182" t="s">
        <v>2033</v>
      </c>
    </row>
    <row r="70" spans="1:2">
      <c r="A70" s="183" t="s">
        <v>2034</v>
      </c>
      <c r="B70" s="182" t="s">
        <v>2035</v>
      </c>
    </row>
    <row r="71" spans="1:2">
      <c r="A71" s="183" t="s">
        <v>2036</v>
      </c>
      <c r="B71" s="182" t="s">
        <v>2037</v>
      </c>
    </row>
    <row r="72" spans="1:2">
      <c r="A72" s="183" t="s">
        <v>2038</v>
      </c>
      <c r="B72" s="182" t="s">
        <v>2039</v>
      </c>
    </row>
    <row r="73" spans="1:2">
      <c r="A73" s="183" t="s">
        <v>2040</v>
      </c>
      <c r="B73" s="182" t="s">
        <v>2041</v>
      </c>
    </row>
    <row r="74" spans="1:2">
      <c r="A74" s="183" t="s">
        <v>2042</v>
      </c>
      <c r="B74" s="182" t="s">
        <v>2043</v>
      </c>
    </row>
    <row r="75" spans="1:2">
      <c r="A75" s="183" t="s">
        <v>2044</v>
      </c>
      <c r="B75" s="182" t="s">
        <v>2045</v>
      </c>
    </row>
    <row r="76" spans="1:2">
      <c r="A76" s="183" t="s">
        <v>2046</v>
      </c>
      <c r="B76" s="182" t="s">
        <v>2047</v>
      </c>
    </row>
    <row r="77" spans="1:2">
      <c r="A77" s="183" t="s">
        <v>2048</v>
      </c>
      <c r="B77" s="182" t="s">
        <v>2049</v>
      </c>
    </row>
    <row r="78" spans="1:2">
      <c r="A78" s="183" t="s">
        <v>2050</v>
      </c>
      <c r="B78" s="182" t="s">
        <v>2051</v>
      </c>
    </row>
    <row r="79" spans="1:2">
      <c r="A79" s="183" t="s">
        <v>2052</v>
      </c>
      <c r="B79" s="182" t="s">
        <v>2053</v>
      </c>
    </row>
    <row r="80" spans="1:2">
      <c r="A80" s="183" t="s">
        <v>2054</v>
      </c>
      <c r="B80" s="182" t="s">
        <v>2055</v>
      </c>
    </row>
    <row r="81" spans="1:2">
      <c r="A81" s="183" t="s">
        <v>2056</v>
      </c>
      <c r="B81" s="182" t="s">
        <v>2057</v>
      </c>
    </row>
    <row r="82" spans="1:2">
      <c r="A82" s="183" t="s">
        <v>2058</v>
      </c>
      <c r="B82" s="182" t="s">
        <v>2059</v>
      </c>
    </row>
    <row r="83" spans="1:2">
      <c r="A83" s="183" t="s">
        <v>2060</v>
      </c>
      <c r="B83" s="182" t="s">
        <v>2061</v>
      </c>
    </row>
    <row r="84" spans="1:2">
      <c r="A84" s="183" t="s">
        <v>2062</v>
      </c>
      <c r="B84" s="182" t="s">
        <v>2063</v>
      </c>
    </row>
    <row r="85" spans="1:2">
      <c r="A85" s="183" t="s">
        <v>2064</v>
      </c>
      <c r="B85" s="182" t="s">
        <v>2065</v>
      </c>
    </row>
    <row r="86" spans="1:2">
      <c r="A86" s="183" t="s">
        <v>3028</v>
      </c>
      <c r="B86" s="182" t="s">
        <v>3029</v>
      </c>
    </row>
    <row r="87" spans="1:2">
      <c r="A87" s="183" t="s">
        <v>3030</v>
      </c>
      <c r="B87" s="182" t="s">
        <v>3031</v>
      </c>
    </row>
    <row r="88" spans="1:2">
      <c r="A88" s="183" t="s">
        <v>3032</v>
      </c>
      <c r="B88" s="182" t="s">
        <v>3033</v>
      </c>
    </row>
    <row r="89" spans="1:2">
      <c r="A89" s="183" t="s">
        <v>3034</v>
      </c>
      <c r="B89" s="182" t="s">
        <v>3035</v>
      </c>
    </row>
    <row r="90" spans="1:2">
      <c r="A90" s="183" t="s">
        <v>3036</v>
      </c>
      <c r="B90" s="182" t="s">
        <v>3037</v>
      </c>
    </row>
    <row r="91" spans="1:2">
      <c r="A91" s="183" t="s">
        <v>3038</v>
      </c>
      <c r="B91" s="182" t="s">
        <v>3039</v>
      </c>
    </row>
    <row r="92" spans="1:2">
      <c r="A92" s="183" t="s">
        <v>3040</v>
      </c>
      <c r="B92" s="182" t="s">
        <v>3041</v>
      </c>
    </row>
    <row r="93" spans="1:2">
      <c r="A93" s="183" t="s">
        <v>3042</v>
      </c>
      <c r="B93" s="182" t="s">
        <v>3043</v>
      </c>
    </row>
    <row r="94" spans="1:2">
      <c r="A94" s="183" t="s">
        <v>3044</v>
      </c>
      <c r="B94" s="182" t="s">
        <v>1171</v>
      </c>
    </row>
    <row r="95" spans="1:2">
      <c r="A95" s="173" t="s">
        <v>117</v>
      </c>
      <c r="B95" s="174" t="s">
        <v>1738</v>
      </c>
    </row>
    <row r="96" spans="1:2">
      <c r="A96" s="185" t="s">
        <v>711</v>
      </c>
      <c r="B96" s="184" t="s">
        <v>712</v>
      </c>
    </row>
    <row r="97" spans="1:2">
      <c r="A97" s="185" t="s">
        <v>713</v>
      </c>
      <c r="B97" s="184" t="s">
        <v>714</v>
      </c>
    </row>
    <row r="98" spans="1:2">
      <c r="A98" s="185" t="s">
        <v>3045</v>
      </c>
      <c r="B98" s="184" t="s">
        <v>3046</v>
      </c>
    </row>
    <row r="99" spans="1:2">
      <c r="A99" s="185" t="s">
        <v>3047</v>
      </c>
      <c r="B99" s="184" t="s">
        <v>3048</v>
      </c>
    </row>
    <row r="100" spans="1:2">
      <c r="A100" s="185" t="s">
        <v>3049</v>
      </c>
      <c r="B100" s="184" t="s">
        <v>3050</v>
      </c>
    </row>
    <row r="101" spans="1:2">
      <c r="A101" s="185" t="s">
        <v>3051</v>
      </c>
      <c r="B101" s="184" t="s">
        <v>3052</v>
      </c>
    </row>
    <row r="102" spans="1:2">
      <c r="A102" s="185" t="s">
        <v>715</v>
      </c>
      <c r="B102" s="184" t="s">
        <v>716</v>
      </c>
    </row>
    <row r="103" spans="1:2">
      <c r="A103" s="185" t="s">
        <v>717</v>
      </c>
      <c r="B103" s="184" t="s">
        <v>718</v>
      </c>
    </row>
    <row r="104" spans="1:2">
      <c r="A104" s="185" t="s">
        <v>719</v>
      </c>
      <c r="B104" s="184" t="s">
        <v>720</v>
      </c>
    </row>
    <row r="105" spans="1:2">
      <c r="A105" s="185" t="s">
        <v>721</v>
      </c>
      <c r="B105" s="184" t="s">
        <v>722</v>
      </c>
    </row>
    <row r="106" spans="1:2">
      <c r="A106" s="185" t="s">
        <v>723</v>
      </c>
      <c r="B106" s="184" t="s">
        <v>724</v>
      </c>
    </row>
    <row r="107" spans="1:2">
      <c r="A107" s="185" t="s">
        <v>725</v>
      </c>
      <c r="B107" s="184" t="s">
        <v>726</v>
      </c>
    </row>
    <row r="108" spans="1:2">
      <c r="A108" s="185" t="s">
        <v>727</v>
      </c>
      <c r="B108" s="184" t="s">
        <v>728</v>
      </c>
    </row>
    <row r="109" spans="1:2">
      <c r="A109" s="185" t="s">
        <v>729</v>
      </c>
      <c r="B109" s="184" t="s">
        <v>730</v>
      </c>
    </row>
    <row r="110" spans="1:2">
      <c r="A110" s="185" t="s">
        <v>731</v>
      </c>
      <c r="B110" s="184" t="s">
        <v>732</v>
      </c>
    </row>
    <row r="111" spans="1:2">
      <c r="A111" s="185" t="s">
        <v>733</v>
      </c>
      <c r="B111" s="184" t="s">
        <v>734</v>
      </c>
    </row>
    <row r="112" spans="1:2">
      <c r="A112" s="185" t="s">
        <v>735</v>
      </c>
      <c r="B112" s="184" t="s">
        <v>736</v>
      </c>
    </row>
    <row r="113" spans="1:2">
      <c r="A113" s="185" t="s">
        <v>1271</v>
      </c>
      <c r="B113" s="184" t="s">
        <v>1272</v>
      </c>
    </row>
    <row r="114" spans="1:2">
      <c r="A114" s="185" t="s">
        <v>1273</v>
      </c>
      <c r="B114" s="184" t="s">
        <v>1274</v>
      </c>
    </row>
    <row r="115" spans="1:2">
      <c r="A115" s="185" t="s">
        <v>1275</v>
      </c>
      <c r="B115" s="184" t="s">
        <v>1276</v>
      </c>
    </row>
    <row r="116" spans="1:2">
      <c r="A116" s="185" t="s">
        <v>1277</v>
      </c>
      <c r="B116" s="184" t="s">
        <v>1278</v>
      </c>
    </row>
    <row r="117" spans="1:2">
      <c r="A117" s="185" t="s">
        <v>1279</v>
      </c>
      <c r="B117" s="184" t="s">
        <v>1280</v>
      </c>
    </row>
    <row r="118" spans="1:2">
      <c r="A118" s="185" t="s">
        <v>1281</v>
      </c>
      <c r="B118" s="184" t="s">
        <v>1282</v>
      </c>
    </row>
    <row r="119" spans="1:2">
      <c r="A119" s="185" t="s">
        <v>1283</v>
      </c>
      <c r="B119" s="184" t="s">
        <v>1284</v>
      </c>
    </row>
    <row r="120" spans="1:2">
      <c r="A120" s="185" t="s">
        <v>1285</v>
      </c>
      <c r="B120" s="184" t="s">
        <v>1286</v>
      </c>
    </row>
    <row r="121" spans="1:2">
      <c r="A121" s="185" t="s">
        <v>1287</v>
      </c>
      <c r="B121" s="184" t="s">
        <v>1288</v>
      </c>
    </row>
    <row r="122" spans="1:2">
      <c r="A122" s="185" t="s">
        <v>1289</v>
      </c>
      <c r="B122" s="184" t="s">
        <v>1290</v>
      </c>
    </row>
    <row r="123" spans="1:2">
      <c r="A123" s="185" t="s">
        <v>1291</v>
      </c>
      <c r="B123" s="184" t="s">
        <v>1292</v>
      </c>
    </row>
    <row r="124" spans="1:2">
      <c r="A124" s="185" t="s">
        <v>1293</v>
      </c>
      <c r="B124" s="184" t="s">
        <v>1294</v>
      </c>
    </row>
    <row r="125" spans="1:2">
      <c r="A125" s="185" t="s">
        <v>1295</v>
      </c>
      <c r="B125" s="184" t="s">
        <v>1296</v>
      </c>
    </row>
    <row r="126" spans="1:2">
      <c r="A126" s="185" t="s">
        <v>1297</v>
      </c>
      <c r="B126" s="184" t="s">
        <v>1298</v>
      </c>
    </row>
    <row r="127" spans="1:2">
      <c r="A127" s="185" t="s">
        <v>1299</v>
      </c>
      <c r="B127" s="184" t="s">
        <v>1300</v>
      </c>
    </row>
    <row r="128" spans="1:2">
      <c r="A128" s="185" t="s">
        <v>1301</v>
      </c>
      <c r="B128" s="184" t="s">
        <v>1302</v>
      </c>
    </row>
    <row r="129" spans="1:2">
      <c r="A129" s="185" t="s">
        <v>1303</v>
      </c>
      <c r="B129" s="184" t="s">
        <v>1304</v>
      </c>
    </row>
    <row r="130" spans="1:2">
      <c r="A130" s="185" t="s">
        <v>1305</v>
      </c>
      <c r="B130" s="184" t="s">
        <v>1306</v>
      </c>
    </row>
    <row r="131" spans="1:2">
      <c r="A131" s="185" t="s">
        <v>1307</v>
      </c>
      <c r="B131" s="184" t="s">
        <v>1308</v>
      </c>
    </row>
    <row r="132" spans="1:2">
      <c r="A132" s="185" t="s">
        <v>1309</v>
      </c>
      <c r="B132" s="184" t="s">
        <v>1310</v>
      </c>
    </row>
    <row r="133" spans="1:2">
      <c r="A133" s="185" t="s">
        <v>1311</v>
      </c>
      <c r="B133" s="184" t="s">
        <v>1312</v>
      </c>
    </row>
    <row r="134" spans="1:2">
      <c r="A134" s="185" t="s">
        <v>1313</v>
      </c>
      <c r="B134" s="184" t="s">
        <v>1314</v>
      </c>
    </row>
    <row r="135" spans="1:2">
      <c r="A135" s="185" t="s">
        <v>1315</v>
      </c>
      <c r="B135" s="184" t="s">
        <v>1316</v>
      </c>
    </row>
    <row r="136" spans="1:2">
      <c r="A136" s="185" t="s">
        <v>1317</v>
      </c>
      <c r="B136" s="184" t="s">
        <v>1318</v>
      </c>
    </row>
    <row r="137" spans="1:2">
      <c r="A137" s="185" t="s">
        <v>1319</v>
      </c>
      <c r="B137" s="184" t="s">
        <v>1320</v>
      </c>
    </row>
    <row r="138" spans="1:2">
      <c r="A138" s="185" t="s">
        <v>1321</v>
      </c>
      <c r="B138" s="184" t="s">
        <v>1322</v>
      </c>
    </row>
    <row r="139" spans="1:2">
      <c r="A139" s="185" t="s">
        <v>1323</v>
      </c>
      <c r="B139" s="184" t="s">
        <v>1324</v>
      </c>
    </row>
    <row r="140" spans="1:2">
      <c r="A140" s="185" t="s">
        <v>1325</v>
      </c>
      <c r="B140" s="184" t="s">
        <v>1326</v>
      </c>
    </row>
    <row r="141" spans="1:2">
      <c r="A141" s="185" t="s">
        <v>1327</v>
      </c>
      <c r="B141" s="184" t="s">
        <v>1328</v>
      </c>
    </row>
    <row r="142" spans="1:2">
      <c r="A142" s="185" t="s">
        <v>1329</v>
      </c>
      <c r="B142" s="184" t="s">
        <v>1330</v>
      </c>
    </row>
    <row r="143" spans="1:2">
      <c r="A143" s="185" t="s">
        <v>1331</v>
      </c>
      <c r="B143" s="184" t="s">
        <v>1332</v>
      </c>
    </row>
    <row r="144" spans="1:2">
      <c r="A144" s="185" t="s">
        <v>1333</v>
      </c>
      <c r="B144" s="184" t="s">
        <v>1334</v>
      </c>
    </row>
    <row r="145" spans="1:2">
      <c r="A145" s="185" t="s">
        <v>1335</v>
      </c>
      <c r="B145" s="184" t="s">
        <v>1336</v>
      </c>
    </row>
    <row r="146" spans="1:2">
      <c r="A146" s="185" t="s">
        <v>1337</v>
      </c>
      <c r="B146" s="184" t="s">
        <v>1338</v>
      </c>
    </row>
    <row r="147" spans="1:2">
      <c r="A147" s="185" t="s">
        <v>2066</v>
      </c>
      <c r="B147" s="184" t="s">
        <v>2067</v>
      </c>
    </row>
    <row r="148" spans="1:2">
      <c r="A148" s="185" t="s">
        <v>2068</v>
      </c>
      <c r="B148" s="184" t="s">
        <v>2069</v>
      </c>
    </row>
    <row r="149" spans="1:2">
      <c r="A149" s="185" t="s">
        <v>2070</v>
      </c>
      <c r="B149" s="184" t="s">
        <v>2071</v>
      </c>
    </row>
    <row r="150" spans="1:2">
      <c r="A150" s="185" t="s">
        <v>2072</v>
      </c>
      <c r="B150" s="184" t="s">
        <v>2073</v>
      </c>
    </row>
    <row r="151" spans="1:2">
      <c r="A151" s="185" t="s">
        <v>2074</v>
      </c>
      <c r="B151" s="184" t="s">
        <v>2075</v>
      </c>
    </row>
    <row r="152" spans="1:2">
      <c r="A152" s="185" t="s">
        <v>2076</v>
      </c>
      <c r="B152" s="184" t="s">
        <v>2077</v>
      </c>
    </row>
    <row r="153" spans="1:2">
      <c r="A153" s="185" t="s">
        <v>2078</v>
      </c>
      <c r="B153" s="184" t="s">
        <v>2079</v>
      </c>
    </row>
    <row r="154" spans="1:2">
      <c r="A154" s="185" t="s">
        <v>2080</v>
      </c>
      <c r="B154" s="184" t="s">
        <v>2081</v>
      </c>
    </row>
    <row r="155" spans="1:2">
      <c r="A155" s="185" t="s">
        <v>2082</v>
      </c>
      <c r="B155" s="184" t="s">
        <v>2083</v>
      </c>
    </row>
    <row r="156" spans="1:2">
      <c r="A156" s="185" t="s">
        <v>2084</v>
      </c>
      <c r="B156" s="184" t="s">
        <v>2085</v>
      </c>
    </row>
    <row r="157" spans="1:2">
      <c r="A157" s="185" t="s">
        <v>2086</v>
      </c>
      <c r="B157" s="184" t="s">
        <v>2029</v>
      </c>
    </row>
    <row r="158" spans="1:2">
      <c r="A158" s="185" t="s">
        <v>2087</v>
      </c>
      <c r="B158" s="184" t="s">
        <v>2088</v>
      </c>
    </row>
    <row r="159" spans="1:2">
      <c r="A159" s="185" t="s">
        <v>2089</v>
      </c>
      <c r="B159" s="184" t="s">
        <v>2090</v>
      </c>
    </row>
    <row r="160" spans="1:2">
      <c r="A160" s="185" t="s">
        <v>2091</v>
      </c>
      <c r="B160" s="184" t="s">
        <v>2092</v>
      </c>
    </row>
    <row r="161" spans="1:2">
      <c r="A161" s="185" t="s">
        <v>2093</v>
      </c>
      <c r="B161" s="184" t="s">
        <v>2094</v>
      </c>
    </row>
    <row r="162" spans="1:2">
      <c r="A162" s="185" t="s">
        <v>2095</v>
      </c>
      <c r="B162" s="184" t="s">
        <v>2096</v>
      </c>
    </row>
    <row r="163" spans="1:2">
      <c r="A163" s="185" t="s">
        <v>2097</v>
      </c>
      <c r="B163" s="184" t="s">
        <v>2098</v>
      </c>
    </row>
    <row r="164" spans="1:2">
      <c r="A164" s="185" t="s">
        <v>2099</v>
      </c>
      <c r="B164" s="184" t="s">
        <v>2100</v>
      </c>
    </row>
    <row r="165" spans="1:2">
      <c r="A165" s="185" t="s">
        <v>2101</v>
      </c>
      <c r="B165" s="184" t="s">
        <v>2102</v>
      </c>
    </row>
    <row r="166" spans="1:2">
      <c r="A166" s="185" t="s">
        <v>2103</v>
      </c>
      <c r="B166" s="184" t="s">
        <v>2104</v>
      </c>
    </row>
    <row r="167" spans="1:2">
      <c r="A167" s="185" t="s">
        <v>2105</v>
      </c>
      <c r="B167" s="184" t="s">
        <v>2106</v>
      </c>
    </row>
    <row r="168" spans="1:2">
      <c r="A168" s="185" t="s">
        <v>2107</v>
      </c>
      <c r="B168" s="184" t="s">
        <v>2108</v>
      </c>
    </row>
    <row r="169" spans="1:2">
      <c r="A169" s="185" t="s">
        <v>2109</v>
      </c>
      <c r="B169" s="184" t="s">
        <v>2110</v>
      </c>
    </row>
    <row r="170" spans="1:2">
      <c r="A170" s="185" t="s">
        <v>2111</v>
      </c>
      <c r="B170" s="184" t="s">
        <v>2112</v>
      </c>
    </row>
    <row r="171" spans="1:2">
      <c r="A171" s="185" t="s">
        <v>2113</v>
      </c>
      <c r="B171" s="184" t="s">
        <v>2114</v>
      </c>
    </row>
    <row r="172" spans="1:2">
      <c r="A172" s="185" t="s">
        <v>2115</v>
      </c>
      <c r="B172" s="184" t="s">
        <v>2116</v>
      </c>
    </row>
    <row r="173" spans="1:2">
      <c r="A173" s="185" t="s">
        <v>2117</v>
      </c>
      <c r="B173" s="184" t="s">
        <v>2118</v>
      </c>
    </row>
    <row r="174" spans="1:2">
      <c r="A174" s="185" t="s">
        <v>2119</v>
      </c>
      <c r="B174" s="184" t="s">
        <v>2120</v>
      </c>
    </row>
    <row r="175" spans="1:2">
      <c r="A175" s="185" t="s">
        <v>2121</v>
      </c>
      <c r="B175" s="184" t="s">
        <v>2122</v>
      </c>
    </row>
    <row r="176" spans="1:2">
      <c r="A176" s="185" t="s">
        <v>2123</v>
      </c>
      <c r="B176" s="184" t="s">
        <v>2124</v>
      </c>
    </row>
    <row r="177" spans="1:2">
      <c r="A177" s="185" t="s">
        <v>2125</v>
      </c>
      <c r="B177" s="184" t="s">
        <v>2126</v>
      </c>
    </row>
    <row r="178" spans="1:2">
      <c r="A178" s="185" t="s">
        <v>2127</v>
      </c>
      <c r="B178" s="184" t="s">
        <v>2128</v>
      </c>
    </row>
    <row r="179" spans="1:2">
      <c r="A179" s="185" t="s">
        <v>2129</v>
      </c>
      <c r="B179" s="184" t="s">
        <v>2130</v>
      </c>
    </row>
    <row r="180" spans="1:2">
      <c r="A180" s="185" t="s">
        <v>2131</v>
      </c>
      <c r="B180" s="184" t="s">
        <v>2132</v>
      </c>
    </row>
    <row r="181" spans="1:2">
      <c r="A181" s="185" t="s">
        <v>2133</v>
      </c>
      <c r="B181" s="184" t="s">
        <v>2134</v>
      </c>
    </row>
    <row r="182" spans="1:2">
      <c r="A182" s="185" t="s">
        <v>2135</v>
      </c>
      <c r="B182" s="184" t="s">
        <v>2136</v>
      </c>
    </row>
    <row r="183" spans="1:2">
      <c r="A183" s="185" t="s">
        <v>2137</v>
      </c>
      <c r="B183" s="184" t="s">
        <v>2138</v>
      </c>
    </row>
    <row r="184" spans="1:2">
      <c r="A184" s="185" t="s">
        <v>2139</v>
      </c>
      <c r="B184" s="184" t="s">
        <v>2140</v>
      </c>
    </row>
    <row r="185" spans="1:2">
      <c r="A185" s="185" t="s">
        <v>2141</v>
      </c>
      <c r="B185" s="184" t="s">
        <v>2142</v>
      </c>
    </row>
    <row r="186" spans="1:2">
      <c r="A186" s="185" t="s">
        <v>2143</v>
      </c>
      <c r="B186" s="184" t="s">
        <v>2144</v>
      </c>
    </row>
    <row r="187" spans="1:2">
      <c r="A187" s="185" t="s">
        <v>2145</v>
      </c>
      <c r="B187" s="184" t="s">
        <v>2146</v>
      </c>
    </row>
    <row r="188" spans="1:2">
      <c r="A188" s="185" t="s">
        <v>2147</v>
      </c>
      <c r="B188" s="184" t="s">
        <v>2148</v>
      </c>
    </row>
    <row r="189" spans="1:2">
      <c r="A189" s="185" t="s">
        <v>2149</v>
      </c>
      <c r="B189" s="184" t="s">
        <v>2150</v>
      </c>
    </row>
    <row r="190" spans="1:2">
      <c r="A190" s="185" t="s">
        <v>2151</v>
      </c>
      <c r="B190" s="184" t="s">
        <v>2152</v>
      </c>
    </row>
    <row r="191" spans="1:2">
      <c r="A191" s="185" t="s">
        <v>2153</v>
      </c>
      <c r="B191" s="184" t="s">
        <v>2154</v>
      </c>
    </row>
    <row r="192" spans="1:2">
      <c r="A192" s="185" t="s">
        <v>2155</v>
      </c>
      <c r="B192" s="184" t="s">
        <v>2156</v>
      </c>
    </row>
    <row r="193" spans="1:2">
      <c r="A193" s="185" t="s">
        <v>2157</v>
      </c>
      <c r="B193" s="184" t="s">
        <v>2158</v>
      </c>
    </row>
    <row r="194" spans="1:2">
      <c r="A194" s="185" t="s">
        <v>2159</v>
      </c>
      <c r="B194" s="184" t="s">
        <v>2160</v>
      </c>
    </row>
    <row r="195" spans="1:2">
      <c r="A195" s="185" t="s">
        <v>2161</v>
      </c>
      <c r="B195" s="184" t="s">
        <v>2162</v>
      </c>
    </row>
    <row r="196" spans="1:2">
      <c r="A196" s="185" t="s">
        <v>2163</v>
      </c>
      <c r="B196" s="184" t="s">
        <v>2164</v>
      </c>
    </row>
    <row r="197" spans="1:2">
      <c r="A197" s="185" t="s">
        <v>2165</v>
      </c>
      <c r="B197" s="184" t="s">
        <v>2166</v>
      </c>
    </row>
    <row r="198" spans="1:2">
      <c r="A198" s="185" t="s">
        <v>2167</v>
      </c>
      <c r="B198" s="184" t="s">
        <v>2168</v>
      </c>
    </row>
    <row r="199" spans="1:2">
      <c r="A199" s="185" t="s">
        <v>2169</v>
      </c>
      <c r="B199" s="184" t="s">
        <v>2170</v>
      </c>
    </row>
    <row r="200" spans="1:2">
      <c r="A200" s="185" t="s">
        <v>2171</v>
      </c>
      <c r="B200" s="184" t="s">
        <v>2172</v>
      </c>
    </row>
    <row r="201" spans="1:2">
      <c r="A201" s="185" t="s">
        <v>3053</v>
      </c>
      <c r="B201" s="184" t="s">
        <v>3054</v>
      </c>
    </row>
    <row r="202" spans="1:2">
      <c r="A202" s="185" t="s">
        <v>3055</v>
      </c>
      <c r="B202" s="184" t="s">
        <v>3056</v>
      </c>
    </row>
    <row r="203" spans="1:2">
      <c r="A203" s="185" t="s">
        <v>3057</v>
      </c>
      <c r="B203" s="184" t="s">
        <v>3058</v>
      </c>
    </row>
    <row r="204" spans="1:2">
      <c r="A204" s="185" t="s">
        <v>3059</v>
      </c>
      <c r="B204" s="184" t="s">
        <v>3060</v>
      </c>
    </row>
    <row r="205" spans="1:2">
      <c r="A205" s="185" t="s">
        <v>3061</v>
      </c>
      <c r="B205" s="184" t="s">
        <v>3062</v>
      </c>
    </row>
    <row r="206" spans="1:2">
      <c r="A206" s="185" t="s">
        <v>3063</v>
      </c>
      <c r="B206" s="184" t="s">
        <v>3064</v>
      </c>
    </row>
    <row r="207" spans="1:2">
      <c r="A207" s="185" t="s">
        <v>3065</v>
      </c>
      <c r="B207" s="184" t="s">
        <v>2513</v>
      </c>
    </row>
    <row r="208" spans="1:2">
      <c r="A208" s="185" t="s">
        <v>3066</v>
      </c>
      <c r="B208" s="184" t="s">
        <v>3067</v>
      </c>
    </row>
    <row r="209" spans="1:2">
      <c r="A209" s="185" t="s">
        <v>3068</v>
      </c>
      <c r="B209" s="184" t="s">
        <v>3069</v>
      </c>
    </row>
    <row r="210" spans="1:2">
      <c r="A210" s="185" t="s">
        <v>3070</v>
      </c>
      <c r="B210" s="184" t="s">
        <v>3071</v>
      </c>
    </row>
    <row r="211" spans="1:2">
      <c r="A211" s="185" t="s">
        <v>3072</v>
      </c>
      <c r="B211" s="184" t="s">
        <v>3073</v>
      </c>
    </row>
    <row r="212" spans="1:2">
      <c r="A212" s="185" t="s">
        <v>3074</v>
      </c>
      <c r="B212" s="184" t="s">
        <v>3075</v>
      </c>
    </row>
    <row r="213" spans="1:2">
      <c r="A213" s="185" t="s">
        <v>3076</v>
      </c>
      <c r="B213" s="184" t="s">
        <v>3077</v>
      </c>
    </row>
    <row r="214" spans="1:2">
      <c r="A214" s="185" t="s">
        <v>3078</v>
      </c>
      <c r="B214" s="184" t="s">
        <v>3079</v>
      </c>
    </row>
    <row r="215" spans="1:2">
      <c r="A215" s="185" t="s">
        <v>3080</v>
      </c>
      <c r="B215" s="184" t="s">
        <v>3081</v>
      </c>
    </row>
    <row r="216" spans="1:2">
      <c r="A216" s="185" t="s">
        <v>3082</v>
      </c>
      <c r="B216" s="184" t="s">
        <v>3083</v>
      </c>
    </row>
    <row r="217" spans="1:2">
      <c r="A217" s="185" t="s">
        <v>3084</v>
      </c>
      <c r="B217" s="184" t="s">
        <v>3085</v>
      </c>
    </row>
    <row r="218" spans="1:2">
      <c r="A218" s="185" t="s">
        <v>3086</v>
      </c>
      <c r="B218" s="184" t="s">
        <v>3087</v>
      </c>
    </row>
    <row r="219" spans="1:2">
      <c r="A219" s="185" t="s">
        <v>3088</v>
      </c>
      <c r="B219" s="184" t="s">
        <v>3089</v>
      </c>
    </row>
    <row r="220" spans="1:2">
      <c r="A220" s="185" t="s">
        <v>3090</v>
      </c>
      <c r="B220" s="184" t="s">
        <v>3091</v>
      </c>
    </row>
    <row r="221" spans="1:2">
      <c r="A221" s="173" t="s">
        <v>1908</v>
      </c>
      <c r="B221" s="174" t="s">
        <v>1909</v>
      </c>
    </row>
    <row r="222" spans="1:2">
      <c r="A222" s="187" t="s">
        <v>3092</v>
      </c>
      <c r="B222" s="186" t="s">
        <v>3093</v>
      </c>
    </row>
    <row r="223" spans="1:2">
      <c r="A223" s="187" t="s">
        <v>2173</v>
      </c>
      <c r="B223" s="186" t="s">
        <v>2174</v>
      </c>
    </row>
    <row r="224" spans="1:2">
      <c r="A224" s="187" t="s">
        <v>2175</v>
      </c>
      <c r="B224" s="186" t="s">
        <v>2176</v>
      </c>
    </row>
    <row r="225" spans="1:2">
      <c r="A225" s="187" t="s">
        <v>2177</v>
      </c>
      <c r="B225" s="186" t="s">
        <v>2178</v>
      </c>
    </row>
    <row r="226" spans="1:2">
      <c r="A226" s="187" t="s">
        <v>2179</v>
      </c>
      <c r="B226" s="186" t="s">
        <v>2180</v>
      </c>
    </row>
    <row r="227" spans="1:2">
      <c r="A227" s="187" t="s">
        <v>2181</v>
      </c>
      <c r="B227" s="186" t="s">
        <v>2182</v>
      </c>
    </row>
    <row r="228" spans="1:2">
      <c r="A228" s="187" t="s">
        <v>2183</v>
      </c>
      <c r="B228" s="186" t="s">
        <v>2184</v>
      </c>
    </row>
    <row r="229" spans="1:2">
      <c r="A229" s="187" t="s">
        <v>2185</v>
      </c>
      <c r="B229" s="186" t="s">
        <v>2186</v>
      </c>
    </row>
    <row r="230" spans="1:2">
      <c r="A230" s="187" t="s">
        <v>2187</v>
      </c>
      <c r="B230" s="186" t="s">
        <v>2188</v>
      </c>
    </row>
    <row r="231" spans="1:2">
      <c r="A231" s="187" t="s">
        <v>2189</v>
      </c>
      <c r="B231" s="186" t="s">
        <v>2190</v>
      </c>
    </row>
    <row r="232" spans="1:2">
      <c r="A232" s="187" t="s">
        <v>2191</v>
      </c>
      <c r="B232" s="186" t="s">
        <v>2192</v>
      </c>
    </row>
    <row r="233" spans="1:2">
      <c r="A233" s="187" t="s">
        <v>2193</v>
      </c>
      <c r="B233" s="186" t="s">
        <v>2194</v>
      </c>
    </row>
    <row r="234" spans="1:2">
      <c r="A234" s="187" t="s">
        <v>2195</v>
      </c>
      <c r="B234" s="186" t="s">
        <v>2196</v>
      </c>
    </row>
    <row r="235" spans="1:2">
      <c r="A235" s="187" t="s">
        <v>2197</v>
      </c>
      <c r="B235" s="186" t="s">
        <v>2198</v>
      </c>
    </row>
    <row r="236" spans="1:2">
      <c r="A236" s="187" t="s">
        <v>2199</v>
      </c>
      <c r="B236" s="186" t="s">
        <v>2200</v>
      </c>
    </row>
    <row r="237" spans="1:2">
      <c r="A237" s="187" t="s">
        <v>3094</v>
      </c>
      <c r="B237" s="186" t="s">
        <v>3095</v>
      </c>
    </row>
    <row r="238" spans="1:2">
      <c r="A238" s="187" t="s">
        <v>3096</v>
      </c>
      <c r="B238" s="186" t="s">
        <v>3097</v>
      </c>
    </row>
    <row r="239" spans="1:2">
      <c r="A239" s="187" t="s">
        <v>3098</v>
      </c>
      <c r="B239" s="186" t="s">
        <v>3099</v>
      </c>
    </row>
    <row r="240" spans="1:2">
      <c r="A240" s="173" t="s">
        <v>124</v>
      </c>
      <c r="B240" s="174" t="s">
        <v>1739</v>
      </c>
    </row>
    <row r="241" spans="1:2">
      <c r="A241" s="189" t="s">
        <v>3100</v>
      </c>
      <c r="B241" s="188" t="s">
        <v>3101</v>
      </c>
    </row>
    <row r="242" spans="1:2">
      <c r="A242" s="189" t="s">
        <v>737</v>
      </c>
      <c r="B242" s="188" t="s">
        <v>738</v>
      </c>
    </row>
    <row r="243" spans="1:2">
      <c r="A243" s="189" t="s">
        <v>739</v>
      </c>
      <c r="B243" s="188" t="s">
        <v>740</v>
      </c>
    </row>
    <row r="244" spans="1:2">
      <c r="A244" s="189" t="s">
        <v>741</v>
      </c>
      <c r="B244" s="188" t="s">
        <v>742</v>
      </c>
    </row>
    <row r="245" spans="1:2">
      <c r="A245" s="189" t="s">
        <v>743</v>
      </c>
      <c r="B245" s="188" t="s">
        <v>744</v>
      </c>
    </row>
    <row r="246" spans="1:2">
      <c r="A246" s="189" t="s">
        <v>745</v>
      </c>
      <c r="B246" s="188" t="s">
        <v>746</v>
      </c>
    </row>
    <row r="247" spans="1:2">
      <c r="A247" s="189" t="s">
        <v>747</v>
      </c>
      <c r="B247" s="188" t="s">
        <v>748</v>
      </c>
    </row>
    <row r="248" spans="1:2">
      <c r="A248" s="189" t="s">
        <v>749</v>
      </c>
      <c r="B248" s="188" t="s">
        <v>750</v>
      </c>
    </row>
    <row r="249" spans="1:2">
      <c r="A249" s="189" t="s">
        <v>1339</v>
      </c>
      <c r="B249" s="188" t="s">
        <v>1340</v>
      </c>
    </row>
    <row r="250" spans="1:2">
      <c r="A250" s="189" t="s">
        <v>1341</v>
      </c>
      <c r="B250" s="188" t="s">
        <v>1342</v>
      </c>
    </row>
    <row r="251" spans="1:2">
      <c r="A251" s="189" t="s">
        <v>1343</v>
      </c>
      <c r="B251" s="188" t="s">
        <v>1344</v>
      </c>
    </row>
    <row r="252" spans="1:2">
      <c r="A252" s="189" t="s">
        <v>1345</v>
      </c>
      <c r="B252" s="188" t="s">
        <v>1346</v>
      </c>
    </row>
    <row r="253" spans="1:2">
      <c r="A253" s="189" t="s">
        <v>1347</v>
      </c>
      <c r="B253" s="188" t="s">
        <v>1348</v>
      </c>
    </row>
    <row r="254" spans="1:2">
      <c r="A254" s="189" t="s">
        <v>2201</v>
      </c>
      <c r="B254" s="188" t="s">
        <v>2202</v>
      </c>
    </row>
    <row r="255" spans="1:2">
      <c r="A255" s="189" t="s">
        <v>2203</v>
      </c>
      <c r="B255" s="188" t="s">
        <v>2204</v>
      </c>
    </row>
    <row r="256" spans="1:2">
      <c r="A256" s="189" t="s">
        <v>2205</v>
      </c>
      <c r="B256" s="188" t="s">
        <v>2206</v>
      </c>
    </row>
    <row r="257" spans="1:2">
      <c r="A257" s="189" t="s">
        <v>2207</v>
      </c>
      <c r="B257" s="188" t="s">
        <v>2208</v>
      </c>
    </row>
    <row r="258" spans="1:2">
      <c r="A258" s="189" t="s">
        <v>2209</v>
      </c>
      <c r="B258" s="188" t="s">
        <v>2210</v>
      </c>
    </row>
    <row r="259" spans="1:2">
      <c r="A259" s="189" t="s">
        <v>2211</v>
      </c>
      <c r="B259" s="188" t="s">
        <v>2212</v>
      </c>
    </row>
    <row r="260" spans="1:2">
      <c r="A260" s="189" t="s">
        <v>2213</v>
      </c>
      <c r="B260" s="188" t="s">
        <v>2214</v>
      </c>
    </row>
    <row r="261" spans="1:2">
      <c r="A261" s="189" t="s">
        <v>2215</v>
      </c>
      <c r="B261" s="188" t="s">
        <v>2216</v>
      </c>
    </row>
    <row r="262" spans="1:2">
      <c r="A262" s="173" t="s">
        <v>130</v>
      </c>
      <c r="B262" s="174" t="s">
        <v>1740</v>
      </c>
    </row>
    <row r="263" spans="1:2">
      <c r="A263" s="191" t="s">
        <v>3102</v>
      </c>
      <c r="B263" s="190" t="s">
        <v>3103</v>
      </c>
    </row>
    <row r="264" spans="1:2">
      <c r="A264" s="191" t="s">
        <v>3104</v>
      </c>
      <c r="B264" s="190" t="s">
        <v>3105</v>
      </c>
    </row>
    <row r="265" spans="1:2">
      <c r="A265" s="191" t="s">
        <v>3106</v>
      </c>
      <c r="B265" s="190" t="s">
        <v>3107</v>
      </c>
    </row>
    <row r="266" spans="1:2">
      <c r="A266" s="191" t="s">
        <v>3108</v>
      </c>
      <c r="B266" s="190" t="s">
        <v>3109</v>
      </c>
    </row>
    <row r="267" spans="1:2">
      <c r="A267" s="191" t="s">
        <v>3110</v>
      </c>
      <c r="B267" s="190" t="s">
        <v>3111</v>
      </c>
    </row>
    <row r="268" spans="1:2">
      <c r="A268" s="191" t="s">
        <v>3112</v>
      </c>
      <c r="B268" s="190" t="s">
        <v>3113</v>
      </c>
    </row>
    <row r="269" spans="1:2">
      <c r="A269" s="191" t="s">
        <v>751</v>
      </c>
      <c r="B269" s="190" t="s">
        <v>752</v>
      </c>
    </row>
    <row r="270" spans="1:2">
      <c r="A270" s="191" t="s">
        <v>753</v>
      </c>
      <c r="B270" s="190" t="s">
        <v>754</v>
      </c>
    </row>
    <row r="271" spans="1:2">
      <c r="A271" s="191" t="s">
        <v>1349</v>
      </c>
      <c r="B271" s="190" t="s">
        <v>1350</v>
      </c>
    </row>
    <row r="272" spans="1:2">
      <c r="A272" s="191" t="s">
        <v>1351</v>
      </c>
      <c r="B272" s="190" t="s">
        <v>1352</v>
      </c>
    </row>
    <row r="273" spans="1:2">
      <c r="A273" s="191" t="s">
        <v>2217</v>
      </c>
      <c r="B273" s="190" t="s">
        <v>2218</v>
      </c>
    </row>
    <row r="274" spans="1:2">
      <c r="A274" s="191" t="s">
        <v>2219</v>
      </c>
      <c r="B274" s="190" t="s">
        <v>2220</v>
      </c>
    </row>
    <row r="275" spans="1:2">
      <c r="A275" s="191" t="s">
        <v>2221</v>
      </c>
      <c r="B275" s="190" t="s">
        <v>2222</v>
      </c>
    </row>
    <row r="276" spans="1:2">
      <c r="A276" s="191" t="s">
        <v>2223</v>
      </c>
      <c r="B276" s="190" t="s">
        <v>2224</v>
      </c>
    </row>
    <row r="277" spans="1:2">
      <c r="A277" s="191" t="s">
        <v>2225</v>
      </c>
      <c r="B277" s="190" t="s">
        <v>2226</v>
      </c>
    </row>
    <row r="278" spans="1:2">
      <c r="A278" s="191" t="s">
        <v>3114</v>
      </c>
      <c r="B278" s="190" t="s">
        <v>3115</v>
      </c>
    </row>
    <row r="279" spans="1:2">
      <c r="A279" s="191" t="s">
        <v>3116</v>
      </c>
      <c r="B279" s="190" t="s">
        <v>3117</v>
      </c>
    </row>
    <row r="280" spans="1:2">
      <c r="A280" s="191" t="s">
        <v>3118</v>
      </c>
      <c r="B280" s="190" t="s">
        <v>3119</v>
      </c>
    </row>
    <row r="281" spans="1:2">
      <c r="A281" s="191" t="s">
        <v>3120</v>
      </c>
      <c r="B281" s="190" t="s">
        <v>2226</v>
      </c>
    </row>
    <row r="282" spans="1:2">
      <c r="A282" s="191" t="s">
        <v>3121</v>
      </c>
      <c r="B282" s="190" t="s">
        <v>3122</v>
      </c>
    </row>
    <row r="283" spans="1:2">
      <c r="A283" s="191" t="s">
        <v>3123</v>
      </c>
      <c r="B283" s="190" t="s">
        <v>3124</v>
      </c>
    </row>
    <row r="284" spans="1:2">
      <c r="A284" s="191" t="s">
        <v>3125</v>
      </c>
      <c r="B284" s="190" t="s">
        <v>3126</v>
      </c>
    </row>
    <row r="285" spans="1:2">
      <c r="A285" s="191" t="s">
        <v>3127</v>
      </c>
      <c r="B285" s="190" t="s">
        <v>3128</v>
      </c>
    </row>
    <row r="286" spans="1:2">
      <c r="A286" s="173" t="s">
        <v>132</v>
      </c>
      <c r="B286" s="174" t="s">
        <v>1741</v>
      </c>
    </row>
    <row r="287" spans="1:2">
      <c r="A287" s="193" t="s">
        <v>755</v>
      </c>
      <c r="B287" s="192" t="s">
        <v>756</v>
      </c>
    </row>
    <row r="288" spans="1:2">
      <c r="A288" s="193" t="s">
        <v>757</v>
      </c>
      <c r="B288" s="192" t="s">
        <v>758</v>
      </c>
    </row>
    <row r="289" spans="1:2">
      <c r="A289" s="193" t="s">
        <v>759</v>
      </c>
      <c r="B289" s="192" t="s">
        <v>760</v>
      </c>
    </row>
    <row r="290" spans="1:2">
      <c r="A290" s="193" t="s">
        <v>2227</v>
      </c>
      <c r="B290" s="192" t="s">
        <v>2228</v>
      </c>
    </row>
    <row r="291" spans="1:2">
      <c r="A291" s="193" t="s">
        <v>2229</v>
      </c>
      <c r="B291" s="192" t="s">
        <v>2230</v>
      </c>
    </row>
    <row r="292" spans="1:2">
      <c r="A292" s="193" t="s">
        <v>2231</v>
      </c>
      <c r="B292" s="192" t="s">
        <v>2232</v>
      </c>
    </row>
    <row r="293" spans="1:2">
      <c r="A293" s="193" t="s">
        <v>2233</v>
      </c>
      <c r="B293" s="192" t="s">
        <v>2234</v>
      </c>
    </row>
    <row r="294" spans="1:2">
      <c r="A294" s="193" t="s">
        <v>2235</v>
      </c>
      <c r="B294" s="192" t="s">
        <v>2236</v>
      </c>
    </row>
    <row r="295" spans="1:2">
      <c r="A295" s="193" t="s">
        <v>2237</v>
      </c>
      <c r="B295" s="192" t="s">
        <v>2238</v>
      </c>
    </row>
    <row r="296" spans="1:2">
      <c r="A296" s="193" t="s">
        <v>2239</v>
      </c>
      <c r="B296" s="192" t="s">
        <v>2240</v>
      </c>
    </row>
    <row r="297" spans="1:2">
      <c r="A297" s="193" t="s">
        <v>2241</v>
      </c>
      <c r="B297" s="192" t="s">
        <v>2242</v>
      </c>
    </row>
    <row r="298" spans="1:2">
      <c r="A298" s="193" t="s">
        <v>2243</v>
      </c>
      <c r="B298" s="192" t="s">
        <v>2244</v>
      </c>
    </row>
    <row r="299" spans="1:2">
      <c r="A299" s="193" t="s">
        <v>3129</v>
      </c>
      <c r="B299" s="192" t="s">
        <v>3130</v>
      </c>
    </row>
    <row r="300" spans="1:2">
      <c r="A300" s="193" t="s">
        <v>3131</v>
      </c>
      <c r="B300" s="192" t="s">
        <v>3132</v>
      </c>
    </row>
    <row r="301" spans="1:2">
      <c r="A301" s="193" t="s">
        <v>3133</v>
      </c>
      <c r="B301" s="192" t="s">
        <v>876</v>
      </c>
    </row>
    <row r="302" spans="1:2">
      <c r="A302" s="173" t="s">
        <v>134</v>
      </c>
      <c r="B302" s="174" t="s">
        <v>1910</v>
      </c>
    </row>
    <row r="303" spans="1:2">
      <c r="A303" s="195" t="s">
        <v>761</v>
      </c>
      <c r="B303" s="194" t="s">
        <v>762</v>
      </c>
    </row>
    <row r="304" spans="1:2">
      <c r="A304" s="195" t="s">
        <v>763</v>
      </c>
      <c r="B304" s="194" t="s">
        <v>764</v>
      </c>
    </row>
    <row r="305" spans="1:2">
      <c r="A305" s="195" t="s">
        <v>3134</v>
      </c>
      <c r="B305" s="194" t="s">
        <v>3135</v>
      </c>
    </row>
    <row r="306" spans="1:2">
      <c r="A306" s="195" t="s">
        <v>765</v>
      </c>
      <c r="B306" s="194" t="s">
        <v>766</v>
      </c>
    </row>
    <row r="307" spans="1:2">
      <c r="A307" s="195" t="s">
        <v>767</v>
      </c>
      <c r="B307" s="194" t="s">
        <v>768</v>
      </c>
    </row>
    <row r="308" spans="1:2">
      <c r="A308" s="195" t="s">
        <v>769</v>
      </c>
      <c r="B308" s="194" t="s">
        <v>770</v>
      </c>
    </row>
    <row r="309" spans="1:2">
      <c r="A309" s="195" t="s">
        <v>771</v>
      </c>
      <c r="B309" s="194" t="s">
        <v>772</v>
      </c>
    </row>
    <row r="310" spans="1:2">
      <c r="A310" s="195" t="s">
        <v>773</v>
      </c>
      <c r="B310" s="194" t="s">
        <v>774</v>
      </c>
    </row>
    <row r="311" spans="1:2">
      <c r="A311" s="195" t="s">
        <v>3136</v>
      </c>
      <c r="B311" s="194" t="s">
        <v>3137</v>
      </c>
    </row>
    <row r="312" spans="1:2">
      <c r="A312" s="195" t="s">
        <v>775</v>
      </c>
      <c r="B312" s="194" t="s">
        <v>776</v>
      </c>
    </row>
    <row r="313" spans="1:2">
      <c r="A313" s="195" t="s">
        <v>777</v>
      </c>
      <c r="B313" s="194" t="s">
        <v>778</v>
      </c>
    </row>
    <row r="314" spans="1:2">
      <c r="A314" s="195" t="s">
        <v>779</v>
      </c>
      <c r="B314" s="194" t="s">
        <v>780</v>
      </c>
    </row>
    <row r="315" spans="1:2">
      <c r="A315" s="195" t="s">
        <v>781</v>
      </c>
      <c r="B315" s="194" t="s">
        <v>782</v>
      </c>
    </row>
    <row r="316" spans="1:2">
      <c r="A316" s="195" t="s">
        <v>783</v>
      </c>
      <c r="B316" s="194" t="s">
        <v>784</v>
      </c>
    </row>
    <row r="317" spans="1:2">
      <c r="A317" s="195" t="s">
        <v>785</v>
      </c>
      <c r="B317" s="194" t="s">
        <v>786</v>
      </c>
    </row>
    <row r="318" spans="1:2">
      <c r="A318" s="195" t="s">
        <v>787</v>
      </c>
      <c r="B318" s="194" t="s">
        <v>788</v>
      </c>
    </row>
    <row r="319" spans="1:2">
      <c r="A319" s="195" t="s">
        <v>789</v>
      </c>
      <c r="B319" s="194" t="s">
        <v>790</v>
      </c>
    </row>
    <row r="320" spans="1:2">
      <c r="A320" s="195" t="s">
        <v>791</v>
      </c>
      <c r="B320" s="194" t="s">
        <v>792</v>
      </c>
    </row>
    <row r="321" spans="1:2">
      <c r="A321" s="195" t="s">
        <v>793</v>
      </c>
      <c r="B321" s="194" t="s">
        <v>794</v>
      </c>
    </row>
    <row r="322" spans="1:2">
      <c r="A322" s="195" t="s">
        <v>795</v>
      </c>
      <c r="B322" s="194" t="s">
        <v>796</v>
      </c>
    </row>
    <row r="323" spans="1:2">
      <c r="A323" s="195" t="s">
        <v>797</v>
      </c>
      <c r="B323" s="194" t="s">
        <v>798</v>
      </c>
    </row>
    <row r="324" spans="1:2">
      <c r="A324" s="195" t="s">
        <v>799</v>
      </c>
      <c r="B324" s="194" t="s">
        <v>798</v>
      </c>
    </row>
    <row r="325" spans="1:2">
      <c r="A325" s="195" t="s">
        <v>800</v>
      </c>
      <c r="B325" s="194" t="s">
        <v>801</v>
      </c>
    </row>
    <row r="326" spans="1:2">
      <c r="A326" s="195" t="s">
        <v>802</v>
      </c>
      <c r="B326" s="194" t="s">
        <v>801</v>
      </c>
    </row>
    <row r="327" spans="1:2">
      <c r="A327" s="195" t="s">
        <v>1353</v>
      </c>
      <c r="B327" s="194" t="s">
        <v>1354</v>
      </c>
    </row>
    <row r="328" spans="1:2">
      <c r="A328" s="195" t="s">
        <v>1355</v>
      </c>
      <c r="B328" s="194" t="s">
        <v>1356</v>
      </c>
    </row>
    <row r="329" spans="1:2">
      <c r="A329" s="195" t="s">
        <v>1357</v>
      </c>
      <c r="B329" s="194" t="s">
        <v>1358</v>
      </c>
    </row>
    <row r="330" spans="1:2">
      <c r="A330" s="195" t="s">
        <v>1359</v>
      </c>
      <c r="B330" s="194" t="s">
        <v>1360</v>
      </c>
    </row>
    <row r="331" spans="1:2">
      <c r="A331" s="195" t="s">
        <v>1361</v>
      </c>
      <c r="B331" s="194" t="s">
        <v>1362</v>
      </c>
    </row>
    <row r="332" spans="1:2">
      <c r="A332" s="195" t="s">
        <v>1363</v>
      </c>
      <c r="B332" s="194" t="s">
        <v>1364</v>
      </c>
    </row>
    <row r="333" spans="1:2">
      <c r="A333" s="195" t="s">
        <v>1365</v>
      </c>
      <c r="B333" s="194" t="s">
        <v>1366</v>
      </c>
    </row>
    <row r="334" spans="1:2">
      <c r="A334" s="195" t="s">
        <v>1367</v>
      </c>
      <c r="B334" s="194" t="s">
        <v>1368</v>
      </c>
    </row>
    <row r="335" spans="1:2">
      <c r="A335" s="195" t="s">
        <v>1369</v>
      </c>
      <c r="B335" s="194" t="s">
        <v>1370</v>
      </c>
    </row>
    <row r="336" spans="1:2">
      <c r="A336" s="195" t="s">
        <v>1371</v>
      </c>
      <c r="B336" s="194" t="s">
        <v>1372</v>
      </c>
    </row>
    <row r="337" spans="1:2">
      <c r="A337" s="195" t="s">
        <v>1373</v>
      </c>
      <c r="B337" s="194" t="s">
        <v>1374</v>
      </c>
    </row>
    <row r="338" spans="1:2">
      <c r="A338" s="195" t="s">
        <v>1375</v>
      </c>
      <c r="B338" s="194" t="s">
        <v>1376</v>
      </c>
    </row>
    <row r="339" spans="1:2">
      <c r="A339" s="195" t="s">
        <v>1377</v>
      </c>
      <c r="B339" s="194" t="s">
        <v>1378</v>
      </c>
    </row>
    <row r="340" spans="1:2">
      <c r="A340" s="195" t="s">
        <v>1379</v>
      </c>
      <c r="B340" s="194" t="s">
        <v>1380</v>
      </c>
    </row>
    <row r="341" spans="1:2">
      <c r="A341" s="195" t="s">
        <v>1381</v>
      </c>
      <c r="B341" s="194" t="s">
        <v>1382</v>
      </c>
    </row>
    <row r="342" spans="1:2">
      <c r="A342" s="195" t="s">
        <v>1383</v>
      </c>
      <c r="B342" s="194" t="s">
        <v>1384</v>
      </c>
    </row>
    <row r="343" spans="1:2">
      <c r="A343" s="195" t="s">
        <v>1385</v>
      </c>
      <c r="B343" s="194" t="s">
        <v>1386</v>
      </c>
    </row>
    <row r="344" spans="1:2">
      <c r="A344" s="195" t="s">
        <v>1387</v>
      </c>
      <c r="B344" s="194" t="s">
        <v>1388</v>
      </c>
    </row>
    <row r="345" spans="1:2">
      <c r="A345" s="195" t="s">
        <v>1389</v>
      </c>
      <c r="B345" s="194" t="s">
        <v>1390</v>
      </c>
    </row>
    <row r="346" spans="1:2">
      <c r="A346" s="195" t="s">
        <v>1391</v>
      </c>
      <c r="B346" s="194" t="s">
        <v>1392</v>
      </c>
    </row>
    <row r="347" spans="1:2">
      <c r="A347" s="195" t="s">
        <v>1393</v>
      </c>
      <c r="B347" s="194" t="s">
        <v>1394</v>
      </c>
    </row>
    <row r="348" spans="1:2">
      <c r="A348" s="195" t="s">
        <v>1395</v>
      </c>
      <c r="B348" s="194" t="s">
        <v>1396</v>
      </c>
    </row>
    <row r="349" spans="1:2">
      <c r="A349" s="195" t="s">
        <v>1397</v>
      </c>
      <c r="B349" s="194" t="s">
        <v>1398</v>
      </c>
    </row>
    <row r="350" spans="1:2">
      <c r="A350" s="195" t="s">
        <v>1399</v>
      </c>
      <c r="B350" s="194" t="s">
        <v>1400</v>
      </c>
    </row>
    <row r="351" spans="1:2">
      <c r="A351" s="195" t="s">
        <v>1401</v>
      </c>
      <c r="B351" s="194" t="s">
        <v>1402</v>
      </c>
    </row>
    <row r="352" spans="1:2">
      <c r="A352" s="195" t="s">
        <v>1403</v>
      </c>
      <c r="B352" s="194" t="s">
        <v>1404</v>
      </c>
    </row>
    <row r="353" spans="1:2">
      <c r="A353" s="195" t="s">
        <v>1405</v>
      </c>
      <c r="B353" s="194" t="s">
        <v>1406</v>
      </c>
    </row>
    <row r="354" spans="1:2">
      <c r="A354" s="195" t="s">
        <v>1407</v>
      </c>
      <c r="B354" s="194" t="s">
        <v>1408</v>
      </c>
    </row>
    <row r="355" spans="1:2">
      <c r="A355" s="195" t="s">
        <v>1409</v>
      </c>
      <c r="B355" s="194" t="s">
        <v>1410</v>
      </c>
    </row>
    <row r="356" spans="1:2">
      <c r="A356" s="195" t="s">
        <v>1411</v>
      </c>
      <c r="B356" s="194" t="s">
        <v>1412</v>
      </c>
    </row>
    <row r="357" spans="1:2">
      <c r="A357" s="195" t="s">
        <v>1413</v>
      </c>
      <c r="B357" s="194" t="s">
        <v>1414</v>
      </c>
    </row>
    <row r="358" spans="1:2">
      <c r="A358" s="195" t="s">
        <v>2245</v>
      </c>
      <c r="B358" s="194" t="s">
        <v>2246</v>
      </c>
    </row>
    <row r="359" spans="1:2">
      <c r="A359" s="195" t="s">
        <v>2247</v>
      </c>
      <c r="B359" s="194" t="s">
        <v>2248</v>
      </c>
    </row>
    <row r="360" spans="1:2">
      <c r="A360" s="195" t="s">
        <v>2249</v>
      </c>
      <c r="B360" s="194" t="s">
        <v>2250</v>
      </c>
    </row>
    <row r="361" spans="1:2">
      <c r="A361" s="195" t="s">
        <v>2251</v>
      </c>
      <c r="B361" s="194" t="s">
        <v>2252</v>
      </c>
    </row>
    <row r="362" spans="1:2">
      <c r="A362" s="195" t="s">
        <v>2253</v>
      </c>
      <c r="B362" s="194" t="s">
        <v>2254</v>
      </c>
    </row>
    <row r="363" spans="1:2">
      <c r="A363" s="195" t="s">
        <v>2255</v>
      </c>
      <c r="B363" s="194" t="s">
        <v>2256</v>
      </c>
    </row>
    <row r="364" spans="1:2">
      <c r="A364" s="195" t="s">
        <v>2257</v>
      </c>
      <c r="B364" s="194" t="s">
        <v>2258</v>
      </c>
    </row>
    <row r="365" spans="1:2">
      <c r="A365" s="195" t="s">
        <v>2259</v>
      </c>
      <c r="B365" s="194" t="s">
        <v>2260</v>
      </c>
    </row>
    <row r="366" spans="1:2">
      <c r="A366" s="195" t="s">
        <v>2261</v>
      </c>
      <c r="B366" s="194" t="s">
        <v>2262</v>
      </c>
    </row>
    <row r="367" spans="1:2">
      <c r="A367" s="195" t="s">
        <v>2263</v>
      </c>
      <c r="B367" s="194" t="s">
        <v>2264</v>
      </c>
    </row>
    <row r="368" spans="1:2">
      <c r="A368" s="195" t="s">
        <v>2265</v>
      </c>
      <c r="B368" s="194" t="s">
        <v>2266</v>
      </c>
    </row>
    <row r="369" spans="1:2">
      <c r="A369" s="195" t="s">
        <v>2267</v>
      </c>
      <c r="B369" s="194" t="s">
        <v>2268</v>
      </c>
    </row>
    <row r="370" spans="1:2">
      <c r="A370" s="195" t="s">
        <v>2269</v>
      </c>
      <c r="B370" s="194" t="s">
        <v>2270</v>
      </c>
    </row>
    <row r="371" spans="1:2">
      <c r="A371" s="195" t="s">
        <v>2271</v>
      </c>
      <c r="B371" s="194" t="s">
        <v>2272</v>
      </c>
    </row>
    <row r="372" spans="1:2">
      <c r="A372" s="195" t="s">
        <v>2273</v>
      </c>
      <c r="B372" s="194" t="s">
        <v>2274</v>
      </c>
    </row>
    <row r="373" spans="1:2">
      <c r="A373" s="195" t="s">
        <v>2275</v>
      </c>
      <c r="B373" s="194" t="s">
        <v>2276</v>
      </c>
    </row>
    <row r="374" spans="1:2">
      <c r="A374" s="195" t="s">
        <v>2277</v>
      </c>
      <c r="B374" s="194" t="s">
        <v>2278</v>
      </c>
    </row>
    <row r="375" spans="1:2">
      <c r="A375" s="195" t="s">
        <v>2279</v>
      </c>
      <c r="B375" s="194" t="s">
        <v>2280</v>
      </c>
    </row>
    <row r="376" spans="1:2">
      <c r="A376" s="195" t="s">
        <v>2281</v>
      </c>
      <c r="B376" s="194" t="s">
        <v>2282</v>
      </c>
    </row>
    <row r="377" spans="1:2">
      <c r="A377" s="195" t="s">
        <v>2283</v>
      </c>
      <c r="B377" s="194" t="s">
        <v>2284</v>
      </c>
    </row>
    <row r="378" spans="1:2">
      <c r="A378" s="195" t="s">
        <v>2285</v>
      </c>
      <c r="B378" s="194" t="s">
        <v>2286</v>
      </c>
    </row>
    <row r="379" spans="1:2">
      <c r="A379" s="195" t="s">
        <v>2287</v>
      </c>
      <c r="B379" s="194" t="s">
        <v>2288</v>
      </c>
    </row>
    <row r="380" spans="1:2">
      <c r="A380" s="195" t="s">
        <v>2289</v>
      </c>
      <c r="B380" s="194" t="s">
        <v>2290</v>
      </c>
    </row>
    <row r="381" spans="1:2">
      <c r="A381" s="195" t="s">
        <v>2291</v>
      </c>
      <c r="B381" s="194" t="s">
        <v>2292</v>
      </c>
    </row>
    <row r="382" spans="1:2">
      <c r="A382" s="195" t="s">
        <v>2293</v>
      </c>
      <c r="B382" s="194" t="s">
        <v>2294</v>
      </c>
    </row>
    <row r="383" spans="1:2">
      <c r="A383" s="195" t="s">
        <v>2295</v>
      </c>
      <c r="B383" s="194" t="s">
        <v>2296</v>
      </c>
    </row>
    <row r="384" spans="1:2">
      <c r="A384" s="195" t="s">
        <v>2297</v>
      </c>
      <c r="B384" s="194" t="s">
        <v>2298</v>
      </c>
    </row>
    <row r="385" spans="1:2">
      <c r="A385" s="195" t="s">
        <v>2299</v>
      </c>
      <c r="B385" s="194" t="s">
        <v>2300</v>
      </c>
    </row>
    <row r="386" spans="1:2">
      <c r="A386" s="195" t="s">
        <v>2301</v>
      </c>
      <c r="B386" s="194" t="s">
        <v>2302</v>
      </c>
    </row>
    <row r="387" spans="1:2">
      <c r="A387" s="195" t="s">
        <v>2303</v>
      </c>
      <c r="B387" s="194" t="s">
        <v>874</v>
      </c>
    </row>
    <row r="388" spans="1:2">
      <c r="A388" s="195" t="s">
        <v>2304</v>
      </c>
      <c r="B388" s="194" t="s">
        <v>1147</v>
      </c>
    </row>
    <row r="389" spans="1:2">
      <c r="A389" s="195" t="s">
        <v>2305</v>
      </c>
      <c r="B389" s="194" t="s">
        <v>2306</v>
      </c>
    </row>
    <row r="390" spans="1:2">
      <c r="A390" s="195" t="s">
        <v>2307</v>
      </c>
      <c r="B390" s="194" t="s">
        <v>2308</v>
      </c>
    </row>
    <row r="391" spans="1:2">
      <c r="A391" s="195" t="s">
        <v>2309</v>
      </c>
      <c r="B391" s="194" t="s">
        <v>2310</v>
      </c>
    </row>
    <row r="392" spans="1:2">
      <c r="A392" s="195" t="s">
        <v>2311</v>
      </c>
      <c r="B392" s="194" t="s">
        <v>2312</v>
      </c>
    </row>
    <row r="393" spans="1:2">
      <c r="A393" s="195" t="s">
        <v>2313</v>
      </c>
      <c r="B393" s="194" t="s">
        <v>2314</v>
      </c>
    </row>
    <row r="394" spans="1:2">
      <c r="A394" s="195" t="s">
        <v>2315</v>
      </c>
      <c r="B394" s="194" t="s">
        <v>2316</v>
      </c>
    </row>
    <row r="395" spans="1:2">
      <c r="A395" s="195" t="s">
        <v>2317</v>
      </c>
      <c r="B395" s="194" t="s">
        <v>2318</v>
      </c>
    </row>
    <row r="396" spans="1:2">
      <c r="A396" s="195" t="s">
        <v>2319</v>
      </c>
      <c r="B396" s="194" t="s">
        <v>2320</v>
      </c>
    </row>
    <row r="397" spans="1:2">
      <c r="A397" s="195" t="s">
        <v>2321</v>
      </c>
      <c r="B397" s="194" t="s">
        <v>2322</v>
      </c>
    </row>
    <row r="398" spans="1:2">
      <c r="A398" s="195" t="s">
        <v>2323</v>
      </c>
      <c r="B398" s="194" t="s">
        <v>2324</v>
      </c>
    </row>
    <row r="399" spans="1:2">
      <c r="A399" s="195" t="s">
        <v>3138</v>
      </c>
      <c r="B399" s="194" t="s">
        <v>3139</v>
      </c>
    </row>
    <row r="400" spans="1:2">
      <c r="A400" s="195" t="s">
        <v>3140</v>
      </c>
      <c r="B400" s="194" t="s">
        <v>3141</v>
      </c>
    </row>
    <row r="401" spans="1:2">
      <c r="A401" s="195" t="s">
        <v>3142</v>
      </c>
      <c r="B401" s="194" t="s">
        <v>3143</v>
      </c>
    </row>
    <row r="402" spans="1:2">
      <c r="A402" s="195" t="s">
        <v>3144</v>
      </c>
      <c r="B402" s="194" t="s">
        <v>3145</v>
      </c>
    </row>
    <row r="403" spans="1:2">
      <c r="A403" s="195" t="s">
        <v>3146</v>
      </c>
      <c r="B403" s="194" t="s">
        <v>3147</v>
      </c>
    </row>
    <row r="404" spans="1:2">
      <c r="A404" s="195" t="s">
        <v>3148</v>
      </c>
      <c r="B404" s="194" t="s">
        <v>3149</v>
      </c>
    </row>
    <row r="405" spans="1:2">
      <c r="A405" s="195" t="s">
        <v>3150</v>
      </c>
      <c r="B405" s="194" t="s">
        <v>3151</v>
      </c>
    </row>
    <row r="406" spans="1:2">
      <c r="A406" s="195" t="s">
        <v>3152</v>
      </c>
      <c r="B406" s="194" t="s">
        <v>3153</v>
      </c>
    </row>
    <row r="407" spans="1:2">
      <c r="A407" s="195" t="s">
        <v>3154</v>
      </c>
      <c r="B407" s="194" t="s">
        <v>3155</v>
      </c>
    </row>
    <row r="408" spans="1:2">
      <c r="A408" s="195" t="s">
        <v>3156</v>
      </c>
      <c r="B408" s="194" t="s">
        <v>3157</v>
      </c>
    </row>
    <row r="409" spans="1:2">
      <c r="A409" s="195" t="s">
        <v>3158</v>
      </c>
      <c r="B409" s="194" t="s">
        <v>3159</v>
      </c>
    </row>
    <row r="410" spans="1:2">
      <c r="A410" s="195" t="s">
        <v>3160</v>
      </c>
      <c r="B410" s="194" t="s">
        <v>3161</v>
      </c>
    </row>
    <row r="411" spans="1:2">
      <c r="A411" s="195" t="s">
        <v>3162</v>
      </c>
      <c r="B411" s="194" t="s">
        <v>3163</v>
      </c>
    </row>
    <row r="412" spans="1:2">
      <c r="A412" s="195" t="s">
        <v>3164</v>
      </c>
      <c r="B412" s="194" t="s">
        <v>3165</v>
      </c>
    </row>
    <row r="413" spans="1:2">
      <c r="A413" s="195" t="s">
        <v>3166</v>
      </c>
      <c r="B413" s="194" t="s">
        <v>3167</v>
      </c>
    </row>
    <row r="414" spans="1:2">
      <c r="A414" s="195" t="s">
        <v>3168</v>
      </c>
      <c r="B414" s="194" t="s">
        <v>3169</v>
      </c>
    </row>
    <row r="415" spans="1:2">
      <c r="A415" s="195" t="s">
        <v>3170</v>
      </c>
      <c r="B415" s="194" t="s">
        <v>3171</v>
      </c>
    </row>
    <row r="416" spans="1:2">
      <c r="A416" s="195" t="s">
        <v>3172</v>
      </c>
      <c r="B416" s="194" t="s">
        <v>3173</v>
      </c>
    </row>
    <row r="417" spans="1:2">
      <c r="A417" s="195" t="s">
        <v>3174</v>
      </c>
      <c r="B417" s="194" t="s">
        <v>3175</v>
      </c>
    </row>
    <row r="418" spans="1:2">
      <c r="A418" s="195" t="s">
        <v>3176</v>
      </c>
      <c r="B418" s="194" t="s">
        <v>3177</v>
      </c>
    </row>
    <row r="419" spans="1:2">
      <c r="A419" s="195" t="s">
        <v>3178</v>
      </c>
      <c r="B419" s="194" t="s">
        <v>3179</v>
      </c>
    </row>
    <row r="420" spans="1:2">
      <c r="A420" s="195" t="s">
        <v>3180</v>
      </c>
      <c r="B420" s="194" t="s">
        <v>3181</v>
      </c>
    </row>
    <row r="421" spans="1:2">
      <c r="A421" s="195" t="s">
        <v>3182</v>
      </c>
      <c r="B421" s="194" t="s">
        <v>3183</v>
      </c>
    </row>
    <row r="422" spans="1:2">
      <c r="A422" s="195" t="s">
        <v>3184</v>
      </c>
      <c r="B422" s="194" t="s">
        <v>3185</v>
      </c>
    </row>
    <row r="423" spans="1:2">
      <c r="A423" s="173" t="s">
        <v>138</v>
      </c>
      <c r="B423" s="174" t="s">
        <v>1911</v>
      </c>
    </row>
    <row r="424" spans="1:2">
      <c r="A424" s="197" t="s">
        <v>803</v>
      </c>
      <c r="B424" s="196" t="s">
        <v>804</v>
      </c>
    </row>
    <row r="425" spans="1:2">
      <c r="A425" s="197" t="s">
        <v>805</v>
      </c>
      <c r="B425" s="196" t="s">
        <v>806</v>
      </c>
    </row>
    <row r="426" spans="1:2">
      <c r="A426" s="197" t="s">
        <v>807</v>
      </c>
      <c r="B426" s="196" t="s">
        <v>808</v>
      </c>
    </row>
    <row r="427" spans="1:2">
      <c r="A427" s="197" t="s">
        <v>3186</v>
      </c>
      <c r="B427" s="196" t="s">
        <v>3187</v>
      </c>
    </row>
    <row r="428" spans="1:2">
      <c r="A428" s="197" t="s">
        <v>3188</v>
      </c>
      <c r="B428" s="196" t="s">
        <v>3189</v>
      </c>
    </row>
    <row r="429" spans="1:2">
      <c r="A429" s="197" t="s">
        <v>3190</v>
      </c>
      <c r="B429" s="196" t="s">
        <v>3191</v>
      </c>
    </row>
    <row r="430" spans="1:2">
      <c r="A430" s="197" t="s">
        <v>3192</v>
      </c>
      <c r="B430" s="196" t="s">
        <v>3193</v>
      </c>
    </row>
    <row r="431" spans="1:2">
      <c r="A431" s="197" t="s">
        <v>809</v>
      </c>
      <c r="B431" s="196" t="s">
        <v>810</v>
      </c>
    </row>
    <row r="432" spans="1:2">
      <c r="A432" s="197" t="s">
        <v>811</v>
      </c>
      <c r="B432" s="196" t="s">
        <v>812</v>
      </c>
    </row>
    <row r="433" spans="1:2">
      <c r="A433" s="197" t="s">
        <v>813</v>
      </c>
      <c r="B433" s="196" t="s">
        <v>814</v>
      </c>
    </row>
    <row r="434" spans="1:2">
      <c r="A434" s="197" t="s">
        <v>815</v>
      </c>
      <c r="B434" s="196" t="s">
        <v>816</v>
      </c>
    </row>
    <row r="435" spans="1:2">
      <c r="A435" s="197" t="s">
        <v>817</v>
      </c>
      <c r="B435" s="196" t="s">
        <v>818</v>
      </c>
    </row>
    <row r="436" spans="1:2">
      <c r="A436" s="197" t="s">
        <v>819</v>
      </c>
      <c r="B436" s="196" t="s">
        <v>820</v>
      </c>
    </row>
    <row r="437" spans="1:2">
      <c r="A437" s="197" t="s">
        <v>821</v>
      </c>
      <c r="B437" s="196" t="s">
        <v>822</v>
      </c>
    </row>
    <row r="438" spans="1:2">
      <c r="A438" s="197" t="s">
        <v>823</v>
      </c>
      <c r="B438" s="196" t="s">
        <v>824</v>
      </c>
    </row>
    <row r="439" spans="1:2">
      <c r="A439" s="197" t="s">
        <v>825</v>
      </c>
      <c r="B439" s="196" t="s">
        <v>826</v>
      </c>
    </row>
    <row r="440" spans="1:2">
      <c r="A440" s="197" t="s">
        <v>827</v>
      </c>
      <c r="B440" s="196" t="s">
        <v>828</v>
      </c>
    </row>
    <row r="441" spans="1:2">
      <c r="A441" s="197" t="s">
        <v>829</v>
      </c>
      <c r="B441" s="196" t="s">
        <v>830</v>
      </c>
    </row>
    <row r="442" spans="1:2">
      <c r="A442" s="197" t="s">
        <v>831</v>
      </c>
      <c r="B442" s="196" t="s">
        <v>832</v>
      </c>
    </row>
    <row r="443" spans="1:2">
      <c r="A443" s="197" t="s">
        <v>833</v>
      </c>
      <c r="B443" s="196" t="s">
        <v>834</v>
      </c>
    </row>
    <row r="444" spans="1:2">
      <c r="A444" s="197" t="s">
        <v>835</v>
      </c>
      <c r="B444" s="196" t="s">
        <v>836</v>
      </c>
    </row>
    <row r="445" spans="1:2">
      <c r="A445" s="197" t="s">
        <v>837</v>
      </c>
      <c r="B445" s="196" t="s">
        <v>838</v>
      </c>
    </row>
    <row r="446" spans="1:2">
      <c r="A446" s="197" t="s">
        <v>839</v>
      </c>
      <c r="B446" s="196" t="s">
        <v>840</v>
      </c>
    </row>
    <row r="447" spans="1:2">
      <c r="A447" s="197" t="s">
        <v>841</v>
      </c>
      <c r="B447" s="196" t="s">
        <v>842</v>
      </c>
    </row>
    <row r="448" spans="1:2">
      <c r="A448" s="197" t="s">
        <v>843</v>
      </c>
      <c r="B448" s="196" t="s">
        <v>844</v>
      </c>
    </row>
    <row r="449" spans="1:2">
      <c r="A449" s="197" t="s">
        <v>845</v>
      </c>
      <c r="B449" s="196" t="s">
        <v>846</v>
      </c>
    </row>
    <row r="450" spans="1:2">
      <c r="A450" s="197" t="s">
        <v>847</v>
      </c>
      <c r="B450" s="196" t="s">
        <v>848</v>
      </c>
    </row>
    <row r="451" spans="1:2">
      <c r="A451" s="197" t="s">
        <v>849</v>
      </c>
      <c r="B451" s="196" t="s">
        <v>850</v>
      </c>
    </row>
    <row r="452" spans="1:2">
      <c r="A452" s="197" t="s">
        <v>851</v>
      </c>
      <c r="B452" s="196" t="s">
        <v>852</v>
      </c>
    </row>
    <row r="453" spans="1:2">
      <c r="A453" s="197" t="s">
        <v>853</v>
      </c>
      <c r="B453" s="196" t="s">
        <v>854</v>
      </c>
    </row>
    <row r="454" spans="1:2">
      <c r="A454" s="197" t="s">
        <v>855</v>
      </c>
      <c r="B454" s="196" t="s">
        <v>856</v>
      </c>
    </row>
    <row r="455" spans="1:2">
      <c r="A455" s="197" t="s">
        <v>857</v>
      </c>
      <c r="B455" s="196" t="s">
        <v>858</v>
      </c>
    </row>
    <row r="456" spans="1:2">
      <c r="A456" s="197" t="s">
        <v>1415</v>
      </c>
      <c r="B456" s="196" t="s">
        <v>1416</v>
      </c>
    </row>
    <row r="457" spans="1:2">
      <c r="A457" s="197" t="s">
        <v>1417</v>
      </c>
      <c r="B457" s="196" t="s">
        <v>1418</v>
      </c>
    </row>
    <row r="458" spans="1:2">
      <c r="A458" s="197" t="s">
        <v>1419</v>
      </c>
      <c r="B458" s="196" t="s">
        <v>1420</v>
      </c>
    </row>
    <row r="459" spans="1:2">
      <c r="A459" s="197" t="s">
        <v>1421</v>
      </c>
      <c r="B459" s="196" t="s">
        <v>1422</v>
      </c>
    </row>
    <row r="460" spans="1:2">
      <c r="A460" s="197" t="s">
        <v>1423</v>
      </c>
      <c r="B460" s="196" t="s">
        <v>1424</v>
      </c>
    </row>
    <row r="461" spans="1:2">
      <c r="A461" s="197" t="s">
        <v>1425</v>
      </c>
      <c r="B461" s="196" t="s">
        <v>1426</v>
      </c>
    </row>
    <row r="462" spans="1:2">
      <c r="A462" s="197" t="s">
        <v>1427</v>
      </c>
      <c r="B462" s="196" t="s">
        <v>1428</v>
      </c>
    </row>
    <row r="463" spans="1:2">
      <c r="A463" s="197" t="s">
        <v>1429</v>
      </c>
      <c r="B463" s="196" t="s">
        <v>1430</v>
      </c>
    </row>
    <row r="464" spans="1:2">
      <c r="A464" s="197" t="s">
        <v>1431</v>
      </c>
      <c r="B464" s="196" t="s">
        <v>1432</v>
      </c>
    </row>
    <row r="465" spans="1:2">
      <c r="A465" s="197" t="s">
        <v>1433</v>
      </c>
      <c r="B465" s="196" t="s">
        <v>1434</v>
      </c>
    </row>
    <row r="466" spans="1:2">
      <c r="A466" s="197" t="s">
        <v>1435</v>
      </c>
      <c r="B466" s="196" t="s">
        <v>1436</v>
      </c>
    </row>
    <row r="467" spans="1:2">
      <c r="A467" s="197" t="s">
        <v>1437</v>
      </c>
      <c r="B467" s="196" t="s">
        <v>1438</v>
      </c>
    </row>
    <row r="468" spans="1:2">
      <c r="A468" s="197" t="s">
        <v>1439</v>
      </c>
      <c r="B468" s="196" t="s">
        <v>1440</v>
      </c>
    </row>
    <row r="469" spans="1:2">
      <c r="A469" s="197" t="s">
        <v>1441</v>
      </c>
      <c r="B469" s="196" t="s">
        <v>1442</v>
      </c>
    </row>
    <row r="470" spans="1:2">
      <c r="A470" s="197" t="s">
        <v>1443</v>
      </c>
      <c r="B470" s="196" t="s">
        <v>1444</v>
      </c>
    </row>
    <row r="471" spans="1:2">
      <c r="A471" s="197" t="s">
        <v>1445</v>
      </c>
      <c r="B471" s="196" t="s">
        <v>1446</v>
      </c>
    </row>
    <row r="472" spans="1:2">
      <c r="A472" s="197" t="s">
        <v>1447</v>
      </c>
      <c r="B472" s="196" t="s">
        <v>1448</v>
      </c>
    </row>
    <row r="473" spans="1:2">
      <c r="A473" s="197" t="s">
        <v>1449</v>
      </c>
      <c r="B473" s="196" t="s">
        <v>1450</v>
      </c>
    </row>
    <row r="474" spans="1:2">
      <c r="A474" s="197" t="s">
        <v>1451</v>
      </c>
      <c r="B474" s="196" t="s">
        <v>1452</v>
      </c>
    </row>
    <row r="475" spans="1:2">
      <c r="A475" s="197" t="s">
        <v>1453</v>
      </c>
      <c r="B475" s="196" t="s">
        <v>1454</v>
      </c>
    </row>
    <row r="476" spans="1:2">
      <c r="A476" s="197" t="s">
        <v>1455</v>
      </c>
      <c r="B476" s="196" t="s">
        <v>1456</v>
      </c>
    </row>
    <row r="477" spans="1:2">
      <c r="A477" s="197" t="s">
        <v>1457</v>
      </c>
      <c r="B477" s="196" t="s">
        <v>1458</v>
      </c>
    </row>
    <row r="478" spans="1:2">
      <c r="A478" s="197" t="s">
        <v>1459</v>
      </c>
      <c r="B478" s="196" t="s">
        <v>1460</v>
      </c>
    </row>
    <row r="479" spans="1:2">
      <c r="A479" s="197" t="s">
        <v>1461</v>
      </c>
      <c r="B479" s="196" t="s">
        <v>1462</v>
      </c>
    </row>
    <row r="480" spans="1:2">
      <c r="A480" s="197" t="s">
        <v>1463</v>
      </c>
      <c r="B480" s="196" t="s">
        <v>1464</v>
      </c>
    </row>
    <row r="481" spans="1:2">
      <c r="A481" s="197" t="s">
        <v>1465</v>
      </c>
      <c r="B481" s="196" t="s">
        <v>1466</v>
      </c>
    </row>
    <row r="482" spans="1:2">
      <c r="A482" s="197" t="s">
        <v>1467</v>
      </c>
      <c r="B482" s="196" t="s">
        <v>1468</v>
      </c>
    </row>
    <row r="483" spans="1:2">
      <c r="A483" s="197" t="s">
        <v>1469</v>
      </c>
      <c r="B483" s="196" t="s">
        <v>1470</v>
      </c>
    </row>
    <row r="484" spans="1:2">
      <c r="A484" s="197" t="s">
        <v>1471</v>
      </c>
      <c r="B484" s="196" t="s">
        <v>1472</v>
      </c>
    </row>
    <row r="485" spans="1:2">
      <c r="A485" s="197" t="s">
        <v>1473</v>
      </c>
      <c r="B485" s="196" t="s">
        <v>1474</v>
      </c>
    </row>
    <row r="486" spans="1:2">
      <c r="A486" s="197" t="s">
        <v>1475</v>
      </c>
      <c r="B486" s="196" t="s">
        <v>1476</v>
      </c>
    </row>
    <row r="487" spans="1:2">
      <c r="A487" s="197" t="s">
        <v>1477</v>
      </c>
      <c r="B487" s="196" t="s">
        <v>1478</v>
      </c>
    </row>
    <row r="488" spans="1:2">
      <c r="A488" s="197" t="s">
        <v>1479</v>
      </c>
      <c r="B488" s="196" t="s">
        <v>1480</v>
      </c>
    </row>
    <row r="489" spans="1:2">
      <c r="A489" s="197" t="s">
        <v>1481</v>
      </c>
      <c r="B489" s="196" t="s">
        <v>1482</v>
      </c>
    </row>
    <row r="490" spans="1:2">
      <c r="A490" s="197" t="s">
        <v>1483</v>
      </c>
      <c r="B490" s="196" t="s">
        <v>1484</v>
      </c>
    </row>
    <row r="491" spans="1:2">
      <c r="A491" s="197" t="s">
        <v>1485</v>
      </c>
      <c r="B491" s="196" t="s">
        <v>1486</v>
      </c>
    </row>
    <row r="492" spans="1:2">
      <c r="A492" s="197" t="s">
        <v>1487</v>
      </c>
      <c r="B492" s="196" t="s">
        <v>1488</v>
      </c>
    </row>
    <row r="493" spans="1:2">
      <c r="A493" s="197" t="s">
        <v>1489</v>
      </c>
      <c r="B493" s="196" t="s">
        <v>1490</v>
      </c>
    </row>
    <row r="494" spans="1:2">
      <c r="A494" s="197" t="s">
        <v>1491</v>
      </c>
      <c r="B494" s="196" t="s">
        <v>1492</v>
      </c>
    </row>
    <row r="495" spans="1:2">
      <c r="A495" s="197" t="s">
        <v>1493</v>
      </c>
      <c r="B495" s="196" t="s">
        <v>1494</v>
      </c>
    </row>
    <row r="496" spans="1:2">
      <c r="A496" s="197" t="s">
        <v>1495</v>
      </c>
      <c r="B496" s="196" t="s">
        <v>1496</v>
      </c>
    </row>
    <row r="497" spans="1:2">
      <c r="A497" s="197" t="s">
        <v>1497</v>
      </c>
      <c r="B497" s="196" t="s">
        <v>1498</v>
      </c>
    </row>
    <row r="498" spans="1:2">
      <c r="A498" s="197" t="s">
        <v>1499</v>
      </c>
      <c r="B498" s="196" t="s">
        <v>1500</v>
      </c>
    </row>
    <row r="499" spans="1:2">
      <c r="A499" s="197" t="s">
        <v>1501</v>
      </c>
      <c r="B499" s="196" t="s">
        <v>1502</v>
      </c>
    </row>
    <row r="500" spans="1:2">
      <c r="A500" s="197" t="s">
        <v>1503</v>
      </c>
      <c r="B500" s="196" t="s">
        <v>1504</v>
      </c>
    </row>
    <row r="501" spans="1:2">
      <c r="A501" s="197" t="s">
        <v>1505</v>
      </c>
      <c r="B501" s="196" t="s">
        <v>1506</v>
      </c>
    </row>
    <row r="502" spans="1:2">
      <c r="A502" s="197" t="s">
        <v>1507</v>
      </c>
      <c r="B502" s="196" t="s">
        <v>1508</v>
      </c>
    </row>
    <row r="503" spans="1:2">
      <c r="A503" s="197" t="s">
        <v>1509</v>
      </c>
      <c r="B503" s="196" t="s">
        <v>1510</v>
      </c>
    </row>
    <row r="504" spans="1:2">
      <c r="A504" s="197" t="s">
        <v>1511</v>
      </c>
      <c r="B504" s="196" t="s">
        <v>1512</v>
      </c>
    </row>
    <row r="505" spans="1:2">
      <c r="A505" s="197" t="s">
        <v>1513</v>
      </c>
      <c r="B505" s="196" t="s">
        <v>1514</v>
      </c>
    </row>
    <row r="506" spans="1:2">
      <c r="A506" s="197" t="s">
        <v>1515</v>
      </c>
      <c r="B506" s="196" t="s">
        <v>1516</v>
      </c>
    </row>
    <row r="507" spans="1:2">
      <c r="A507" s="197" t="s">
        <v>1517</v>
      </c>
      <c r="B507" s="196" t="s">
        <v>1518</v>
      </c>
    </row>
    <row r="508" spans="1:2">
      <c r="A508" s="197" t="s">
        <v>1519</v>
      </c>
      <c r="B508" s="196" t="s">
        <v>1520</v>
      </c>
    </row>
    <row r="509" spans="1:2">
      <c r="A509" s="197" t="s">
        <v>1521</v>
      </c>
      <c r="B509" s="196" t="s">
        <v>1522</v>
      </c>
    </row>
    <row r="510" spans="1:2">
      <c r="A510" s="197" t="s">
        <v>1523</v>
      </c>
      <c r="B510" s="196" t="s">
        <v>1524</v>
      </c>
    </row>
    <row r="511" spans="1:2">
      <c r="A511" s="197" t="s">
        <v>1525</v>
      </c>
      <c r="B511" s="196" t="s">
        <v>1526</v>
      </c>
    </row>
    <row r="512" spans="1:2">
      <c r="A512" s="197" t="s">
        <v>1527</v>
      </c>
      <c r="B512" s="196" t="s">
        <v>1528</v>
      </c>
    </row>
    <row r="513" spans="1:2">
      <c r="A513" s="197" t="s">
        <v>1529</v>
      </c>
      <c r="B513" s="196" t="s">
        <v>1530</v>
      </c>
    </row>
    <row r="514" spans="1:2">
      <c r="A514" s="197" t="s">
        <v>1531</v>
      </c>
      <c r="B514" s="196" t="s">
        <v>1532</v>
      </c>
    </row>
    <row r="515" spans="1:2">
      <c r="A515" s="197" t="s">
        <v>1533</v>
      </c>
      <c r="B515" s="196" t="s">
        <v>1534</v>
      </c>
    </row>
    <row r="516" spans="1:2">
      <c r="A516" s="197" t="s">
        <v>1535</v>
      </c>
      <c r="B516" s="196" t="s">
        <v>1536</v>
      </c>
    </row>
    <row r="517" spans="1:2">
      <c r="A517" s="197" t="s">
        <v>1537</v>
      </c>
      <c r="B517" s="196" t="s">
        <v>1538</v>
      </c>
    </row>
    <row r="518" spans="1:2">
      <c r="A518" s="197" t="s">
        <v>1539</v>
      </c>
      <c r="B518" s="196" t="s">
        <v>1540</v>
      </c>
    </row>
    <row r="519" spans="1:2">
      <c r="A519" s="197" t="s">
        <v>1541</v>
      </c>
      <c r="B519" s="196" t="s">
        <v>1542</v>
      </c>
    </row>
    <row r="520" spans="1:2">
      <c r="A520" s="197" t="s">
        <v>1543</v>
      </c>
      <c r="B520" s="196" t="s">
        <v>1544</v>
      </c>
    </row>
    <row r="521" spans="1:2">
      <c r="A521" s="197" t="s">
        <v>1545</v>
      </c>
      <c r="B521" s="196" t="s">
        <v>1546</v>
      </c>
    </row>
    <row r="522" spans="1:2">
      <c r="A522" s="197" t="s">
        <v>1547</v>
      </c>
      <c r="B522" s="196" t="s">
        <v>1548</v>
      </c>
    </row>
    <row r="523" spans="1:2">
      <c r="A523" s="197" t="s">
        <v>1549</v>
      </c>
      <c r="B523" s="196" t="s">
        <v>1550</v>
      </c>
    </row>
    <row r="524" spans="1:2">
      <c r="A524" s="197" t="s">
        <v>1551</v>
      </c>
      <c r="B524" s="196" t="s">
        <v>1552</v>
      </c>
    </row>
    <row r="525" spans="1:2">
      <c r="A525" s="197" t="s">
        <v>1553</v>
      </c>
      <c r="B525" s="196" t="s">
        <v>1554</v>
      </c>
    </row>
    <row r="526" spans="1:2">
      <c r="A526" s="197" t="s">
        <v>1555</v>
      </c>
      <c r="B526" s="196" t="s">
        <v>1556</v>
      </c>
    </row>
    <row r="527" spans="1:2">
      <c r="A527" s="197" t="s">
        <v>1557</v>
      </c>
      <c r="B527" s="196" t="s">
        <v>1558</v>
      </c>
    </row>
    <row r="528" spans="1:2">
      <c r="A528" s="197" t="s">
        <v>1559</v>
      </c>
      <c r="B528" s="196" t="s">
        <v>1560</v>
      </c>
    </row>
    <row r="529" spans="1:2">
      <c r="A529" s="197" t="s">
        <v>1561</v>
      </c>
      <c r="B529" s="196" t="s">
        <v>1562</v>
      </c>
    </row>
    <row r="530" spans="1:2">
      <c r="A530" s="197" t="s">
        <v>1563</v>
      </c>
      <c r="B530" s="196" t="s">
        <v>1564</v>
      </c>
    </row>
    <row r="531" spans="1:2">
      <c r="A531" s="197" t="s">
        <v>2325</v>
      </c>
      <c r="B531" s="196" t="s">
        <v>2326</v>
      </c>
    </row>
    <row r="532" spans="1:2">
      <c r="A532" s="197" t="s">
        <v>2327</v>
      </c>
      <c r="B532" s="196" t="s">
        <v>2328</v>
      </c>
    </row>
    <row r="533" spans="1:2">
      <c r="A533" s="197" t="s">
        <v>2329</v>
      </c>
      <c r="B533" s="196" t="s">
        <v>2330</v>
      </c>
    </row>
    <row r="534" spans="1:2">
      <c r="A534" s="197" t="s">
        <v>2331</v>
      </c>
      <c r="B534" s="196" t="s">
        <v>2332</v>
      </c>
    </row>
    <row r="535" spans="1:2">
      <c r="A535" s="197" t="s">
        <v>2333</v>
      </c>
      <c r="B535" s="196" t="s">
        <v>2334</v>
      </c>
    </row>
    <row r="536" spans="1:2">
      <c r="A536" s="197" t="s">
        <v>2335</v>
      </c>
      <c r="B536" s="196" t="s">
        <v>2336</v>
      </c>
    </row>
    <row r="537" spans="1:2">
      <c r="A537" s="197" t="s">
        <v>2337</v>
      </c>
      <c r="B537" s="196" t="s">
        <v>2338</v>
      </c>
    </row>
    <row r="538" spans="1:2">
      <c r="A538" s="197" t="s">
        <v>2339</v>
      </c>
      <c r="B538" s="196" t="s">
        <v>2340</v>
      </c>
    </row>
    <row r="539" spans="1:2">
      <c r="A539" s="197" t="s">
        <v>2341</v>
      </c>
      <c r="B539" s="196" t="s">
        <v>2342</v>
      </c>
    </row>
    <row r="540" spans="1:2">
      <c r="A540" s="197" t="s">
        <v>2343</v>
      </c>
      <c r="B540" s="196" t="s">
        <v>2344</v>
      </c>
    </row>
    <row r="541" spans="1:2">
      <c r="A541" s="197" t="s">
        <v>2345</v>
      </c>
      <c r="B541" s="196" t="s">
        <v>2346</v>
      </c>
    </row>
    <row r="542" spans="1:2">
      <c r="A542" s="197" t="s">
        <v>2347</v>
      </c>
      <c r="B542" s="196" t="s">
        <v>2348</v>
      </c>
    </row>
    <row r="543" spans="1:2">
      <c r="A543" s="197" t="s">
        <v>2349</v>
      </c>
      <c r="B543" s="196" t="s">
        <v>2350</v>
      </c>
    </row>
    <row r="544" spans="1:2">
      <c r="A544" s="197" t="s">
        <v>2351</v>
      </c>
      <c r="B544" s="196" t="s">
        <v>2352</v>
      </c>
    </row>
    <row r="545" spans="1:2">
      <c r="A545" s="197" t="s">
        <v>2353</v>
      </c>
      <c r="B545" s="196" t="s">
        <v>2354</v>
      </c>
    </row>
    <row r="546" spans="1:2">
      <c r="A546" s="197" t="s">
        <v>2355</v>
      </c>
      <c r="B546" s="196" t="s">
        <v>2356</v>
      </c>
    </row>
    <row r="547" spans="1:2">
      <c r="A547" s="197" t="s">
        <v>2357</v>
      </c>
      <c r="B547" s="196" t="s">
        <v>2358</v>
      </c>
    </row>
    <row r="548" spans="1:2">
      <c r="A548" s="197" t="s">
        <v>2359</v>
      </c>
      <c r="B548" s="196" t="s">
        <v>2360</v>
      </c>
    </row>
    <row r="549" spans="1:2">
      <c r="A549" s="197" t="s">
        <v>2361</v>
      </c>
      <c r="B549" s="196" t="s">
        <v>2362</v>
      </c>
    </row>
    <row r="550" spans="1:2">
      <c r="A550" s="197" t="s">
        <v>2363</v>
      </c>
      <c r="B550" s="196" t="s">
        <v>2364</v>
      </c>
    </row>
    <row r="551" spans="1:2">
      <c r="A551" s="197" t="s">
        <v>2365</v>
      </c>
      <c r="B551" s="196" t="s">
        <v>2366</v>
      </c>
    </row>
    <row r="552" spans="1:2">
      <c r="A552" s="197" t="s">
        <v>2367</v>
      </c>
      <c r="B552" s="196" t="s">
        <v>2368</v>
      </c>
    </row>
    <row r="553" spans="1:2">
      <c r="A553" s="197" t="s">
        <v>2369</v>
      </c>
      <c r="B553" s="196" t="s">
        <v>2370</v>
      </c>
    </row>
    <row r="554" spans="1:2">
      <c r="A554" s="197" t="s">
        <v>2371</v>
      </c>
      <c r="B554" s="196" t="s">
        <v>2372</v>
      </c>
    </row>
    <row r="555" spans="1:2">
      <c r="A555" s="197" t="s">
        <v>2373</v>
      </c>
      <c r="B555" s="196" t="s">
        <v>2374</v>
      </c>
    </row>
    <row r="556" spans="1:2">
      <c r="A556" s="197" t="s">
        <v>2375</v>
      </c>
      <c r="B556" s="196" t="s">
        <v>2376</v>
      </c>
    </row>
    <row r="557" spans="1:2">
      <c r="A557" s="197" t="s">
        <v>2377</v>
      </c>
      <c r="B557" s="196" t="s">
        <v>2378</v>
      </c>
    </row>
    <row r="558" spans="1:2">
      <c r="A558" s="197" t="s">
        <v>2379</v>
      </c>
      <c r="B558" s="196" t="s">
        <v>2380</v>
      </c>
    </row>
    <row r="559" spans="1:2">
      <c r="A559" s="197" t="s">
        <v>2381</v>
      </c>
      <c r="B559" s="196" t="s">
        <v>2382</v>
      </c>
    </row>
    <row r="560" spans="1:2">
      <c r="A560" s="197" t="s">
        <v>2383</v>
      </c>
      <c r="B560" s="196" t="s">
        <v>2384</v>
      </c>
    </row>
    <row r="561" spans="1:2">
      <c r="A561" s="197" t="s">
        <v>2385</v>
      </c>
      <c r="B561" s="196" t="s">
        <v>1418</v>
      </c>
    </row>
    <row r="562" spans="1:2">
      <c r="A562" s="197" t="s">
        <v>2386</v>
      </c>
      <c r="B562" s="196" t="s">
        <v>2387</v>
      </c>
    </row>
    <row r="563" spans="1:2">
      <c r="A563" s="197" t="s">
        <v>2388</v>
      </c>
      <c r="B563" s="196" t="s">
        <v>2389</v>
      </c>
    </row>
    <row r="564" spans="1:2">
      <c r="A564" s="197" t="s">
        <v>2390</v>
      </c>
      <c r="B564" s="196" t="s">
        <v>2391</v>
      </c>
    </row>
    <row r="565" spans="1:2">
      <c r="A565" s="197" t="s">
        <v>2392</v>
      </c>
      <c r="B565" s="196" t="s">
        <v>2393</v>
      </c>
    </row>
    <row r="566" spans="1:2">
      <c r="A566" s="197" t="s">
        <v>2394</v>
      </c>
      <c r="B566" s="196" t="s">
        <v>2395</v>
      </c>
    </row>
    <row r="567" spans="1:2">
      <c r="A567" s="197" t="s">
        <v>2396</v>
      </c>
      <c r="B567" s="196" t="s">
        <v>2397</v>
      </c>
    </row>
    <row r="568" spans="1:2">
      <c r="A568" s="197" t="s">
        <v>2398</v>
      </c>
      <c r="B568" s="196" t="s">
        <v>2399</v>
      </c>
    </row>
    <row r="569" spans="1:2">
      <c r="A569" s="197" t="s">
        <v>2400</v>
      </c>
      <c r="B569" s="196" t="s">
        <v>2401</v>
      </c>
    </row>
    <row r="570" spans="1:2">
      <c r="A570" s="197" t="s">
        <v>2402</v>
      </c>
      <c r="B570" s="196" t="s">
        <v>2403</v>
      </c>
    </row>
    <row r="571" spans="1:2">
      <c r="A571" s="197" t="s">
        <v>2404</v>
      </c>
      <c r="B571" s="196" t="s">
        <v>2405</v>
      </c>
    </row>
    <row r="572" spans="1:2">
      <c r="A572" s="197" t="s">
        <v>2406</v>
      </c>
      <c r="B572" s="196" t="s">
        <v>2407</v>
      </c>
    </row>
    <row r="573" spans="1:2">
      <c r="A573" s="197" t="s">
        <v>2408</v>
      </c>
      <c r="B573" s="196" t="s">
        <v>2409</v>
      </c>
    </row>
    <row r="574" spans="1:2">
      <c r="A574" s="197" t="s">
        <v>2410</v>
      </c>
      <c r="B574" s="196" t="s">
        <v>2411</v>
      </c>
    </row>
    <row r="575" spans="1:2">
      <c r="A575" s="197" t="s">
        <v>2412</v>
      </c>
      <c r="B575" s="196" t="s">
        <v>2413</v>
      </c>
    </row>
    <row r="576" spans="1:2">
      <c r="A576" s="197" t="s">
        <v>2414</v>
      </c>
      <c r="B576" s="196" t="s">
        <v>2415</v>
      </c>
    </row>
    <row r="577" spans="1:2">
      <c r="A577" s="197" t="s">
        <v>2416</v>
      </c>
      <c r="B577" s="196" t="s">
        <v>2417</v>
      </c>
    </row>
    <row r="578" spans="1:2">
      <c r="A578" s="197" t="s">
        <v>2418</v>
      </c>
      <c r="B578" s="196" t="s">
        <v>2419</v>
      </c>
    </row>
    <row r="579" spans="1:2">
      <c r="A579" s="197" t="s">
        <v>2420</v>
      </c>
      <c r="B579" s="196" t="s">
        <v>2421</v>
      </c>
    </row>
    <row r="580" spans="1:2">
      <c r="A580" s="197" t="s">
        <v>2422</v>
      </c>
      <c r="B580" s="196" t="s">
        <v>2423</v>
      </c>
    </row>
    <row r="581" spans="1:2">
      <c r="A581" s="197" t="s">
        <v>2424</v>
      </c>
      <c r="B581" s="196" t="s">
        <v>2425</v>
      </c>
    </row>
    <row r="582" spans="1:2">
      <c r="A582" s="197" t="s">
        <v>2426</v>
      </c>
      <c r="B582" s="196" t="s">
        <v>2427</v>
      </c>
    </row>
    <row r="583" spans="1:2">
      <c r="A583" s="197" t="s">
        <v>2428</v>
      </c>
      <c r="B583" s="196" t="s">
        <v>2429</v>
      </c>
    </row>
    <row r="584" spans="1:2">
      <c r="A584" s="197" t="s">
        <v>2430</v>
      </c>
      <c r="B584" s="196" t="s">
        <v>2431</v>
      </c>
    </row>
    <row r="585" spans="1:2">
      <c r="A585" s="197" t="s">
        <v>2432</v>
      </c>
      <c r="B585" s="196" t="s">
        <v>2433</v>
      </c>
    </row>
    <row r="586" spans="1:2">
      <c r="A586" s="197" t="s">
        <v>2434</v>
      </c>
      <c r="B586" s="196" t="s">
        <v>2435</v>
      </c>
    </row>
    <row r="587" spans="1:2">
      <c r="A587" s="197" t="s">
        <v>2436</v>
      </c>
      <c r="B587" s="196" t="s">
        <v>2437</v>
      </c>
    </row>
    <row r="588" spans="1:2">
      <c r="A588" s="197" t="s">
        <v>2438</v>
      </c>
      <c r="B588" s="196" t="s">
        <v>2439</v>
      </c>
    </row>
    <row r="589" spans="1:2">
      <c r="A589" s="197" t="s">
        <v>2440</v>
      </c>
      <c r="B589" s="196" t="s">
        <v>2441</v>
      </c>
    </row>
    <row r="590" spans="1:2">
      <c r="A590" s="197" t="s">
        <v>2442</v>
      </c>
      <c r="B590" s="196" t="s">
        <v>2443</v>
      </c>
    </row>
    <row r="591" spans="1:2">
      <c r="A591" s="197" t="s">
        <v>2444</v>
      </c>
      <c r="B591" s="196" t="s">
        <v>2445</v>
      </c>
    </row>
    <row r="592" spans="1:2">
      <c r="A592" s="197" t="s">
        <v>2446</v>
      </c>
      <c r="B592" s="196" t="s">
        <v>2447</v>
      </c>
    </row>
    <row r="593" spans="1:2">
      <c r="A593" s="197" t="s">
        <v>2448</v>
      </c>
      <c r="B593" s="196" t="s">
        <v>2449</v>
      </c>
    </row>
    <row r="594" spans="1:2">
      <c r="A594" s="197" t="s">
        <v>2450</v>
      </c>
      <c r="B594" s="196" t="s">
        <v>2451</v>
      </c>
    </row>
    <row r="595" spans="1:2">
      <c r="A595" s="197" t="s">
        <v>2452</v>
      </c>
      <c r="B595" s="196" t="s">
        <v>2453</v>
      </c>
    </row>
    <row r="596" spans="1:2">
      <c r="A596" s="197" t="s">
        <v>2454</v>
      </c>
      <c r="B596" s="196" t="s">
        <v>2455</v>
      </c>
    </row>
    <row r="597" spans="1:2">
      <c r="A597" s="197" t="s">
        <v>2456</v>
      </c>
      <c r="B597" s="196" t="s">
        <v>2457</v>
      </c>
    </row>
    <row r="598" spans="1:2">
      <c r="A598" s="197" t="s">
        <v>2458</v>
      </c>
      <c r="B598" s="196" t="s">
        <v>2459</v>
      </c>
    </row>
    <row r="599" spans="1:2">
      <c r="A599" s="197" t="s">
        <v>2460</v>
      </c>
      <c r="B599" s="196" t="s">
        <v>2461</v>
      </c>
    </row>
    <row r="600" spans="1:2">
      <c r="A600" s="197" t="s">
        <v>2462</v>
      </c>
      <c r="B600" s="196" t="s">
        <v>2463</v>
      </c>
    </row>
    <row r="601" spans="1:2">
      <c r="A601" s="197" t="s">
        <v>2464</v>
      </c>
      <c r="B601" s="196" t="s">
        <v>2465</v>
      </c>
    </row>
    <row r="602" spans="1:2">
      <c r="A602" s="197" t="s">
        <v>2466</v>
      </c>
      <c r="B602" s="196" t="s">
        <v>2467</v>
      </c>
    </row>
    <row r="603" spans="1:2">
      <c r="A603" s="197" t="s">
        <v>2468</v>
      </c>
      <c r="B603" s="196" t="s">
        <v>2469</v>
      </c>
    </row>
    <row r="604" spans="1:2">
      <c r="A604" s="197" t="s">
        <v>2470</v>
      </c>
      <c r="B604" s="196" t="s">
        <v>2471</v>
      </c>
    </row>
    <row r="605" spans="1:2">
      <c r="A605" s="197" t="s">
        <v>2472</v>
      </c>
      <c r="B605" s="196" t="s">
        <v>2473</v>
      </c>
    </row>
    <row r="606" spans="1:2">
      <c r="A606" s="197" t="s">
        <v>2474</v>
      </c>
      <c r="B606" s="196" t="s">
        <v>2475</v>
      </c>
    </row>
    <row r="607" spans="1:2">
      <c r="A607" s="197" t="s">
        <v>2476</v>
      </c>
      <c r="B607" s="196" t="s">
        <v>2477</v>
      </c>
    </row>
    <row r="608" spans="1:2">
      <c r="A608" s="197" t="s">
        <v>2478</v>
      </c>
      <c r="B608" s="196" t="s">
        <v>2479</v>
      </c>
    </row>
    <row r="609" spans="1:2">
      <c r="A609" s="197" t="s">
        <v>2480</v>
      </c>
      <c r="B609" s="196" t="s">
        <v>2481</v>
      </c>
    </row>
    <row r="610" spans="1:2">
      <c r="A610" s="197" t="s">
        <v>2482</v>
      </c>
      <c r="B610" s="196" t="s">
        <v>2483</v>
      </c>
    </row>
    <row r="611" spans="1:2">
      <c r="A611" s="197" t="s">
        <v>2484</v>
      </c>
      <c r="B611" s="196" t="s">
        <v>2485</v>
      </c>
    </row>
    <row r="612" spans="1:2">
      <c r="A612" s="197" t="s">
        <v>2486</v>
      </c>
      <c r="B612" s="196" t="s">
        <v>2487</v>
      </c>
    </row>
    <row r="613" spans="1:2">
      <c r="A613" s="197" t="s">
        <v>2488</v>
      </c>
      <c r="B613" s="196" t="s">
        <v>2489</v>
      </c>
    </row>
    <row r="614" spans="1:2">
      <c r="A614" s="197" t="s">
        <v>2490</v>
      </c>
      <c r="B614" s="196" t="s">
        <v>2491</v>
      </c>
    </row>
    <row r="615" spans="1:2">
      <c r="A615" s="197" t="s">
        <v>2492</v>
      </c>
      <c r="B615" s="196" t="s">
        <v>2493</v>
      </c>
    </row>
    <row r="616" spans="1:2">
      <c r="A616" s="197" t="s">
        <v>2494</v>
      </c>
      <c r="B616" s="196" t="s">
        <v>2495</v>
      </c>
    </row>
    <row r="617" spans="1:2">
      <c r="A617" s="197" t="s">
        <v>2496</v>
      </c>
      <c r="B617" s="196" t="s">
        <v>2497</v>
      </c>
    </row>
    <row r="618" spans="1:2">
      <c r="A618" s="197" t="s">
        <v>2498</v>
      </c>
      <c r="B618" s="196" t="s">
        <v>2499</v>
      </c>
    </row>
    <row r="619" spans="1:2">
      <c r="A619" s="197" t="s">
        <v>2500</v>
      </c>
      <c r="B619" s="196" t="s">
        <v>2501</v>
      </c>
    </row>
    <row r="620" spans="1:2">
      <c r="A620" s="197" t="s">
        <v>2502</v>
      </c>
      <c r="B620" s="196" t="s">
        <v>2503</v>
      </c>
    </row>
    <row r="621" spans="1:2">
      <c r="A621" s="197" t="s">
        <v>2504</v>
      </c>
      <c r="B621" s="196" t="s">
        <v>2505</v>
      </c>
    </row>
    <row r="622" spans="1:2">
      <c r="A622" s="197" t="s">
        <v>2506</v>
      </c>
      <c r="B622" s="196" t="s">
        <v>2507</v>
      </c>
    </row>
    <row r="623" spans="1:2">
      <c r="A623" s="197" t="s">
        <v>2508</v>
      </c>
      <c r="B623" s="196" t="s">
        <v>2509</v>
      </c>
    </row>
    <row r="624" spans="1:2">
      <c r="A624" s="197" t="s">
        <v>2510</v>
      </c>
      <c r="B624" s="196" t="s">
        <v>2511</v>
      </c>
    </row>
    <row r="625" spans="1:2">
      <c r="A625" s="197" t="s">
        <v>2512</v>
      </c>
      <c r="B625" s="196" t="s">
        <v>2513</v>
      </c>
    </row>
    <row r="626" spans="1:2">
      <c r="A626" s="197" t="s">
        <v>2514</v>
      </c>
      <c r="B626" s="196" t="s">
        <v>2515</v>
      </c>
    </row>
    <row r="627" spans="1:2">
      <c r="A627" s="197" t="s">
        <v>2516</v>
      </c>
      <c r="B627" s="196" t="s">
        <v>2517</v>
      </c>
    </row>
    <row r="628" spans="1:2">
      <c r="A628" s="197" t="s">
        <v>2518</v>
      </c>
      <c r="B628" s="196" t="s">
        <v>2519</v>
      </c>
    </row>
    <row r="629" spans="1:2">
      <c r="A629" s="197" t="s">
        <v>2520</v>
      </c>
      <c r="B629" s="196" t="s">
        <v>2521</v>
      </c>
    </row>
    <row r="630" spans="1:2">
      <c r="A630" s="197" t="s">
        <v>2522</v>
      </c>
      <c r="B630" s="196" t="s">
        <v>2523</v>
      </c>
    </row>
    <row r="631" spans="1:2">
      <c r="A631" s="197" t="s">
        <v>2524</v>
      </c>
      <c r="B631" s="196" t="s">
        <v>2525</v>
      </c>
    </row>
    <row r="632" spans="1:2">
      <c r="A632" s="197" t="s">
        <v>2526</v>
      </c>
      <c r="B632" s="196" t="s">
        <v>2527</v>
      </c>
    </row>
    <row r="633" spans="1:2">
      <c r="A633" s="197" t="s">
        <v>2528</v>
      </c>
      <c r="B633" s="196" t="s">
        <v>2529</v>
      </c>
    </row>
    <row r="634" spans="1:2">
      <c r="A634" s="197" t="s">
        <v>2530</v>
      </c>
      <c r="B634" s="196" t="s">
        <v>2531</v>
      </c>
    </row>
    <row r="635" spans="1:2">
      <c r="A635" s="197" t="s">
        <v>2532</v>
      </c>
      <c r="B635" s="196" t="s">
        <v>2533</v>
      </c>
    </row>
    <row r="636" spans="1:2">
      <c r="A636" s="197" t="s">
        <v>2534</v>
      </c>
      <c r="B636" s="196" t="s">
        <v>2535</v>
      </c>
    </row>
    <row r="637" spans="1:2">
      <c r="A637" s="197" t="s">
        <v>2536</v>
      </c>
      <c r="B637" s="196" t="s">
        <v>2537</v>
      </c>
    </row>
    <row r="638" spans="1:2">
      <c r="A638" s="197" t="s">
        <v>2538</v>
      </c>
      <c r="B638" s="196" t="s">
        <v>2539</v>
      </c>
    </row>
    <row r="639" spans="1:2">
      <c r="A639" s="197" t="s">
        <v>2540</v>
      </c>
      <c r="B639" s="196" t="s">
        <v>2541</v>
      </c>
    </row>
    <row r="640" spans="1:2">
      <c r="A640" s="197" t="s">
        <v>2542</v>
      </c>
      <c r="B640" s="196" t="s">
        <v>2543</v>
      </c>
    </row>
    <row r="641" spans="1:2">
      <c r="A641" s="197" t="s">
        <v>2544</v>
      </c>
      <c r="B641" s="196" t="s">
        <v>2545</v>
      </c>
    </row>
    <row r="642" spans="1:2">
      <c r="A642" s="197" t="s">
        <v>2546</v>
      </c>
      <c r="B642" s="196" t="s">
        <v>2547</v>
      </c>
    </row>
    <row r="643" spans="1:2">
      <c r="A643" s="197" t="s">
        <v>2548</v>
      </c>
      <c r="B643" s="196" t="s">
        <v>2549</v>
      </c>
    </row>
    <row r="644" spans="1:2">
      <c r="A644" s="197" t="s">
        <v>2550</v>
      </c>
      <c r="B644" s="196" t="s">
        <v>2551</v>
      </c>
    </row>
    <row r="645" spans="1:2">
      <c r="A645" s="197" t="s">
        <v>2552</v>
      </c>
      <c r="B645" s="196" t="s">
        <v>2553</v>
      </c>
    </row>
    <row r="646" spans="1:2">
      <c r="A646" s="197" t="s">
        <v>2554</v>
      </c>
      <c r="B646" s="196" t="s">
        <v>2555</v>
      </c>
    </row>
    <row r="647" spans="1:2">
      <c r="A647" s="197" t="s">
        <v>2556</v>
      </c>
      <c r="B647" s="196" t="s">
        <v>2557</v>
      </c>
    </row>
    <row r="648" spans="1:2">
      <c r="A648" s="197" t="s">
        <v>2558</v>
      </c>
      <c r="B648" s="196" t="s">
        <v>2559</v>
      </c>
    </row>
    <row r="649" spans="1:2">
      <c r="A649" s="197" t="s">
        <v>2560</v>
      </c>
      <c r="B649" s="196" t="s">
        <v>2561</v>
      </c>
    </row>
    <row r="650" spans="1:2">
      <c r="A650" s="197" t="s">
        <v>2562</v>
      </c>
      <c r="B650" s="196" t="s">
        <v>2563</v>
      </c>
    </row>
    <row r="651" spans="1:2">
      <c r="A651" s="197" t="s">
        <v>2564</v>
      </c>
      <c r="B651" s="196" t="s">
        <v>2565</v>
      </c>
    </row>
    <row r="652" spans="1:2">
      <c r="A652" s="197" t="s">
        <v>2566</v>
      </c>
      <c r="B652" s="196" t="s">
        <v>2567</v>
      </c>
    </row>
    <row r="653" spans="1:2">
      <c r="A653" s="197" t="s">
        <v>2568</v>
      </c>
      <c r="B653" s="196" t="s">
        <v>2569</v>
      </c>
    </row>
    <row r="654" spans="1:2">
      <c r="A654" s="197" t="s">
        <v>2570</v>
      </c>
      <c r="B654" s="196" t="s">
        <v>2571</v>
      </c>
    </row>
    <row r="655" spans="1:2">
      <c r="A655" s="197" t="s">
        <v>2572</v>
      </c>
      <c r="B655" s="196" t="s">
        <v>2573</v>
      </c>
    </row>
    <row r="656" spans="1:2">
      <c r="A656" s="197" t="s">
        <v>2574</v>
      </c>
      <c r="B656" s="196" t="s">
        <v>2575</v>
      </c>
    </row>
    <row r="657" spans="1:2">
      <c r="A657" s="197" t="s">
        <v>2576</v>
      </c>
      <c r="B657" s="196" t="s">
        <v>2577</v>
      </c>
    </row>
    <row r="658" spans="1:2">
      <c r="A658" s="197" t="s">
        <v>2578</v>
      </c>
      <c r="B658" s="196" t="s">
        <v>2579</v>
      </c>
    </row>
    <row r="659" spans="1:2">
      <c r="A659" s="197" t="s">
        <v>2580</v>
      </c>
      <c r="B659" s="196" t="s">
        <v>2581</v>
      </c>
    </row>
    <row r="660" spans="1:2">
      <c r="A660" s="197" t="s">
        <v>2582</v>
      </c>
      <c r="B660" s="196" t="s">
        <v>2583</v>
      </c>
    </row>
    <row r="661" spans="1:2">
      <c r="A661" s="197" t="s">
        <v>2584</v>
      </c>
      <c r="B661" s="196" t="s">
        <v>2585</v>
      </c>
    </row>
    <row r="662" spans="1:2">
      <c r="A662" s="197" t="s">
        <v>2586</v>
      </c>
      <c r="B662" s="196" t="s">
        <v>2587</v>
      </c>
    </row>
    <row r="663" spans="1:2">
      <c r="A663" s="197" t="s">
        <v>2588</v>
      </c>
      <c r="B663" s="196" t="s">
        <v>2589</v>
      </c>
    </row>
    <row r="664" spans="1:2">
      <c r="A664" s="197" t="s">
        <v>2590</v>
      </c>
      <c r="B664" s="196" t="s">
        <v>2591</v>
      </c>
    </row>
    <row r="665" spans="1:2">
      <c r="A665" s="197" t="s">
        <v>2592</v>
      </c>
      <c r="B665" s="196" t="s">
        <v>2593</v>
      </c>
    </row>
    <row r="666" spans="1:2">
      <c r="A666" s="197" t="s">
        <v>2594</v>
      </c>
      <c r="B666" s="196" t="s">
        <v>2595</v>
      </c>
    </row>
    <row r="667" spans="1:2">
      <c r="A667" s="197" t="s">
        <v>2596</v>
      </c>
      <c r="B667" s="196" t="s">
        <v>2597</v>
      </c>
    </row>
    <row r="668" spans="1:2">
      <c r="A668" s="197" t="s">
        <v>2598</v>
      </c>
      <c r="B668" s="196" t="s">
        <v>2599</v>
      </c>
    </row>
    <row r="669" spans="1:2">
      <c r="A669" s="197" t="s">
        <v>2600</v>
      </c>
      <c r="B669" s="196" t="s">
        <v>2601</v>
      </c>
    </row>
    <row r="670" spans="1:2">
      <c r="A670" s="197" t="s">
        <v>2602</v>
      </c>
      <c r="B670" s="196" t="s">
        <v>2603</v>
      </c>
    </row>
    <row r="671" spans="1:2">
      <c r="A671" s="197" t="s">
        <v>2604</v>
      </c>
      <c r="B671" s="196" t="s">
        <v>2605</v>
      </c>
    </row>
    <row r="672" spans="1:2">
      <c r="A672" s="197" t="s">
        <v>2606</v>
      </c>
      <c r="B672" s="196" t="s">
        <v>2607</v>
      </c>
    </row>
    <row r="673" spans="1:2">
      <c r="A673" s="197" t="s">
        <v>2608</v>
      </c>
      <c r="B673" s="196" t="s">
        <v>2609</v>
      </c>
    </row>
    <row r="674" spans="1:2">
      <c r="A674" s="197" t="s">
        <v>2610</v>
      </c>
      <c r="B674" s="196" t="s">
        <v>2611</v>
      </c>
    </row>
    <row r="675" spans="1:2">
      <c r="A675" s="197" t="s">
        <v>2612</v>
      </c>
      <c r="B675" s="196" t="s">
        <v>2613</v>
      </c>
    </row>
    <row r="676" spans="1:2">
      <c r="A676" s="197" t="s">
        <v>2614</v>
      </c>
      <c r="B676" s="196" t="s">
        <v>2615</v>
      </c>
    </row>
    <row r="677" spans="1:2">
      <c r="A677" s="197" t="s">
        <v>2616</v>
      </c>
      <c r="B677" s="196" t="s">
        <v>2617</v>
      </c>
    </row>
    <row r="678" spans="1:2">
      <c r="A678" s="197" t="s">
        <v>2618</v>
      </c>
      <c r="B678" s="196" t="s">
        <v>2619</v>
      </c>
    </row>
    <row r="679" spans="1:2">
      <c r="A679" s="197" t="s">
        <v>2620</v>
      </c>
      <c r="B679" s="196" t="s">
        <v>2621</v>
      </c>
    </row>
    <row r="680" spans="1:2">
      <c r="A680" s="197" t="s">
        <v>2622</v>
      </c>
      <c r="B680" s="196" t="s">
        <v>2623</v>
      </c>
    </row>
    <row r="681" spans="1:2">
      <c r="A681" s="197" t="s">
        <v>2624</v>
      </c>
      <c r="B681" s="196" t="s">
        <v>2625</v>
      </c>
    </row>
    <row r="682" spans="1:2">
      <c r="A682" s="197" t="s">
        <v>2626</v>
      </c>
      <c r="B682" s="196" t="s">
        <v>2627</v>
      </c>
    </row>
    <row r="683" spans="1:2">
      <c r="A683" s="197" t="s">
        <v>2628</v>
      </c>
      <c r="B683" s="196" t="s">
        <v>2629</v>
      </c>
    </row>
    <row r="684" spans="1:2">
      <c r="A684" s="197" t="s">
        <v>2630</v>
      </c>
      <c r="B684" s="196" t="s">
        <v>2631</v>
      </c>
    </row>
    <row r="685" spans="1:2">
      <c r="A685" s="197" t="s">
        <v>2632</v>
      </c>
      <c r="B685" s="196" t="s">
        <v>2633</v>
      </c>
    </row>
    <row r="686" spans="1:2">
      <c r="A686" s="197" t="s">
        <v>2634</v>
      </c>
      <c r="B686" s="196" t="s">
        <v>2635</v>
      </c>
    </row>
    <row r="687" spans="1:2">
      <c r="A687" s="197" t="s">
        <v>2636</v>
      </c>
      <c r="B687" s="196" t="s">
        <v>2637</v>
      </c>
    </row>
    <row r="688" spans="1:2">
      <c r="A688" s="197" t="s">
        <v>2638</v>
      </c>
      <c r="B688" s="196" t="s">
        <v>2639</v>
      </c>
    </row>
    <row r="689" spans="1:2">
      <c r="A689" s="197" t="s">
        <v>2640</v>
      </c>
      <c r="B689" s="196" t="s">
        <v>2641</v>
      </c>
    </row>
    <row r="690" spans="1:2">
      <c r="A690" s="197" t="s">
        <v>2642</v>
      </c>
      <c r="B690" s="196" t="s">
        <v>2643</v>
      </c>
    </row>
    <row r="691" spans="1:2">
      <c r="A691" s="197" t="s">
        <v>2644</v>
      </c>
      <c r="B691" s="196" t="s">
        <v>2645</v>
      </c>
    </row>
    <row r="692" spans="1:2">
      <c r="A692" s="197" t="s">
        <v>2646</v>
      </c>
      <c r="B692" s="196" t="s">
        <v>2647</v>
      </c>
    </row>
    <row r="693" spans="1:2">
      <c r="A693" s="197" t="s">
        <v>2648</v>
      </c>
      <c r="B693" s="196" t="s">
        <v>2649</v>
      </c>
    </row>
    <row r="694" spans="1:2">
      <c r="A694" s="197" t="s">
        <v>2650</v>
      </c>
      <c r="B694" s="196" t="s">
        <v>2651</v>
      </c>
    </row>
    <row r="695" spans="1:2">
      <c r="A695" s="197" t="s">
        <v>2652</v>
      </c>
      <c r="B695" s="196" t="s">
        <v>2653</v>
      </c>
    </row>
    <row r="696" spans="1:2">
      <c r="A696" s="197" t="s">
        <v>2654</v>
      </c>
      <c r="B696" s="196" t="s">
        <v>2655</v>
      </c>
    </row>
    <row r="697" spans="1:2">
      <c r="A697" s="197" t="s">
        <v>2656</v>
      </c>
      <c r="B697" s="196" t="s">
        <v>2657</v>
      </c>
    </row>
    <row r="698" spans="1:2">
      <c r="A698" s="197" t="s">
        <v>2658</v>
      </c>
      <c r="B698" s="196" t="s">
        <v>2659</v>
      </c>
    </row>
    <row r="699" spans="1:2">
      <c r="A699" s="197" t="s">
        <v>2660</v>
      </c>
      <c r="B699" s="196" t="s">
        <v>2661</v>
      </c>
    </row>
    <row r="700" spans="1:2">
      <c r="A700" s="197" t="s">
        <v>2662</v>
      </c>
      <c r="B700" s="196" t="s">
        <v>2663</v>
      </c>
    </row>
    <row r="701" spans="1:2">
      <c r="A701" s="197" t="s">
        <v>2664</v>
      </c>
      <c r="B701" s="196" t="s">
        <v>2665</v>
      </c>
    </row>
    <row r="702" spans="1:2">
      <c r="A702" s="197" t="s">
        <v>2666</v>
      </c>
      <c r="B702" s="196" t="s">
        <v>2667</v>
      </c>
    </row>
    <row r="703" spans="1:2">
      <c r="A703" s="197" t="s">
        <v>2668</v>
      </c>
      <c r="B703" s="196" t="s">
        <v>2669</v>
      </c>
    </row>
    <row r="704" spans="1:2">
      <c r="A704" s="197" t="s">
        <v>2670</v>
      </c>
      <c r="B704" s="196" t="s">
        <v>2671</v>
      </c>
    </row>
    <row r="705" spans="1:2">
      <c r="A705" s="197" t="s">
        <v>2672</v>
      </c>
      <c r="B705" s="196" t="s">
        <v>2673</v>
      </c>
    </row>
    <row r="706" spans="1:2">
      <c r="A706" s="197" t="s">
        <v>2674</v>
      </c>
      <c r="B706" s="196" t="s">
        <v>2675</v>
      </c>
    </row>
    <row r="707" spans="1:2">
      <c r="A707" s="197" t="s">
        <v>2676</v>
      </c>
      <c r="B707" s="196" t="s">
        <v>2677</v>
      </c>
    </row>
    <row r="708" spans="1:2">
      <c r="A708" s="197" t="s">
        <v>2678</v>
      </c>
      <c r="B708" s="196" t="s">
        <v>2679</v>
      </c>
    </row>
    <row r="709" spans="1:2">
      <c r="A709" s="197" t="s">
        <v>2680</v>
      </c>
      <c r="B709" s="196" t="s">
        <v>2681</v>
      </c>
    </row>
    <row r="710" spans="1:2">
      <c r="A710" s="197" t="s">
        <v>2682</v>
      </c>
      <c r="B710" s="196" t="s">
        <v>2683</v>
      </c>
    </row>
    <row r="711" spans="1:2">
      <c r="A711" s="197" t="s">
        <v>2684</v>
      </c>
      <c r="B711" s="196" t="s">
        <v>2685</v>
      </c>
    </row>
    <row r="712" spans="1:2">
      <c r="A712" s="197" t="s">
        <v>2686</v>
      </c>
      <c r="B712" s="196" t="s">
        <v>2687</v>
      </c>
    </row>
    <row r="713" spans="1:2">
      <c r="A713" s="197" t="s">
        <v>2688</v>
      </c>
      <c r="B713" s="196" t="s">
        <v>2689</v>
      </c>
    </row>
    <row r="714" spans="1:2">
      <c r="A714" s="197" t="s">
        <v>2690</v>
      </c>
      <c r="B714" s="196" t="s">
        <v>2691</v>
      </c>
    </row>
    <row r="715" spans="1:2">
      <c r="A715" s="197" t="s">
        <v>2692</v>
      </c>
      <c r="B715" s="196" t="s">
        <v>2693</v>
      </c>
    </row>
    <row r="716" spans="1:2">
      <c r="A716" s="197" t="s">
        <v>2694</v>
      </c>
      <c r="B716" s="196" t="s">
        <v>2695</v>
      </c>
    </row>
    <row r="717" spans="1:2">
      <c r="A717" s="197" t="s">
        <v>2696</v>
      </c>
      <c r="B717" s="196" t="s">
        <v>2697</v>
      </c>
    </row>
    <row r="718" spans="1:2">
      <c r="A718" s="197" t="s">
        <v>2698</v>
      </c>
      <c r="B718" s="196" t="s">
        <v>2699</v>
      </c>
    </row>
    <row r="719" spans="1:2">
      <c r="A719" s="197" t="s">
        <v>2700</v>
      </c>
      <c r="B719" s="196" t="s">
        <v>2701</v>
      </c>
    </row>
    <row r="720" spans="1:2">
      <c r="A720" s="197" t="s">
        <v>2702</v>
      </c>
      <c r="B720" s="196" t="s">
        <v>2703</v>
      </c>
    </row>
    <row r="721" spans="1:2">
      <c r="A721" s="197" t="s">
        <v>2704</v>
      </c>
      <c r="B721" s="196" t="s">
        <v>2705</v>
      </c>
    </row>
    <row r="722" spans="1:2">
      <c r="A722" s="197" t="s">
        <v>2706</v>
      </c>
      <c r="B722" s="196" t="s">
        <v>2707</v>
      </c>
    </row>
    <row r="723" spans="1:2">
      <c r="A723" s="197" t="s">
        <v>2708</v>
      </c>
      <c r="B723" s="196" t="s">
        <v>2709</v>
      </c>
    </row>
    <row r="724" spans="1:2">
      <c r="A724" s="197" t="s">
        <v>2710</v>
      </c>
      <c r="B724" s="196" t="s">
        <v>2711</v>
      </c>
    </row>
    <row r="725" spans="1:2">
      <c r="A725" s="197" t="s">
        <v>2712</v>
      </c>
      <c r="B725" s="196" t="s">
        <v>2713</v>
      </c>
    </row>
    <row r="726" spans="1:2">
      <c r="A726" s="197" t="s">
        <v>2714</v>
      </c>
      <c r="B726" s="196" t="s">
        <v>2715</v>
      </c>
    </row>
    <row r="727" spans="1:2">
      <c r="A727" s="197" t="s">
        <v>2716</v>
      </c>
      <c r="B727" s="196" t="s">
        <v>2717</v>
      </c>
    </row>
    <row r="728" spans="1:2">
      <c r="A728" s="197" t="s">
        <v>2718</v>
      </c>
      <c r="B728" s="196" t="s">
        <v>2719</v>
      </c>
    </row>
    <row r="729" spans="1:2">
      <c r="A729" s="197" t="s">
        <v>2720</v>
      </c>
      <c r="B729" s="196" t="s">
        <v>2721</v>
      </c>
    </row>
    <row r="730" spans="1:2">
      <c r="A730" s="197" t="s">
        <v>2722</v>
      </c>
      <c r="B730" s="196" t="s">
        <v>2723</v>
      </c>
    </row>
    <row r="731" spans="1:2">
      <c r="A731" s="197" t="s">
        <v>2724</v>
      </c>
      <c r="B731" s="196" t="s">
        <v>2725</v>
      </c>
    </row>
    <row r="732" spans="1:2">
      <c r="A732" s="197" t="s">
        <v>2726</v>
      </c>
      <c r="B732" s="196" t="s">
        <v>2727</v>
      </c>
    </row>
    <row r="733" spans="1:2">
      <c r="A733" s="197" t="s">
        <v>2728</v>
      </c>
      <c r="B733" s="196" t="s">
        <v>2729</v>
      </c>
    </row>
    <row r="734" spans="1:2">
      <c r="A734" s="197" t="s">
        <v>2730</v>
      </c>
      <c r="B734" s="196" t="s">
        <v>2731</v>
      </c>
    </row>
    <row r="735" spans="1:2">
      <c r="A735" s="197" t="s">
        <v>2732</v>
      </c>
      <c r="B735" s="196" t="s">
        <v>2733</v>
      </c>
    </row>
    <row r="736" spans="1:2">
      <c r="A736" s="197" t="s">
        <v>2734</v>
      </c>
      <c r="B736" s="196" t="s">
        <v>2735</v>
      </c>
    </row>
    <row r="737" spans="1:2">
      <c r="A737" s="197" t="s">
        <v>2736</v>
      </c>
      <c r="B737" s="196" t="s">
        <v>2737</v>
      </c>
    </row>
    <row r="738" spans="1:2">
      <c r="A738" s="197" t="s">
        <v>2738</v>
      </c>
      <c r="B738" s="196" t="s">
        <v>2739</v>
      </c>
    </row>
    <row r="739" spans="1:2">
      <c r="A739" s="197" t="s">
        <v>2740</v>
      </c>
      <c r="B739" s="196" t="s">
        <v>2741</v>
      </c>
    </row>
    <row r="740" spans="1:2">
      <c r="A740" s="197" t="s">
        <v>2742</v>
      </c>
      <c r="B740" s="196" t="s">
        <v>2743</v>
      </c>
    </row>
    <row r="741" spans="1:2">
      <c r="A741" s="197" t="s">
        <v>2744</v>
      </c>
      <c r="B741" s="196" t="s">
        <v>2745</v>
      </c>
    </row>
    <row r="742" spans="1:2">
      <c r="A742" s="197" t="s">
        <v>2746</v>
      </c>
      <c r="B742" s="196" t="s">
        <v>2747</v>
      </c>
    </row>
    <row r="743" spans="1:2">
      <c r="A743" s="197" t="s">
        <v>2748</v>
      </c>
      <c r="B743" s="196" t="s">
        <v>2749</v>
      </c>
    </row>
    <row r="744" spans="1:2">
      <c r="A744" s="197" t="s">
        <v>2750</v>
      </c>
      <c r="B744" s="196" t="s">
        <v>2751</v>
      </c>
    </row>
    <row r="745" spans="1:2">
      <c r="A745" s="197" t="s">
        <v>2752</v>
      </c>
      <c r="B745" s="196" t="s">
        <v>2753</v>
      </c>
    </row>
    <row r="746" spans="1:2">
      <c r="A746" s="197" t="s">
        <v>2754</v>
      </c>
      <c r="B746" s="196" t="s">
        <v>2755</v>
      </c>
    </row>
    <row r="747" spans="1:2">
      <c r="A747" s="197" t="s">
        <v>2756</v>
      </c>
      <c r="B747" s="196" t="s">
        <v>2276</v>
      </c>
    </row>
    <row r="748" spans="1:2">
      <c r="A748" s="197" t="s">
        <v>2757</v>
      </c>
      <c r="B748" s="196" t="s">
        <v>2758</v>
      </c>
    </row>
    <row r="749" spans="1:2">
      <c r="A749" s="197" t="s">
        <v>2759</v>
      </c>
      <c r="B749" s="196" t="s">
        <v>2760</v>
      </c>
    </row>
    <row r="750" spans="1:2">
      <c r="A750" s="197" t="s">
        <v>2761</v>
      </c>
      <c r="B750" s="196" t="s">
        <v>2762</v>
      </c>
    </row>
    <row r="751" spans="1:2">
      <c r="A751" s="197" t="s">
        <v>2763</v>
      </c>
      <c r="B751" s="196" t="s">
        <v>2764</v>
      </c>
    </row>
    <row r="752" spans="1:2">
      <c r="A752" s="197" t="s">
        <v>2765</v>
      </c>
      <c r="B752" s="196" t="s">
        <v>2766</v>
      </c>
    </row>
    <row r="753" spans="1:2">
      <c r="A753" s="197" t="s">
        <v>2767</v>
      </c>
      <c r="B753" s="196" t="s">
        <v>2768</v>
      </c>
    </row>
    <row r="754" spans="1:2">
      <c r="A754" s="197" t="s">
        <v>2769</v>
      </c>
      <c r="B754" s="196" t="s">
        <v>2770</v>
      </c>
    </row>
    <row r="755" spans="1:2">
      <c r="A755" s="197" t="s">
        <v>2771</v>
      </c>
      <c r="B755" s="196" t="s">
        <v>2772</v>
      </c>
    </row>
    <row r="756" spans="1:2">
      <c r="A756" s="197" t="s">
        <v>2773</v>
      </c>
      <c r="B756" s="196" t="s">
        <v>2774</v>
      </c>
    </row>
    <row r="757" spans="1:2">
      <c r="A757" s="197" t="s">
        <v>2775</v>
      </c>
      <c r="B757" s="196" t="s">
        <v>2776</v>
      </c>
    </row>
    <row r="758" spans="1:2">
      <c r="A758" s="197" t="s">
        <v>2777</v>
      </c>
      <c r="B758" s="196" t="s">
        <v>2778</v>
      </c>
    </row>
    <row r="759" spans="1:2">
      <c r="A759" s="197" t="s">
        <v>2779</v>
      </c>
      <c r="B759" s="196" t="s">
        <v>2780</v>
      </c>
    </row>
    <row r="760" spans="1:2">
      <c r="A760" s="197" t="s">
        <v>2781</v>
      </c>
      <c r="B760" s="196" t="s">
        <v>2782</v>
      </c>
    </row>
    <row r="761" spans="1:2">
      <c r="A761" s="197" t="s">
        <v>2783</v>
      </c>
      <c r="B761" s="196" t="s">
        <v>2784</v>
      </c>
    </row>
    <row r="762" spans="1:2">
      <c r="A762" s="197" t="s">
        <v>2785</v>
      </c>
      <c r="B762" s="196" t="s">
        <v>2786</v>
      </c>
    </row>
    <row r="763" spans="1:2">
      <c r="A763" s="197" t="s">
        <v>2787</v>
      </c>
      <c r="B763" s="196" t="s">
        <v>2788</v>
      </c>
    </row>
    <row r="764" spans="1:2">
      <c r="A764" s="197" t="s">
        <v>2789</v>
      </c>
      <c r="B764" s="196" t="s">
        <v>2790</v>
      </c>
    </row>
    <row r="765" spans="1:2">
      <c r="A765" s="197" t="s">
        <v>2791</v>
      </c>
      <c r="B765" s="196" t="s">
        <v>2792</v>
      </c>
    </row>
    <row r="766" spans="1:2">
      <c r="A766" s="197" t="s">
        <v>2793</v>
      </c>
      <c r="B766" s="196" t="s">
        <v>2794</v>
      </c>
    </row>
    <row r="767" spans="1:2">
      <c r="A767" s="197" t="s">
        <v>2795</v>
      </c>
      <c r="B767" s="196" t="s">
        <v>2796</v>
      </c>
    </row>
    <row r="768" spans="1:2">
      <c r="A768" s="197" t="s">
        <v>2797</v>
      </c>
      <c r="B768" s="196" t="s">
        <v>2798</v>
      </c>
    </row>
    <row r="769" spans="1:2">
      <c r="A769" s="197" t="s">
        <v>2799</v>
      </c>
      <c r="B769" s="196" t="s">
        <v>2800</v>
      </c>
    </row>
    <row r="770" spans="1:2">
      <c r="A770" s="197" t="s">
        <v>2801</v>
      </c>
      <c r="B770" s="196" t="s">
        <v>2802</v>
      </c>
    </row>
    <row r="771" spans="1:2">
      <c r="A771" s="197" t="s">
        <v>2803</v>
      </c>
      <c r="B771" s="196" t="s">
        <v>2804</v>
      </c>
    </row>
    <row r="772" spans="1:2">
      <c r="A772" s="197" t="s">
        <v>2805</v>
      </c>
      <c r="B772" s="196" t="s">
        <v>2806</v>
      </c>
    </row>
    <row r="773" spans="1:2">
      <c r="A773" s="197" t="s">
        <v>2807</v>
      </c>
      <c r="B773" s="196" t="s">
        <v>2808</v>
      </c>
    </row>
    <row r="774" spans="1:2">
      <c r="A774" s="197" t="s">
        <v>2809</v>
      </c>
      <c r="B774" s="196" t="s">
        <v>2810</v>
      </c>
    </row>
    <row r="775" spans="1:2">
      <c r="A775" s="197" t="s">
        <v>2811</v>
      </c>
      <c r="B775" s="196" t="s">
        <v>2812</v>
      </c>
    </row>
    <row r="776" spans="1:2">
      <c r="A776" s="197" t="s">
        <v>2813</v>
      </c>
      <c r="B776" s="196" t="s">
        <v>2814</v>
      </c>
    </row>
    <row r="777" spans="1:2">
      <c r="A777" s="197" t="s">
        <v>2815</v>
      </c>
      <c r="B777" s="196" t="s">
        <v>2816</v>
      </c>
    </row>
    <row r="778" spans="1:2">
      <c r="A778" s="197" t="s">
        <v>2817</v>
      </c>
      <c r="B778" s="196" t="s">
        <v>2818</v>
      </c>
    </row>
    <row r="779" spans="1:2">
      <c r="A779" s="197" t="s">
        <v>2819</v>
      </c>
      <c r="B779" s="196" t="s">
        <v>2820</v>
      </c>
    </row>
    <row r="780" spans="1:2">
      <c r="A780" s="197" t="s">
        <v>2821</v>
      </c>
      <c r="B780" s="196" t="s">
        <v>2822</v>
      </c>
    </row>
    <row r="781" spans="1:2">
      <c r="A781" s="197" t="s">
        <v>2823</v>
      </c>
      <c r="B781" s="196" t="s">
        <v>2766</v>
      </c>
    </row>
    <row r="782" spans="1:2">
      <c r="A782" s="197" t="s">
        <v>2824</v>
      </c>
      <c r="B782" s="196" t="s">
        <v>2772</v>
      </c>
    </row>
    <row r="783" spans="1:2">
      <c r="A783" s="197" t="s">
        <v>2825</v>
      </c>
      <c r="B783" s="196" t="s">
        <v>2826</v>
      </c>
    </row>
    <row r="784" spans="1:2">
      <c r="A784" s="197" t="s">
        <v>2827</v>
      </c>
      <c r="B784" s="196" t="s">
        <v>2828</v>
      </c>
    </row>
    <row r="785" spans="1:2">
      <c r="A785" s="197" t="s">
        <v>2829</v>
      </c>
      <c r="B785" s="196" t="s">
        <v>2830</v>
      </c>
    </row>
    <row r="786" spans="1:2">
      <c r="A786" s="197" t="s">
        <v>2831</v>
      </c>
      <c r="B786" s="196" t="s">
        <v>2832</v>
      </c>
    </row>
    <row r="787" spans="1:2">
      <c r="A787" s="197" t="s">
        <v>2833</v>
      </c>
      <c r="B787" s="196" t="s">
        <v>3194</v>
      </c>
    </row>
    <row r="788" spans="1:2">
      <c r="A788" s="197" t="s">
        <v>2834</v>
      </c>
      <c r="B788" s="196" t="s">
        <v>2835</v>
      </c>
    </row>
    <row r="789" spans="1:2">
      <c r="A789" s="197" t="s">
        <v>2836</v>
      </c>
      <c r="B789" s="196" t="s">
        <v>2837</v>
      </c>
    </row>
    <row r="790" spans="1:2">
      <c r="A790" s="197" t="s">
        <v>2838</v>
      </c>
      <c r="B790" s="196" t="s">
        <v>2839</v>
      </c>
    </row>
    <row r="791" spans="1:2">
      <c r="A791" s="197" t="s">
        <v>2840</v>
      </c>
      <c r="B791" s="196" t="s">
        <v>2841</v>
      </c>
    </row>
    <row r="792" spans="1:2">
      <c r="A792" s="197" t="s">
        <v>2842</v>
      </c>
      <c r="B792" s="196" t="s">
        <v>2843</v>
      </c>
    </row>
    <row r="793" spans="1:2">
      <c r="A793" s="197" t="s">
        <v>2844</v>
      </c>
      <c r="B793" s="196" t="s">
        <v>2845</v>
      </c>
    </row>
    <row r="794" spans="1:2">
      <c r="A794" s="197" t="s">
        <v>2846</v>
      </c>
      <c r="B794" s="196" t="s">
        <v>2847</v>
      </c>
    </row>
    <row r="795" spans="1:2">
      <c r="A795" s="197" t="s">
        <v>2848</v>
      </c>
      <c r="B795" s="196" t="s">
        <v>2849</v>
      </c>
    </row>
    <row r="796" spans="1:2">
      <c r="A796" s="197" t="s">
        <v>2850</v>
      </c>
      <c r="B796" s="196" t="s">
        <v>2851</v>
      </c>
    </row>
    <row r="797" spans="1:2">
      <c r="A797" s="197" t="s">
        <v>2852</v>
      </c>
      <c r="B797" s="196" t="s">
        <v>2853</v>
      </c>
    </row>
    <row r="798" spans="1:2">
      <c r="A798" s="197" t="s">
        <v>2854</v>
      </c>
      <c r="B798" s="196" t="s">
        <v>2855</v>
      </c>
    </row>
    <row r="799" spans="1:2">
      <c r="A799" s="197" t="s">
        <v>2856</v>
      </c>
      <c r="B799" s="196" t="s">
        <v>2857</v>
      </c>
    </row>
    <row r="800" spans="1:2">
      <c r="A800" s="197" t="s">
        <v>2858</v>
      </c>
      <c r="B800" s="196" t="s">
        <v>2859</v>
      </c>
    </row>
    <row r="801" spans="1:2">
      <c r="A801" s="197" t="s">
        <v>2860</v>
      </c>
      <c r="B801" s="196" t="s">
        <v>2861</v>
      </c>
    </row>
    <row r="802" spans="1:2">
      <c r="A802" s="197" t="s">
        <v>2862</v>
      </c>
      <c r="B802" s="196" t="s">
        <v>2863</v>
      </c>
    </row>
    <row r="803" spans="1:2">
      <c r="A803" s="197" t="s">
        <v>2864</v>
      </c>
      <c r="B803" s="196" t="s">
        <v>2865</v>
      </c>
    </row>
    <row r="804" spans="1:2">
      <c r="A804" s="197" t="s">
        <v>2866</v>
      </c>
      <c r="B804" s="196" t="s">
        <v>2867</v>
      </c>
    </row>
    <row r="805" spans="1:2">
      <c r="A805" s="197" t="s">
        <v>2868</v>
      </c>
      <c r="B805" s="196" t="s">
        <v>2869</v>
      </c>
    </row>
    <row r="806" spans="1:2">
      <c r="A806" s="197" t="s">
        <v>2870</v>
      </c>
      <c r="B806" s="196" t="s">
        <v>2871</v>
      </c>
    </row>
    <row r="807" spans="1:2">
      <c r="A807" s="197" t="s">
        <v>2872</v>
      </c>
      <c r="B807" s="196" t="s">
        <v>2873</v>
      </c>
    </row>
    <row r="808" spans="1:2">
      <c r="A808" s="197" t="s">
        <v>2874</v>
      </c>
      <c r="B808" s="196" t="s">
        <v>2875</v>
      </c>
    </row>
    <row r="809" spans="1:2">
      <c r="A809" s="197" t="s">
        <v>2876</v>
      </c>
      <c r="B809" s="196" t="s">
        <v>2877</v>
      </c>
    </row>
    <row r="810" spans="1:2">
      <c r="A810" s="197" t="s">
        <v>2878</v>
      </c>
      <c r="B810" s="196" t="s">
        <v>2879</v>
      </c>
    </row>
    <row r="811" spans="1:2">
      <c r="A811" s="197" t="s">
        <v>2880</v>
      </c>
      <c r="B811" s="196" t="s">
        <v>2881</v>
      </c>
    </row>
    <row r="812" spans="1:2">
      <c r="A812" s="197" t="s">
        <v>2882</v>
      </c>
      <c r="B812" s="196" t="s">
        <v>2883</v>
      </c>
    </row>
    <row r="813" spans="1:2">
      <c r="A813" s="197" t="s">
        <v>2884</v>
      </c>
      <c r="B813" s="196" t="s">
        <v>2885</v>
      </c>
    </row>
    <row r="814" spans="1:2">
      <c r="A814" s="197" t="s">
        <v>2886</v>
      </c>
      <c r="B814" s="196" t="s">
        <v>2887</v>
      </c>
    </row>
    <row r="815" spans="1:2">
      <c r="A815" s="197" t="s">
        <v>2888</v>
      </c>
      <c r="B815" s="196" t="s">
        <v>2889</v>
      </c>
    </row>
    <row r="816" spans="1:2">
      <c r="A816" s="197" t="s">
        <v>2890</v>
      </c>
      <c r="B816" s="196" t="s">
        <v>2647</v>
      </c>
    </row>
    <row r="817" spans="1:2">
      <c r="A817" s="197" t="s">
        <v>2891</v>
      </c>
      <c r="B817" s="196" t="s">
        <v>2892</v>
      </c>
    </row>
    <row r="818" spans="1:2">
      <c r="A818" s="197" t="s">
        <v>2893</v>
      </c>
      <c r="B818" s="196" t="s">
        <v>2894</v>
      </c>
    </row>
    <row r="819" spans="1:2">
      <c r="A819" s="197" t="s">
        <v>2895</v>
      </c>
      <c r="B819" s="196" t="s">
        <v>2896</v>
      </c>
    </row>
    <row r="820" spans="1:2">
      <c r="A820" s="197" t="s">
        <v>2897</v>
      </c>
      <c r="B820" s="196" t="s">
        <v>2898</v>
      </c>
    </row>
    <row r="821" spans="1:2">
      <c r="A821" s="197" t="s">
        <v>2899</v>
      </c>
      <c r="B821" s="196" t="s">
        <v>2900</v>
      </c>
    </row>
    <row r="822" spans="1:2">
      <c r="A822" s="197" t="s">
        <v>2901</v>
      </c>
      <c r="B822" s="196" t="s">
        <v>2902</v>
      </c>
    </row>
    <row r="823" spans="1:2">
      <c r="A823" s="197" t="s">
        <v>2903</v>
      </c>
      <c r="B823" s="196" t="s">
        <v>2904</v>
      </c>
    </row>
    <row r="824" spans="1:2">
      <c r="A824" s="197" t="s">
        <v>2905</v>
      </c>
      <c r="B824" s="196" t="s">
        <v>2906</v>
      </c>
    </row>
    <row r="825" spans="1:2">
      <c r="A825" s="197" t="s">
        <v>3195</v>
      </c>
      <c r="B825" s="196" t="s">
        <v>3196</v>
      </c>
    </row>
    <row r="826" spans="1:2">
      <c r="A826" s="197" t="s">
        <v>2907</v>
      </c>
      <c r="B826" s="196" t="s">
        <v>2908</v>
      </c>
    </row>
    <row r="827" spans="1:2">
      <c r="A827" s="197" t="s">
        <v>2909</v>
      </c>
      <c r="B827" s="196" t="s">
        <v>2910</v>
      </c>
    </row>
    <row r="828" spans="1:2">
      <c r="A828" s="197" t="s">
        <v>2911</v>
      </c>
      <c r="B828" s="196" t="s">
        <v>2912</v>
      </c>
    </row>
    <row r="829" spans="1:2">
      <c r="A829" s="197" t="s">
        <v>3197</v>
      </c>
      <c r="B829" s="196" t="s">
        <v>3198</v>
      </c>
    </row>
    <row r="830" spans="1:2">
      <c r="A830" s="197" t="s">
        <v>3199</v>
      </c>
      <c r="B830" s="196" t="s">
        <v>3200</v>
      </c>
    </row>
    <row r="831" spans="1:2">
      <c r="A831" s="197" t="s">
        <v>3201</v>
      </c>
      <c r="B831" s="196" t="s">
        <v>3202</v>
      </c>
    </row>
    <row r="832" spans="1:2">
      <c r="A832" s="197" t="s">
        <v>3203</v>
      </c>
      <c r="B832" s="196" t="s">
        <v>3204</v>
      </c>
    </row>
    <row r="833" spans="1:2">
      <c r="A833" s="197" t="s">
        <v>3205</v>
      </c>
      <c r="B833" s="196" t="s">
        <v>3206</v>
      </c>
    </row>
    <row r="834" spans="1:2">
      <c r="A834" s="197" t="s">
        <v>3207</v>
      </c>
      <c r="B834" s="196" t="s">
        <v>3208</v>
      </c>
    </row>
    <row r="835" spans="1:2">
      <c r="A835" s="197" t="s">
        <v>3209</v>
      </c>
      <c r="B835" s="196" t="s">
        <v>3210</v>
      </c>
    </row>
    <row r="836" spans="1:2">
      <c r="A836" s="197" t="s">
        <v>3211</v>
      </c>
      <c r="B836" s="196" t="s">
        <v>3212</v>
      </c>
    </row>
    <row r="837" spans="1:2">
      <c r="A837" s="197" t="s">
        <v>3213</v>
      </c>
      <c r="B837" s="196" t="s">
        <v>3214</v>
      </c>
    </row>
    <row r="838" spans="1:2">
      <c r="A838" s="197" t="s">
        <v>3215</v>
      </c>
      <c r="B838" s="196" t="s">
        <v>3216</v>
      </c>
    </row>
    <row r="839" spans="1:2">
      <c r="A839" s="197" t="s">
        <v>3217</v>
      </c>
      <c r="B839" s="196" t="s">
        <v>3218</v>
      </c>
    </row>
    <row r="840" spans="1:2">
      <c r="A840" s="197" t="s">
        <v>3219</v>
      </c>
      <c r="B840" s="196" t="s">
        <v>3220</v>
      </c>
    </row>
    <row r="841" spans="1:2">
      <c r="A841" s="197" t="s">
        <v>3221</v>
      </c>
      <c r="B841" s="196" t="s">
        <v>3222</v>
      </c>
    </row>
    <row r="842" spans="1:2">
      <c r="A842" s="197" t="s">
        <v>3223</v>
      </c>
      <c r="B842" s="196" t="s">
        <v>3224</v>
      </c>
    </row>
    <row r="843" spans="1:2">
      <c r="A843" s="197" t="s">
        <v>3225</v>
      </c>
      <c r="B843" s="196" t="s">
        <v>3226</v>
      </c>
    </row>
    <row r="844" spans="1:2">
      <c r="A844" s="197" t="s">
        <v>3227</v>
      </c>
      <c r="B844" s="196" t="s">
        <v>3228</v>
      </c>
    </row>
    <row r="845" spans="1:2">
      <c r="A845" s="197" t="s">
        <v>3229</v>
      </c>
      <c r="B845" s="196" t="s">
        <v>3230</v>
      </c>
    </row>
    <row r="846" spans="1:2">
      <c r="A846" s="197" t="s">
        <v>3231</v>
      </c>
      <c r="B846" s="196" t="s">
        <v>2808</v>
      </c>
    </row>
    <row r="847" spans="1:2">
      <c r="A847" s="197" t="s">
        <v>3232</v>
      </c>
      <c r="B847" s="196" t="s">
        <v>3126</v>
      </c>
    </row>
    <row r="848" spans="1:2">
      <c r="A848" s="197" t="s">
        <v>3233</v>
      </c>
      <c r="B848" s="196" t="s">
        <v>3234</v>
      </c>
    </row>
    <row r="849" spans="1:2">
      <c r="A849" s="197" t="s">
        <v>3235</v>
      </c>
      <c r="B849" s="196" t="s">
        <v>3236</v>
      </c>
    </row>
    <row r="850" spans="1:2">
      <c r="A850" s="197" t="s">
        <v>3237</v>
      </c>
      <c r="B850" s="196" t="s">
        <v>3238</v>
      </c>
    </row>
    <row r="851" spans="1:2">
      <c r="A851" s="197" t="s">
        <v>3239</v>
      </c>
      <c r="B851" s="196" t="s">
        <v>3240</v>
      </c>
    </row>
    <row r="852" spans="1:2">
      <c r="A852" s="197" t="s">
        <v>3241</v>
      </c>
      <c r="B852" s="196" t="s">
        <v>3242</v>
      </c>
    </row>
    <row r="853" spans="1:2">
      <c r="A853" s="197" t="s">
        <v>3243</v>
      </c>
      <c r="B853" s="196" t="s">
        <v>3244</v>
      </c>
    </row>
    <row r="854" spans="1:2">
      <c r="A854" s="197" t="s">
        <v>3245</v>
      </c>
      <c r="B854" s="196" t="s">
        <v>2479</v>
      </c>
    </row>
    <row r="855" spans="1:2">
      <c r="A855" s="197" t="s">
        <v>3246</v>
      </c>
      <c r="B855" s="196" t="s">
        <v>3247</v>
      </c>
    </row>
    <row r="856" spans="1:2">
      <c r="A856" s="197" t="s">
        <v>3248</v>
      </c>
      <c r="B856" s="196" t="s">
        <v>3249</v>
      </c>
    </row>
    <row r="857" spans="1:2">
      <c r="A857" s="197" t="s">
        <v>3250</v>
      </c>
      <c r="B857" s="196" t="s">
        <v>3251</v>
      </c>
    </row>
    <row r="858" spans="1:2">
      <c r="A858" s="197" t="s">
        <v>3252</v>
      </c>
      <c r="B858" s="196" t="s">
        <v>3253</v>
      </c>
    </row>
    <row r="859" spans="1:2">
      <c r="A859" s="197" t="s">
        <v>3254</v>
      </c>
      <c r="B859" s="196" t="s">
        <v>3255</v>
      </c>
    </row>
    <row r="860" spans="1:2">
      <c r="A860" s="197" t="s">
        <v>3256</v>
      </c>
      <c r="B860" s="196" t="s">
        <v>3257</v>
      </c>
    </row>
    <row r="861" spans="1:2">
      <c r="A861" s="197" t="s">
        <v>3258</v>
      </c>
      <c r="B861" s="196" t="s">
        <v>3259</v>
      </c>
    </row>
    <row r="862" spans="1:2">
      <c r="A862" s="197" t="s">
        <v>3260</v>
      </c>
      <c r="B862" s="196" t="s">
        <v>3261</v>
      </c>
    </row>
    <row r="863" spans="1:2">
      <c r="A863" s="197" t="s">
        <v>3262</v>
      </c>
      <c r="B863" s="196" t="s">
        <v>3263</v>
      </c>
    </row>
    <row r="864" spans="1:2">
      <c r="A864" s="197" t="s">
        <v>3264</v>
      </c>
      <c r="B864" s="196" t="s">
        <v>3265</v>
      </c>
    </row>
    <row r="865" spans="1:2">
      <c r="A865" s="197" t="s">
        <v>3266</v>
      </c>
      <c r="B865" s="196" t="s">
        <v>3267</v>
      </c>
    </row>
    <row r="866" spans="1:2">
      <c r="A866" s="197" t="s">
        <v>3268</v>
      </c>
      <c r="B866" s="196" t="s">
        <v>3269</v>
      </c>
    </row>
    <row r="867" spans="1:2">
      <c r="A867" s="197" t="s">
        <v>3270</v>
      </c>
      <c r="B867" s="196" t="s">
        <v>3271</v>
      </c>
    </row>
    <row r="868" spans="1:2">
      <c r="A868" s="197" t="s">
        <v>3272</v>
      </c>
      <c r="B868" s="196" t="s">
        <v>3273</v>
      </c>
    </row>
    <row r="869" spans="1:2">
      <c r="A869" s="197" t="s">
        <v>3274</v>
      </c>
      <c r="B869" s="196" t="s">
        <v>3275</v>
      </c>
    </row>
    <row r="870" spans="1:2">
      <c r="A870" s="197" t="s">
        <v>3276</v>
      </c>
      <c r="B870" s="196" t="s">
        <v>3277</v>
      </c>
    </row>
    <row r="871" spans="1:2">
      <c r="A871" s="197" t="s">
        <v>3278</v>
      </c>
      <c r="B871" s="196" t="s">
        <v>3279</v>
      </c>
    </row>
    <row r="872" spans="1:2">
      <c r="A872" s="197" t="s">
        <v>3280</v>
      </c>
      <c r="B872" s="196" t="s">
        <v>3281</v>
      </c>
    </row>
    <row r="873" spans="1:2">
      <c r="A873" s="197" t="s">
        <v>3282</v>
      </c>
      <c r="B873" s="196" t="s">
        <v>3283</v>
      </c>
    </row>
    <row r="874" spans="1:2">
      <c r="A874" s="197" t="s">
        <v>3284</v>
      </c>
      <c r="B874" s="196" t="s">
        <v>3285</v>
      </c>
    </row>
    <row r="875" spans="1:2">
      <c r="A875" s="197" t="s">
        <v>3286</v>
      </c>
      <c r="B875" s="196" t="s">
        <v>3287</v>
      </c>
    </row>
    <row r="876" spans="1:2">
      <c r="A876" s="197" t="s">
        <v>3288</v>
      </c>
      <c r="B876" s="196" t="s">
        <v>3289</v>
      </c>
    </row>
    <row r="877" spans="1:2">
      <c r="A877" s="197" t="s">
        <v>3290</v>
      </c>
      <c r="B877" s="196" t="s">
        <v>3291</v>
      </c>
    </row>
    <row r="878" spans="1:2">
      <c r="A878" s="197" t="s">
        <v>3292</v>
      </c>
      <c r="B878" s="196" t="s">
        <v>3293</v>
      </c>
    </row>
    <row r="879" spans="1:2">
      <c r="A879" s="197" t="s">
        <v>3294</v>
      </c>
      <c r="B879" s="196" t="s">
        <v>3295</v>
      </c>
    </row>
    <row r="880" spans="1:2">
      <c r="A880" s="197" t="s">
        <v>3296</v>
      </c>
      <c r="B880" s="196" t="s">
        <v>3297</v>
      </c>
    </row>
    <row r="881" spans="1:2">
      <c r="A881" s="197" t="s">
        <v>3298</v>
      </c>
      <c r="B881" s="196" t="s">
        <v>3299</v>
      </c>
    </row>
    <row r="882" spans="1:2">
      <c r="A882" s="197" t="s">
        <v>3300</v>
      </c>
      <c r="B882" s="196" t="s">
        <v>3301</v>
      </c>
    </row>
    <row r="883" spans="1:2">
      <c r="A883" s="197" t="s">
        <v>3302</v>
      </c>
      <c r="B883" s="196" t="s">
        <v>3303</v>
      </c>
    </row>
    <row r="884" spans="1:2">
      <c r="A884" s="197" t="s">
        <v>3304</v>
      </c>
      <c r="B884" s="196" t="s">
        <v>3305</v>
      </c>
    </row>
    <row r="885" spans="1:2">
      <c r="A885" s="197" t="s">
        <v>3306</v>
      </c>
      <c r="B885" s="196" t="s">
        <v>3307</v>
      </c>
    </row>
    <row r="886" spans="1:2">
      <c r="A886" s="197" t="s">
        <v>3308</v>
      </c>
      <c r="B886" s="196" t="s">
        <v>3309</v>
      </c>
    </row>
    <row r="887" spans="1:2">
      <c r="A887" s="197" t="s">
        <v>3310</v>
      </c>
      <c r="B887" s="196" t="s">
        <v>3311</v>
      </c>
    </row>
    <row r="888" spans="1:2">
      <c r="A888" s="197" t="s">
        <v>3312</v>
      </c>
      <c r="B888" s="196" t="s">
        <v>3313</v>
      </c>
    </row>
    <row r="889" spans="1:2">
      <c r="A889" s="197" t="s">
        <v>3314</v>
      </c>
      <c r="B889" s="196" t="s">
        <v>3315</v>
      </c>
    </row>
    <row r="890" spans="1:2">
      <c r="A890" s="197" t="s">
        <v>3316</v>
      </c>
      <c r="B890" s="196" t="s">
        <v>3317</v>
      </c>
    </row>
    <row r="891" spans="1:2">
      <c r="A891" s="197" t="s">
        <v>3318</v>
      </c>
      <c r="B891" s="196" t="s">
        <v>3319</v>
      </c>
    </row>
    <row r="892" spans="1:2">
      <c r="A892" s="197" t="s">
        <v>3320</v>
      </c>
      <c r="B892" s="196" t="s">
        <v>3321</v>
      </c>
    </row>
    <row r="893" spans="1:2">
      <c r="A893" s="197" t="s">
        <v>3322</v>
      </c>
      <c r="B893" s="196" t="s">
        <v>3323</v>
      </c>
    </row>
    <row r="894" spans="1:2">
      <c r="A894" s="197" t="s">
        <v>3324</v>
      </c>
      <c r="B894" s="196" t="s">
        <v>3325</v>
      </c>
    </row>
    <row r="895" spans="1:2">
      <c r="A895" s="197" t="s">
        <v>3326</v>
      </c>
      <c r="B895" s="196" t="s">
        <v>3327</v>
      </c>
    </row>
    <row r="896" spans="1:2">
      <c r="A896" s="197" t="s">
        <v>3328</v>
      </c>
      <c r="B896" s="196" t="s">
        <v>3329</v>
      </c>
    </row>
    <row r="897" spans="1:2">
      <c r="A897" s="197" t="s">
        <v>3330</v>
      </c>
      <c r="B897" s="196" t="s">
        <v>3331</v>
      </c>
    </row>
    <row r="898" spans="1:2">
      <c r="A898" s="197" t="s">
        <v>3332</v>
      </c>
      <c r="B898" s="196" t="s">
        <v>3333</v>
      </c>
    </row>
    <row r="899" spans="1:2">
      <c r="A899" s="197" t="s">
        <v>3334</v>
      </c>
      <c r="B899" s="196" t="s">
        <v>3335</v>
      </c>
    </row>
    <row r="900" spans="1:2">
      <c r="A900" s="197" t="s">
        <v>3336</v>
      </c>
      <c r="B900" s="196" t="s">
        <v>3337</v>
      </c>
    </row>
    <row r="901" spans="1:2">
      <c r="A901" s="197" t="s">
        <v>3338</v>
      </c>
      <c r="B901" s="196" t="s">
        <v>3339</v>
      </c>
    </row>
    <row r="902" spans="1:2">
      <c r="A902" s="197" t="s">
        <v>3340</v>
      </c>
      <c r="B902" s="196" t="s">
        <v>3341</v>
      </c>
    </row>
    <row r="903" spans="1:2">
      <c r="A903" s="197" t="s">
        <v>3342</v>
      </c>
      <c r="B903" s="196" t="s">
        <v>3343</v>
      </c>
    </row>
    <row r="904" spans="1:2">
      <c r="A904" s="197" t="s">
        <v>3344</v>
      </c>
      <c r="B904" s="196" t="s">
        <v>3345</v>
      </c>
    </row>
    <row r="905" spans="1:2">
      <c r="A905" s="197" t="s">
        <v>3346</v>
      </c>
      <c r="B905" s="196" t="s">
        <v>3347</v>
      </c>
    </row>
    <row r="906" spans="1:2">
      <c r="A906" s="197" t="s">
        <v>3348</v>
      </c>
      <c r="B906" s="196" t="s">
        <v>3349</v>
      </c>
    </row>
    <row r="907" spans="1:2">
      <c r="A907" s="197" t="s">
        <v>3350</v>
      </c>
      <c r="B907" s="196" t="s">
        <v>3351</v>
      </c>
    </row>
    <row r="908" spans="1:2">
      <c r="A908" s="197" t="s">
        <v>3352</v>
      </c>
      <c r="B908" s="196" t="s">
        <v>3353</v>
      </c>
    </row>
    <row r="909" spans="1:2">
      <c r="A909" s="197" t="s">
        <v>3354</v>
      </c>
      <c r="B909" s="196" t="s">
        <v>3355</v>
      </c>
    </row>
    <row r="910" spans="1:2">
      <c r="A910" s="197" t="s">
        <v>3356</v>
      </c>
      <c r="B910" s="196" t="s">
        <v>3357</v>
      </c>
    </row>
    <row r="911" spans="1:2">
      <c r="A911" s="197" t="s">
        <v>3358</v>
      </c>
      <c r="B911" s="196" t="s">
        <v>1274</v>
      </c>
    </row>
    <row r="912" spans="1:2">
      <c r="A912" s="197" t="s">
        <v>3359</v>
      </c>
      <c r="B912" s="196" t="s">
        <v>2041</v>
      </c>
    </row>
    <row r="913" spans="1:2">
      <c r="A913" s="197" t="s">
        <v>3360</v>
      </c>
      <c r="B913" s="196" t="s">
        <v>3361</v>
      </c>
    </row>
    <row r="914" spans="1:2">
      <c r="A914" s="197" t="s">
        <v>3362</v>
      </c>
      <c r="B914" s="196" t="s">
        <v>2924</v>
      </c>
    </row>
    <row r="915" spans="1:2">
      <c r="A915" s="197" t="s">
        <v>3363</v>
      </c>
      <c r="B915" s="196" t="s">
        <v>1169</v>
      </c>
    </row>
    <row r="916" spans="1:2">
      <c r="A916" s="197" t="s">
        <v>3364</v>
      </c>
      <c r="B916" s="196" t="s">
        <v>1264</v>
      </c>
    </row>
    <row r="917" spans="1:2">
      <c r="A917" s="197" t="s">
        <v>3365</v>
      </c>
      <c r="B917" s="196" t="s">
        <v>3366</v>
      </c>
    </row>
    <row r="918" spans="1:2">
      <c r="A918" s="197" t="s">
        <v>3367</v>
      </c>
      <c r="B918" s="196" t="s">
        <v>3368</v>
      </c>
    </row>
    <row r="919" spans="1:2">
      <c r="A919" s="173" t="s">
        <v>144</v>
      </c>
      <c r="B919" s="174" t="s">
        <v>1742</v>
      </c>
    </row>
    <row r="920" spans="1:2">
      <c r="A920" s="199" t="s">
        <v>859</v>
      </c>
      <c r="B920" s="198" t="s">
        <v>860</v>
      </c>
    </row>
    <row r="921" spans="1:2">
      <c r="A921" s="199" t="s">
        <v>3369</v>
      </c>
      <c r="B921" s="198" t="s">
        <v>3370</v>
      </c>
    </row>
    <row r="922" spans="1:2">
      <c r="A922" s="199" t="s">
        <v>861</v>
      </c>
      <c r="B922" s="198" t="s">
        <v>862</v>
      </c>
    </row>
    <row r="923" spans="1:2">
      <c r="A923" s="199" t="s">
        <v>863</v>
      </c>
      <c r="B923" s="198" t="s">
        <v>864</v>
      </c>
    </row>
    <row r="924" spans="1:2">
      <c r="A924" s="199" t="s">
        <v>1565</v>
      </c>
      <c r="B924" s="198" t="s">
        <v>1566</v>
      </c>
    </row>
    <row r="925" spans="1:2">
      <c r="A925" s="199" t="s">
        <v>3371</v>
      </c>
      <c r="B925" s="198" t="s">
        <v>3372</v>
      </c>
    </row>
    <row r="926" spans="1:2">
      <c r="A926" s="199" t="s">
        <v>3373</v>
      </c>
      <c r="B926" s="198" t="s">
        <v>3216</v>
      </c>
    </row>
    <row r="927" spans="1:2">
      <c r="A927" s="199" t="s">
        <v>3374</v>
      </c>
      <c r="B927" s="198" t="s">
        <v>3375</v>
      </c>
    </row>
    <row r="928" spans="1:2">
      <c r="A928" s="199" t="s">
        <v>3376</v>
      </c>
      <c r="B928" s="198" t="s">
        <v>3377</v>
      </c>
    </row>
    <row r="929" spans="1:2">
      <c r="A929" s="199" t="s">
        <v>3378</v>
      </c>
      <c r="B929" s="198" t="s">
        <v>3379</v>
      </c>
    </row>
    <row r="930" spans="1:2">
      <c r="A930" s="199" t="s">
        <v>3380</v>
      </c>
      <c r="B930" s="198" t="s">
        <v>3381</v>
      </c>
    </row>
    <row r="931" spans="1:2">
      <c r="A931" s="173" t="s">
        <v>1744</v>
      </c>
      <c r="B931" s="174" t="s">
        <v>1915</v>
      </c>
    </row>
    <row r="932" spans="1:2">
      <c r="A932" s="201" t="s">
        <v>2913</v>
      </c>
      <c r="B932" s="200" t="s">
        <v>2914</v>
      </c>
    </row>
    <row r="933" spans="1:2">
      <c r="A933" s="201" t="s">
        <v>2915</v>
      </c>
      <c r="B933" s="200" t="s">
        <v>2916</v>
      </c>
    </row>
    <row r="934" spans="1:2">
      <c r="A934" s="201" t="s">
        <v>2918</v>
      </c>
      <c r="B934" s="200" t="s">
        <v>2917</v>
      </c>
    </row>
    <row r="935" spans="1:2">
      <c r="A935" s="201" t="s">
        <v>2919</v>
      </c>
      <c r="B935" s="200" t="s">
        <v>2920</v>
      </c>
    </row>
    <row r="936" spans="1:2">
      <c r="A936" s="201" t="s">
        <v>2921</v>
      </c>
      <c r="B936" s="200" t="s">
        <v>2922</v>
      </c>
    </row>
    <row r="937" spans="1:2">
      <c r="A937" s="201" t="s">
        <v>3382</v>
      </c>
      <c r="B937" s="200" t="s">
        <v>3383</v>
      </c>
    </row>
    <row r="938" spans="1:2">
      <c r="A938" s="201" t="s">
        <v>3384</v>
      </c>
      <c r="B938" s="200" t="s">
        <v>3385</v>
      </c>
    </row>
    <row r="939" spans="1:2">
      <c r="A939" s="201" t="s">
        <v>3386</v>
      </c>
      <c r="B939" s="200" t="s">
        <v>3387</v>
      </c>
    </row>
    <row r="940" spans="1:2">
      <c r="A940" s="173" t="s">
        <v>233</v>
      </c>
      <c r="B940" s="174" t="s">
        <v>1652</v>
      </c>
    </row>
    <row r="941" spans="1:2">
      <c r="A941" s="178" t="s">
        <v>865</v>
      </c>
      <c r="B941" s="177" t="s">
        <v>257</v>
      </c>
    </row>
    <row r="942" spans="1:2">
      <c r="A942" s="178" t="s">
        <v>866</v>
      </c>
      <c r="B942" s="177" t="s">
        <v>258</v>
      </c>
    </row>
    <row r="943" spans="1:2">
      <c r="A943" s="178" t="s">
        <v>867</v>
      </c>
      <c r="B943" s="177" t="s">
        <v>868</v>
      </c>
    </row>
    <row r="944" spans="1:2">
      <c r="A944" s="178" t="s">
        <v>869</v>
      </c>
      <c r="B944" s="177" t="s">
        <v>870</v>
      </c>
    </row>
    <row r="945" spans="1:2">
      <c r="A945" s="178" t="s">
        <v>1567</v>
      </c>
      <c r="B945" s="177" t="s">
        <v>1171</v>
      </c>
    </row>
    <row r="946" spans="1:2">
      <c r="A946" s="178" t="s">
        <v>2923</v>
      </c>
      <c r="B946" s="177" t="s">
        <v>2924</v>
      </c>
    </row>
    <row r="947" spans="1:2">
      <c r="A947" s="178" t="s">
        <v>2925</v>
      </c>
      <c r="B947" s="177" t="s">
        <v>1178</v>
      </c>
    </row>
    <row r="948" spans="1:2">
      <c r="A948" s="173" t="s">
        <v>683</v>
      </c>
      <c r="B948" s="174" t="s">
        <v>684</v>
      </c>
    </row>
    <row r="949" spans="1:2">
      <c r="A949" s="178" t="s">
        <v>871</v>
      </c>
      <c r="B949" s="177" t="s">
        <v>872</v>
      </c>
    </row>
    <row r="950" spans="1:2">
      <c r="A950" s="178" t="s">
        <v>873</v>
      </c>
      <c r="B950" s="177" t="s">
        <v>874</v>
      </c>
    </row>
    <row r="951" spans="1:2">
      <c r="A951" s="178" t="s">
        <v>875</v>
      </c>
      <c r="B951" s="177" t="s">
        <v>876</v>
      </c>
    </row>
    <row r="952" spans="1:2">
      <c r="A952" s="178" t="s">
        <v>2926</v>
      </c>
      <c r="B952" s="177" t="s">
        <v>2927</v>
      </c>
    </row>
    <row r="953" spans="1:2">
      <c r="A953" s="178" t="s">
        <v>2928</v>
      </c>
      <c r="B953" s="177" t="s">
        <v>2929</v>
      </c>
    </row>
    <row r="954" spans="1:2">
      <c r="A954" s="173" t="s">
        <v>685</v>
      </c>
      <c r="B954" s="174" t="s">
        <v>686</v>
      </c>
    </row>
    <row r="955" spans="1:2">
      <c r="A955" s="178" t="s">
        <v>877</v>
      </c>
      <c r="B955" s="177" t="s">
        <v>878</v>
      </c>
    </row>
    <row r="956" spans="1:2">
      <c r="A956" s="172" t="s">
        <v>536</v>
      </c>
      <c r="B956" s="176" t="s">
        <v>936</v>
      </c>
    </row>
    <row r="957" spans="1:2">
      <c r="A957" s="173" t="s">
        <v>693</v>
      </c>
      <c r="B957" s="174" t="s">
        <v>1743</v>
      </c>
    </row>
    <row r="958" spans="1:2">
      <c r="A958" s="203" t="s">
        <v>879</v>
      </c>
      <c r="B958" s="202" t="s">
        <v>880</v>
      </c>
    </row>
    <row r="959" spans="1:2">
      <c r="A959" s="203" t="s">
        <v>3388</v>
      </c>
      <c r="B959" s="202" t="s">
        <v>880</v>
      </c>
    </row>
    <row r="960" spans="1:2">
      <c r="A960" s="203" t="s">
        <v>881</v>
      </c>
      <c r="B960" s="202" t="s">
        <v>882</v>
      </c>
    </row>
    <row r="961" spans="1:2">
      <c r="A961" s="203" t="s">
        <v>883</v>
      </c>
      <c r="B961" s="202" t="s">
        <v>884</v>
      </c>
    </row>
    <row r="962" spans="1:2">
      <c r="A962" s="203" t="s">
        <v>885</v>
      </c>
      <c r="B962" s="202" t="s">
        <v>886</v>
      </c>
    </row>
    <row r="963" spans="1:2">
      <c r="A963" s="203" t="s">
        <v>887</v>
      </c>
      <c r="B963" s="202" t="s">
        <v>888</v>
      </c>
    </row>
    <row r="964" spans="1:2">
      <c r="A964" s="203" t="s">
        <v>889</v>
      </c>
      <c r="B964" s="202" t="s">
        <v>890</v>
      </c>
    </row>
    <row r="965" spans="1:2">
      <c r="A965" s="203" t="s">
        <v>891</v>
      </c>
      <c r="B965" s="202" t="s">
        <v>892</v>
      </c>
    </row>
    <row r="966" spans="1:2">
      <c r="A966" s="203" t="s">
        <v>893</v>
      </c>
      <c r="B966" s="202" t="s">
        <v>894</v>
      </c>
    </row>
    <row r="967" spans="1:2">
      <c r="A967" s="203" t="s">
        <v>895</v>
      </c>
      <c r="B967" s="202" t="s">
        <v>896</v>
      </c>
    </row>
    <row r="968" spans="1:2">
      <c r="A968" s="203" t="s">
        <v>897</v>
      </c>
      <c r="B968" s="202" t="s">
        <v>898</v>
      </c>
    </row>
    <row r="969" spans="1:2">
      <c r="A969" s="203" t="s">
        <v>899</v>
      </c>
      <c r="B969" s="202" t="s">
        <v>900</v>
      </c>
    </row>
    <row r="970" spans="1:2">
      <c r="A970" s="203" t="s">
        <v>901</v>
      </c>
      <c r="B970" s="202" t="s">
        <v>902</v>
      </c>
    </row>
    <row r="971" spans="1:2">
      <c r="A971" s="203" t="s">
        <v>903</v>
      </c>
      <c r="B971" s="202" t="s">
        <v>904</v>
      </c>
    </row>
    <row r="972" spans="1:2">
      <c r="A972" s="203" t="s">
        <v>905</v>
      </c>
      <c r="B972" s="202" t="s">
        <v>906</v>
      </c>
    </row>
    <row r="973" spans="1:2">
      <c r="A973" s="203" t="s">
        <v>907</v>
      </c>
      <c r="B973" s="202" t="s">
        <v>908</v>
      </c>
    </row>
    <row r="974" spans="1:2">
      <c r="A974" s="203" t="s">
        <v>909</v>
      </c>
      <c r="B974" s="202" t="s">
        <v>910</v>
      </c>
    </row>
    <row r="975" spans="1:2">
      <c r="A975" s="203" t="s">
        <v>911</v>
      </c>
      <c r="B975" s="202" t="s">
        <v>912</v>
      </c>
    </row>
    <row r="976" spans="1:2">
      <c r="A976" s="203" t="s">
        <v>913</v>
      </c>
      <c r="B976" s="202" t="s">
        <v>914</v>
      </c>
    </row>
    <row r="977" spans="1:2">
      <c r="A977" s="203" t="s">
        <v>915</v>
      </c>
      <c r="B977" s="202" t="s">
        <v>916</v>
      </c>
    </row>
    <row r="978" spans="1:2">
      <c r="A978" s="203" t="s">
        <v>917</v>
      </c>
      <c r="B978" s="202" t="s">
        <v>918</v>
      </c>
    </row>
    <row r="979" spans="1:2">
      <c r="A979" s="203" t="s">
        <v>919</v>
      </c>
      <c r="B979" s="202" t="s">
        <v>920</v>
      </c>
    </row>
    <row r="980" spans="1:2">
      <c r="A980" s="203" t="s">
        <v>921</v>
      </c>
      <c r="B980" s="202" t="s">
        <v>922</v>
      </c>
    </row>
    <row r="981" spans="1:2">
      <c r="A981" s="203" t="s">
        <v>923</v>
      </c>
      <c r="B981" s="202" t="s">
        <v>924</v>
      </c>
    </row>
    <row r="982" spans="1:2">
      <c r="A982" s="203" t="s">
        <v>925</v>
      </c>
      <c r="B982" s="202" t="s">
        <v>926</v>
      </c>
    </row>
    <row r="983" spans="1:2">
      <c r="A983" s="203" t="s">
        <v>1568</v>
      </c>
      <c r="B983" s="202" t="s">
        <v>1569</v>
      </c>
    </row>
    <row r="984" spans="1:2">
      <c r="A984" s="203" t="s">
        <v>1570</v>
      </c>
      <c r="B984" s="202" t="s">
        <v>1571</v>
      </c>
    </row>
    <row r="985" spans="1:2">
      <c r="A985" s="203" t="s">
        <v>1572</v>
      </c>
      <c r="B985" s="202" t="s">
        <v>1573</v>
      </c>
    </row>
    <row r="986" spans="1:2">
      <c r="A986" s="203" t="s">
        <v>1574</v>
      </c>
      <c r="B986" s="202" t="s">
        <v>1575</v>
      </c>
    </row>
    <row r="987" spans="1:2">
      <c r="A987" s="203" t="s">
        <v>1576</v>
      </c>
      <c r="B987" s="202" t="s">
        <v>1577</v>
      </c>
    </row>
    <row r="988" spans="1:2">
      <c r="A988" s="203" t="s">
        <v>1578</v>
      </c>
      <c r="B988" s="202" t="s">
        <v>1579</v>
      </c>
    </row>
    <row r="989" spans="1:2">
      <c r="A989" s="203" t="s">
        <v>1580</v>
      </c>
      <c r="B989" s="202" t="s">
        <v>1581</v>
      </c>
    </row>
    <row r="990" spans="1:2">
      <c r="A990" s="203" t="s">
        <v>1582</v>
      </c>
      <c r="B990" s="202" t="s">
        <v>1583</v>
      </c>
    </row>
    <row r="991" spans="1:2">
      <c r="A991" s="203" t="s">
        <v>1584</v>
      </c>
      <c r="B991" s="202" t="s">
        <v>1585</v>
      </c>
    </row>
    <row r="992" spans="1:2">
      <c r="A992" s="203" t="s">
        <v>1586</v>
      </c>
      <c r="B992" s="202" t="s">
        <v>1587</v>
      </c>
    </row>
    <row r="993" spans="1:2">
      <c r="A993" s="203" t="s">
        <v>1588</v>
      </c>
      <c r="B993" s="202" t="s">
        <v>1589</v>
      </c>
    </row>
    <row r="994" spans="1:2">
      <c r="A994" s="203" t="s">
        <v>1590</v>
      </c>
      <c r="B994" s="202" t="s">
        <v>1591</v>
      </c>
    </row>
    <row r="995" spans="1:2">
      <c r="A995" s="203" t="s">
        <v>1592</v>
      </c>
      <c r="B995" s="202" t="s">
        <v>1593</v>
      </c>
    </row>
    <row r="996" spans="1:2">
      <c r="A996" s="203" t="s">
        <v>1594</v>
      </c>
      <c r="B996" s="202" t="s">
        <v>1595</v>
      </c>
    </row>
    <row r="997" spans="1:2">
      <c r="A997" s="203" t="s">
        <v>1596</v>
      </c>
      <c r="B997" s="202" t="s">
        <v>1597</v>
      </c>
    </row>
    <row r="998" spans="1:2">
      <c r="A998" s="203" t="s">
        <v>1598</v>
      </c>
      <c r="B998" s="202" t="s">
        <v>1599</v>
      </c>
    </row>
    <row r="999" spans="1:2">
      <c r="A999" s="203" t="s">
        <v>1600</v>
      </c>
      <c r="B999" s="202" t="s">
        <v>1601</v>
      </c>
    </row>
    <row r="1000" spans="1:2">
      <c r="A1000" s="203" t="s">
        <v>1602</v>
      </c>
      <c r="B1000" s="202" t="s">
        <v>1603</v>
      </c>
    </row>
    <row r="1001" spans="1:2">
      <c r="A1001" s="203" t="s">
        <v>1604</v>
      </c>
      <c r="B1001" s="202" t="s">
        <v>1605</v>
      </c>
    </row>
    <row r="1002" spans="1:2">
      <c r="A1002" s="203" t="s">
        <v>1606</v>
      </c>
      <c r="B1002" s="202" t="s">
        <v>1607</v>
      </c>
    </row>
    <row r="1003" spans="1:2">
      <c r="A1003" s="203" t="s">
        <v>1608</v>
      </c>
      <c r="B1003" s="202" t="s">
        <v>1609</v>
      </c>
    </row>
    <row r="1004" spans="1:2">
      <c r="A1004" s="203" t="s">
        <v>1610</v>
      </c>
      <c r="B1004" s="202" t="s">
        <v>1611</v>
      </c>
    </row>
    <row r="1005" spans="1:2">
      <c r="A1005" s="203" t="s">
        <v>1612</v>
      </c>
      <c r="B1005" s="202" t="s">
        <v>1613</v>
      </c>
    </row>
    <row r="1006" spans="1:2">
      <c r="A1006" s="203" t="s">
        <v>2930</v>
      </c>
      <c r="B1006" s="202" t="s">
        <v>2931</v>
      </c>
    </row>
    <row r="1007" spans="1:2">
      <c r="A1007" s="203" t="s">
        <v>2932</v>
      </c>
      <c r="B1007" s="202" t="s">
        <v>2933</v>
      </c>
    </row>
    <row r="1008" spans="1:2">
      <c r="A1008" s="203" t="s">
        <v>2934</v>
      </c>
      <c r="B1008" s="202" t="s">
        <v>2935</v>
      </c>
    </row>
    <row r="1009" spans="1:2">
      <c r="A1009" s="203" t="s">
        <v>2936</v>
      </c>
      <c r="B1009" s="202" t="s">
        <v>2937</v>
      </c>
    </row>
    <row r="1010" spans="1:2">
      <c r="A1010" s="203" t="s">
        <v>2938</v>
      </c>
      <c r="B1010" s="202" t="s">
        <v>2939</v>
      </c>
    </row>
    <row r="1011" spans="1:2">
      <c r="A1011" s="203" t="s">
        <v>2940</v>
      </c>
      <c r="B1011" s="202" t="s">
        <v>2941</v>
      </c>
    </row>
    <row r="1012" spans="1:2">
      <c r="A1012" s="203" t="s">
        <v>2942</v>
      </c>
      <c r="B1012" s="202" t="s">
        <v>2943</v>
      </c>
    </row>
    <row r="1013" spans="1:2">
      <c r="A1013" s="203" t="s">
        <v>2944</v>
      </c>
      <c r="B1013" s="202" t="s">
        <v>2945</v>
      </c>
    </row>
    <row r="1014" spans="1:2">
      <c r="A1014" s="203" t="s">
        <v>2946</v>
      </c>
      <c r="B1014" s="202" t="s">
        <v>2947</v>
      </c>
    </row>
    <row r="1015" spans="1:2">
      <c r="A1015" s="203" t="s">
        <v>2948</v>
      </c>
      <c r="B1015" s="202" t="s">
        <v>2949</v>
      </c>
    </row>
    <row r="1016" spans="1:2">
      <c r="A1016" s="203" t="s">
        <v>2950</v>
      </c>
      <c r="B1016" s="202" t="s">
        <v>2951</v>
      </c>
    </row>
    <row r="1017" spans="1:2">
      <c r="A1017" s="203" t="s">
        <v>2952</v>
      </c>
      <c r="B1017" s="202" t="s">
        <v>2953</v>
      </c>
    </row>
    <row r="1018" spans="1:2">
      <c r="A1018" s="203" t="s">
        <v>2954</v>
      </c>
      <c r="B1018" s="202" t="s">
        <v>2955</v>
      </c>
    </row>
    <row r="1019" spans="1:2">
      <c r="A1019" s="203" t="s">
        <v>2956</v>
      </c>
      <c r="B1019" s="202" t="s">
        <v>2957</v>
      </c>
    </row>
    <row r="1020" spans="1:2">
      <c r="A1020" s="203" t="s">
        <v>2958</v>
      </c>
      <c r="B1020" s="202" t="s">
        <v>2959</v>
      </c>
    </row>
    <row r="1021" spans="1:2">
      <c r="A1021" s="203" t="s">
        <v>2960</v>
      </c>
      <c r="B1021" s="202" t="s">
        <v>2961</v>
      </c>
    </row>
    <row r="1022" spans="1:2">
      <c r="A1022" s="203" t="s">
        <v>2962</v>
      </c>
      <c r="B1022" s="202" t="s">
        <v>2963</v>
      </c>
    </row>
    <row r="1023" spans="1:2">
      <c r="A1023" s="203" t="s">
        <v>2964</v>
      </c>
      <c r="B1023" s="202" t="s">
        <v>2965</v>
      </c>
    </row>
    <row r="1024" spans="1:2">
      <c r="A1024" s="203" t="s">
        <v>2966</v>
      </c>
      <c r="B1024" s="202" t="s">
        <v>2967</v>
      </c>
    </row>
    <row r="1025" spans="1:2">
      <c r="A1025" s="203" t="s">
        <v>2968</v>
      </c>
      <c r="B1025" s="202" t="s">
        <v>2969</v>
      </c>
    </row>
    <row r="1026" spans="1:2">
      <c r="A1026" s="203" t="s">
        <v>2970</v>
      </c>
      <c r="B1026" s="202" t="s">
        <v>2971</v>
      </c>
    </row>
    <row r="1027" spans="1:2">
      <c r="A1027" s="203" t="s">
        <v>2972</v>
      </c>
      <c r="B1027" s="202" t="s">
        <v>2973</v>
      </c>
    </row>
    <row r="1028" spans="1:2">
      <c r="A1028" s="203" t="s">
        <v>2974</v>
      </c>
      <c r="B1028" s="202" t="s">
        <v>2975</v>
      </c>
    </row>
    <row r="1029" spans="1:2">
      <c r="A1029" s="203" t="s">
        <v>2976</v>
      </c>
      <c r="B1029" s="202" t="s">
        <v>2977</v>
      </c>
    </row>
    <row r="1030" spans="1:2">
      <c r="A1030" s="203" t="s">
        <v>2978</v>
      </c>
      <c r="B1030" s="202" t="s">
        <v>2979</v>
      </c>
    </row>
    <row r="1031" spans="1:2">
      <c r="A1031" s="203" t="s">
        <v>2980</v>
      </c>
      <c r="B1031" s="202" t="s">
        <v>2981</v>
      </c>
    </row>
    <row r="1032" spans="1:2">
      <c r="A1032" s="203" t="s">
        <v>2982</v>
      </c>
      <c r="B1032" s="202" t="s">
        <v>3389</v>
      </c>
    </row>
    <row r="1033" spans="1:2">
      <c r="A1033" s="203" t="s">
        <v>2983</v>
      </c>
      <c r="B1033" s="202" t="s">
        <v>2984</v>
      </c>
    </row>
    <row r="1034" spans="1:2">
      <c r="A1034" s="203" t="s">
        <v>2985</v>
      </c>
      <c r="B1034" s="202" t="s">
        <v>2986</v>
      </c>
    </row>
    <row r="1035" spans="1:2">
      <c r="A1035" s="203" t="s">
        <v>3390</v>
      </c>
      <c r="B1035" s="202" t="s">
        <v>3391</v>
      </c>
    </row>
    <row r="1036" spans="1:2">
      <c r="A1036" s="203" t="s">
        <v>2987</v>
      </c>
      <c r="B1036" s="202" t="s">
        <v>2988</v>
      </c>
    </row>
    <row r="1037" spans="1:2">
      <c r="A1037" s="203" t="s">
        <v>2989</v>
      </c>
      <c r="B1037" s="202" t="s">
        <v>1593</v>
      </c>
    </row>
    <row r="1038" spans="1:2">
      <c r="A1038" s="203" t="s">
        <v>2990</v>
      </c>
      <c r="B1038" s="202" t="s">
        <v>2991</v>
      </c>
    </row>
    <row r="1039" spans="1:2">
      <c r="A1039" s="203" t="s">
        <v>2992</v>
      </c>
      <c r="B1039" s="202" t="s">
        <v>2993</v>
      </c>
    </row>
    <row r="1040" spans="1:2">
      <c r="A1040" s="203" t="s">
        <v>2995</v>
      </c>
      <c r="B1040" s="202" t="s">
        <v>2996</v>
      </c>
    </row>
    <row r="1041" spans="1:2">
      <c r="A1041" s="203" t="s">
        <v>2997</v>
      </c>
      <c r="B1041" s="202" t="s">
        <v>2986</v>
      </c>
    </row>
    <row r="1042" spans="1:2">
      <c r="A1042" s="203" t="s">
        <v>2998</v>
      </c>
      <c r="B1042" s="202" t="s">
        <v>2994</v>
      </c>
    </row>
    <row r="1043" spans="1:2">
      <c r="A1043" s="203" t="s">
        <v>2999</v>
      </c>
      <c r="B1043" s="202" t="s">
        <v>3000</v>
      </c>
    </row>
    <row r="1044" spans="1:2">
      <c r="A1044" s="203" t="s">
        <v>3001</v>
      </c>
      <c r="B1044" s="202" t="s">
        <v>3002</v>
      </c>
    </row>
    <row r="1045" spans="1:2">
      <c r="A1045" s="203" t="s">
        <v>3003</v>
      </c>
      <c r="B1045" s="202" t="s">
        <v>3004</v>
      </c>
    </row>
    <row r="1046" spans="1:2">
      <c r="A1046" s="203" t="s">
        <v>3005</v>
      </c>
      <c r="B1046" s="202" t="s">
        <v>3006</v>
      </c>
    </row>
    <row r="1047" spans="1:2">
      <c r="A1047" s="203" t="s">
        <v>3007</v>
      </c>
      <c r="B1047" s="202" t="s">
        <v>3008</v>
      </c>
    </row>
    <row r="1048" spans="1:2">
      <c r="A1048" s="203" t="s">
        <v>3009</v>
      </c>
      <c r="B1048" s="202" t="s">
        <v>3010</v>
      </c>
    </row>
    <row r="1049" spans="1:2">
      <c r="A1049" s="203" t="s">
        <v>3011</v>
      </c>
      <c r="B1049" s="202" t="s">
        <v>3012</v>
      </c>
    </row>
    <row r="1050" spans="1:2">
      <c r="A1050" s="203" t="s">
        <v>3013</v>
      </c>
      <c r="B1050" s="202" t="s">
        <v>3014</v>
      </c>
    </row>
    <row r="1051" spans="1:2">
      <c r="A1051" s="203" t="s">
        <v>3392</v>
      </c>
      <c r="B1051" s="202" t="s">
        <v>3393</v>
      </c>
    </row>
    <row r="1052" spans="1:2">
      <c r="A1052" s="203" t="s">
        <v>3394</v>
      </c>
      <c r="B1052" s="202" t="s">
        <v>3395</v>
      </c>
    </row>
    <row r="1053" spans="1:2">
      <c r="A1053" s="203" t="s">
        <v>3396</v>
      </c>
      <c r="B1053" s="202" t="s">
        <v>3397</v>
      </c>
    </row>
    <row r="1054" spans="1:2">
      <c r="A1054" s="203" t="s">
        <v>3398</v>
      </c>
      <c r="B1054" s="202" t="s">
        <v>3399</v>
      </c>
    </row>
    <row r="1055" spans="1:2">
      <c r="A1055" s="203" t="s">
        <v>3400</v>
      </c>
      <c r="B1055" s="202" t="s">
        <v>3401</v>
      </c>
    </row>
    <row r="1056" spans="1:2">
      <c r="A1056" s="203" t="s">
        <v>3402</v>
      </c>
      <c r="B1056" s="202" t="s">
        <v>3403</v>
      </c>
    </row>
    <row r="1057" spans="1:2">
      <c r="A1057" s="203" t="s">
        <v>3404</v>
      </c>
      <c r="B1057" s="202" t="s">
        <v>3405</v>
      </c>
    </row>
    <row r="1058" spans="1:2">
      <c r="A1058" s="203" t="s">
        <v>3406</v>
      </c>
      <c r="B1058" s="202" t="s">
        <v>3407</v>
      </c>
    </row>
    <row r="1059" spans="1:2">
      <c r="A1059" s="203" t="s">
        <v>3408</v>
      </c>
      <c r="B1059" s="202" t="s">
        <v>2808</v>
      </c>
    </row>
    <row r="1060" spans="1:2">
      <c r="A1060" s="203" t="s">
        <v>3409</v>
      </c>
      <c r="B1060" s="202" t="s">
        <v>3410</v>
      </c>
    </row>
    <row r="1061" spans="1:2">
      <c r="A1061" s="203" t="s">
        <v>3411</v>
      </c>
      <c r="B1061" s="202" t="s">
        <v>3412</v>
      </c>
    </row>
    <row r="1062" spans="1:2">
      <c r="A1062" s="203" t="s">
        <v>3413</v>
      </c>
      <c r="B1062" s="202" t="s">
        <v>3414</v>
      </c>
    </row>
    <row r="1063" spans="1:2">
      <c r="A1063" s="203" t="s">
        <v>3415</v>
      </c>
      <c r="B1063" s="202" t="s">
        <v>3416</v>
      </c>
    </row>
    <row r="1064" spans="1:2">
      <c r="A1064" s="203" t="s">
        <v>3417</v>
      </c>
      <c r="B1064" s="202" t="s">
        <v>3418</v>
      </c>
    </row>
    <row r="1065" spans="1:2">
      <c r="A1065" s="203" t="s">
        <v>3419</v>
      </c>
      <c r="B1065" s="202" t="s">
        <v>1266</v>
      </c>
    </row>
    <row r="1066" spans="1:2">
      <c r="A1066" s="203" t="s">
        <v>3420</v>
      </c>
      <c r="B1066" s="202" t="s">
        <v>3421</v>
      </c>
    </row>
    <row r="1067" spans="1:2">
      <c r="A1067" s="203" t="s">
        <v>3422</v>
      </c>
      <c r="B1067" s="202" t="s">
        <v>3423</v>
      </c>
    </row>
    <row r="1068" spans="1:2">
      <c r="A1068" s="203" t="s">
        <v>3424</v>
      </c>
      <c r="B1068" s="202" t="s">
        <v>3425</v>
      </c>
    </row>
    <row r="1069" spans="1:2">
      <c r="A1069" s="203" t="s">
        <v>3426</v>
      </c>
      <c r="B1069" s="202" t="s">
        <v>3427</v>
      </c>
    </row>
    <row r="1070" spans="1:2">
      <c r="A1070" s="203" t="s">
        <v>3428</v>
      </c>
      <c r="B1070" s="202" t="s">
        <v>3429</v>
      </c>
    </row>
    <row r="1071" spans="1:2">
      <c r="A1071" s="203" t="s">
        <v>3430</v>
      </c>
      <c r="B1071" s="202" t="s">
        <v>3431</v>
      </c>
    </row>
    <row r="1072" spans="1:2">
      <c r="A1072" s="203" t="s">
        <v>3432</v>
      </c>
      <c r="B1072" s="202" t="s">
        <v>3433</v>
      </c>
    </row>
    <row r="1073" spans="1:2">
      <c r="A1073" s="203" t="s">
        <v>3434</v>
      </c>
      <c r="B1073" s="202" t="s">
        <v>3435</v>
      </c>
    </row>
    <row r="1074" spans="1:2">
      <c r="A1074" s="203" t="s">
        <v>3436</v>
      </c>
      <c r="B1074" s="202" t="s">
        <v>3437</v>
      </c>
    </row>
    <row r="1075" spans="1:2">
      <c r="A1075" s="203" t="s">
        <v>3438</v>
      </c>
      <c r="B1075" s="202" t="s">
        <v>3267</v>
      </c>
    </row>
    <row r="1076" spans="1:2">
      <c r="A1076" s="203" t="s">
        <v>3439</v>
      </c>
      <c r="B1076" s="202" t="s">
        <v>3440</v>
      </c>
    </row>
    <row r="1077" spans="1:2">
      <c r="A1077" s="203" t="s">
        <v>3441</v>
      </c>
      <c r="B1077" s="202" t="s">
        <v>3442</v>
      </c>
    </row>
    <row r="1078" spans="1:2">
      <c r="A1078" s="203" t="s">
        <v>3443</v>
      </c>
      <c r="B1078" s="202" t="s">
        <v>3444</v>
      </c>
    </row>
    <row r="1079" spans="1:2">
      <c r="A1079" s="203" t="s">
        <v>3445</v>
      </c>
      <c r="B1079" s="202" t="s">
        <v>3446</v>
      </c>
    </row>
    <row r="1080" spans="1:2">
      <c r="A1080" s="203" t="s">
        <v>3447</v>
      </c>
      <c r="B1080" s="202" t="s">
        <v>3448</v>
      </c>
    </row>
    <row r="1081" spans="1:2">
      <c r="A1081" s="203" t="s">
        <v>3449</v>
      </c>
      <c r="B1081" s="202" t="s">
        <v>3450</v>
      </c>
    </row>
    <row r="1082" spans="1:2">
      <c r="A1082" s="203" t="s">
        <v>3451</v>
      </c>
      <c r="B1082" s="202" t="s">
        <v>1390</v>
      </c>
    </row>
    <row r="1083" spans="1:2">
      <c r="A1083" s="203" t="s">
        <v>3452</v>
      </c>
      <c r="B1083" s="202" t="s">
        <v>3453</v>
      </c>
    </row>
    <row r="1084" spans="1:2">
      <c r="A1084" s="173" t="s">
        <v>697</v>
      </c>
      <c r="B1084" s="174" t="s">
        <v>682</v>
      </c>
    </row>
    <row r="1085" spans="1:2">
      <c r="A1085" s="178" t="s">
        <v>927</v>
      </c>
      <c r="B1085" s="177" t="s">
        <v>257</v>
      </c>
    </row>
    <row r="1086" spans="1:2">
      <c r="A1086" s="178" t="s">
        <v>928</v>
      </c>
      <c r="B1086" s="177" t="s">
        <v>258</v>
      </c>
    </row>
    <row r="1087" spans="1:2">
      <c r="A1087" s="178" t="s">
        <v>929</v>
      </c>
      <c r="B1087" s="177" t="s">
        <v>930</v>
      </c>
    </row>
    <row r="1088" spans="1:2">
      <c r="A1088" s="178" t="s">
        <v>931</v>
      </c>
      <c r="B1088" s="177" t="s">
        <v>868</v>
      </c>
    </row>
    <row r="1089" spans="1:2">
      <c r="A1089" s="178" t="s">
        <v>1614</v>
      </c>
      <c r="B1089" s="177" t="s">
        <v>1615</v>
      </c>
    </row>
    <row r="1090" spans="1:2">
      <c r="A1090" s="178" t="s">
        <v>1616</v>
      </c>
      <c r="B1090" s="177" t="s">
        <v>1171</v>
      </c>
    </row>
    <row r="1091" spans="1:2">
      <c r="A1091" s="178" t="s">
        <v>3015</v>
      </c>
      <c r="B1091" s="177" t="s">
        <v>2924</v>
      </c>
    </row>
    <row r="1092" spans="1:2">
      <c r="A1092" s="205" t="s">
        <v>3454</v>
      </c>
      <c r="B1092" s="204" t="s">
        <v>1178</v>
      </c>
    </row>
    <row r="1093" spans="1:2">
      <c r="A1093" s="172" t="s">
        <v>978</v>
      </c>
      <c r="B1093" s="176" t="s">
        <v>979</v>
      </c>
    </row>
    <row r="1094" spans="1:2">
      <c r="A1094" s="173" t="s">
        <v>998</v>
      </c>
      <c r="B1094" s="174" t="s">
        <v>999</v>
      </c>
    </row>
    <row r="1095" spans="1:2">
      <c r="A1095" s="178" t="s">
        <v>1183</v>
      </c>
      <c r="B1095" s="177" t="s">
        <v>1184</v>
      </c>
    </row>
    <row r="1096" spans="1:2">
      <c r="A1096" s="207" t="s">
        <v>3455</v>
      </c>
      <c r="B1096" s="206" t="s">
        <v>3456</v>
      </c>
    </row>
    <row r="1097" spans="1:2">
      <c r="A1097" s="173" t="s">
        <v>1000</v>
      </c>
      <c r="B1097" s="174" t="s">
        <v>1001</v>
      </c>
    </row>
    <row r="1098" spans="1:2">
      <c r="A1098" s="178" t="s">
        <v>1185</v>
      </c>
      <c r="B1098" s="177" t="s">
        <v>1186</v>
      </c>
    </row>
    <row r="1099" spans="1:2">
      <c r="A1099" s="178" t="s">
        <v>1187</v>
      </c>
      <c r="B1099" s="177" t="s">
        <v>1188</v>
      </c>
    </row>
    <row r="1100" spans="1:2">
      <c r="A1100" s="209" t="s">
        <v>3457</v>
      </c>
      <c r="B1100" s="208" t="s">
        <v>3456</v>
      </c>
    </row>
    <row r="1101" spans="1:2">
      <c r="A1101" s="172" t="s">
        <v>1007</v>
      </c>
      <c r="B1101" s="176" t="s">
        <v>1008</v>
      </c>
    </row>
    <row r="1102" spans="1:2">
      <c r="A1102" s="173" t="s">
        <v>1015</v>
      </c>
      <c r="B1102" s="174" t="s">
        <v>1016</v>
      </c>
    </row>
    <row r="1103" spans="1:2">
      <c r="A1103" s="178" t="s">
        <v>1189</v>
      </c>
      <c r="B1103" s="177" t="s">
        <v>1190</v>
      </c>
    </row>
    <row r="1104" spans="1:2">
      <c r="A1104" s="178" t="s">
        <v>1191</v>
      </c>
      <c r="B1104" s="177" t="s">
        <v>1192</v>
      </c>
    </row>
    <row r="1105" spans="1:2">
      <c r="A1105" s="172" t="s">
        <v>1103</v>
      </c>
      <c r="B1105" s="176" t="s">
        <v>1104</v>
      </c>
    </row>
    <row r="1106" spans="1:2">
      <c r="A1106" s="173" t="s">
        <v>1127</v>
      </c>
      <c r="B1106" s="174" t="s">
        <v>684</v>
      </c>
    </row>
    <row r="1107" spans="1:2">
      <c r="A1107" s="178" t="s">
        <v>1193</v>
      </c>
      <c r="B1107" s="177" t="s">
        <v>1194</v>
      </c>
    </row>
    <row r="1108" spans="1:2">
      <c r="A1108" s="178" t="s">
        <v>1195</v>
      </c>
      <c r="B1108" s="177" t="s">
        <v>1196</v>
      </c>
    </row>
    <row r="1109" spans="1:2">
      <c r="A1109" s="178" t="s">
        <v>1197</v>
      </c>
      <c r="B1109" s="177" t="s">
        <v>1198</v>
      </c>
    </row>
    <row r="1110" spans="1:2">
      <c r="A1110" s="178" t="s">
        <v>1199</v>
      </c>
      <c r="B1110" s="177" t="s">
        <v>1200</v>
      </c>
    </row>
    <row r="1111" spans="1:2">
      <c r="A1111" s="178" t="s">
        <v>1201</v>
      </c>
      <c r="B1111" s="177" t="s">
        <v>1202</v>
      </c>
    </row>
    <row r="1112" spans="1:2">
      <c r="A1112" s="178" t="s">
        <v>1203</v>
      </c>
      <c r="B1112" s="177" t="s">
        <v>1204</v>
      </c>
    </row>
    <row r="1113" spans="1:2">
      <c r="A1113" s="213" t="s">
        <v>3458</v>
      </c>
      <c r="B1113" s="211" t="s">
        <v>3459</v>
      </c>
    </row>
    <row r="1114" spans="1:2">
      <c r="A1114" s="214" t="s">
        <v>3460</v>
      </c>
      <c r="B1114" s="210" t="s">
        <v>684</v>
      </c>
    </row>
    <row r="1115" spans="1:2">
      <c r="A1115" s="215" t="s">
        <v>3461</v>
      </c>
      <c r="B1115" s="212" t="s">
        <v>1153</v>
      </c>
    </row>
    <row r="1116" spans="1:2">
      <c r="A1116" s="215" t="s">
        <v>3462</v>
      </c>
      <c r="B1116" s="212" t="s">
        <v>1155</v>
      </c>
    </row>
  </sheetData>
  <autoFilter ref="A1:B1116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0" bestFit="1" customWidth="1"/>
    <col min="4" max="5" width="23.7109375" style="161" customWidth="1"/>
    <col min="6" max="6" width="11.7109375" style="159" customWidth="1"/>
  </cols>
  <sheetData>
    <row r="1" spans="1:6" ht="20.25" thickBot="1">
      <c r="A1" s="156" t="s">
        <v>638</v>
      </c>
      <c r="B1" s="156" t="s">
        <v>196</v>
      </c>
      <c r="C1" s="157" t="s">
        <v>1745</v>
      </c>
      <c r="D1" s="156"/>
      <c r="E1" s="156"/>
      <c r="F1" s="158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4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4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4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4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4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4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4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4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4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4" customFormat="1">
      <c r="B20" s="217" t="s">
        <v>1778</v>
      </c>
      <c r="C20" s="217">
        <v>5761</v>
      </c>
      <c r="D20" s="217" t="s">
        <v>1703</v>
      </c>
      <c r="E20" s="217">
        <v>632</v>
      </c>
      <c r="F20" s="217">
        <v>632315761</v>
      </c>
    </row>
    <row r="21" spans="2:6" s="164" customFormat="1">
      <c r="B21" s="217" t="s">
        <v>3526</v>
      </c>
      <c r="C21" s="217">
        <v>5762</v>
      </c>
      <c r="D21" s="217" t="s">
        <v>1703</v>
      </c>
      <c r="E21" s="217">
        <v>632</v>
      </c>
      <c r="F21" s="217">
        <v>632315762</v>
      </c>
    </row>
    <row r="22" spans="2:6" s="164" customFormat="1">
      <c r="B22" s="5" t="s">
        <v>1780</v>
      </c>
      <c r="C22" s="5">
        <v>581</v>
      </c>
      <c r="D22" s="5" t="s">
        <v>1777</v>
      </c>
      <c r="E22" s="5">
        <v>632</v>
      </c>
      <c r="F22" s="5">
        <v>632310581</v>
      </c>
    </row>
    <row r="23" spans="2:6" s="164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4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4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4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4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4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4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17" t="s">
        <v>1779</v>
      </c>
      <c r="C31" s="217">
        <v>5761</v>
      </c>
      <c r="D31" s="217" t="s">
        <v>1703</v>
      </c>
      <c r="E31" s="217">
        <v>632</v>
      </c>
      <c r="F31" s="217">
        <v>632415761</v>
      </c>
    </row>
    <row r="32" spans="2:6">
      <c r="B32" s="217" t="s">
        <v>3527</v>
      </c>
      <c r="C32" s="217">
        <v>5762</v>
      </c>
      <c r="D32" s="217" t="s">
        <v>1703</v>
      </c>
      <c r="E32" s="217">
        <v>632</v>
      </c>
      <c r="F32" s="217">
        <v>632415762</v>
      </c>
    </row>
    <row r="33" spans="2:6">
      <c r="B33" s="5" t="s">
        <v>1781</v>
      </c>
      <c r="C33" s="5">
        <v>581</v>
      </c>
      <c r="D33" s="5" t="s">
        <v>1777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1782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1783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1785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1786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1787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1788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59"/>
      <c r="B102" s="5" t="s">
        <v>1784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17" t="s">
        <v>3525</v>
      </c>
      <c r="C104" s="217">
        <v>81</v>
      </c>
      <c r="D104" s="217" t="s">
        <v>1697</v>
      </c>
      <c r="E104" s="217">
        <v>841</v>
      </c>
      <c r="F104" s="217">
        <v>841320150</v>
      </c>
    </row>
    <row r="106" spans="1:6">
      <c r="A106" s="162"/>
    </row>
    <row r="107" spans="1:6">
      <c r="A107" s="162"/>
    </row>
    <row r="108" spans="1:6">
      <c r="A108" s="162"/>
      <c r="B108" s="162"/>
      <c r="C108" s="162"/>
      <c r="D108" s="162"/>
      <c r="E108" s="162"/>
      <c r="F108" s="162"/>
    </row>
    <row r="109" spans="1:6">
      <c r="A109" s="162"/>
      <c r="B109" s="162"/>
      <c r="C109" s="162"/>
      <c r="D109" s="162"/>
      <c r="E109" s="162"/>
      <c r="F109" s="162"/>
    </row>
    <row r="110" spans="1:6">
      <c r="A110" s="162"/>
      <c r="B110" s="162"/>
      <c r="C110" s="162"/>
      <c r="D110" s="162"/>
      <c r="E110" s="162"/>
      <c r="F110" s="162"/>
    </row>
    <row r="111" spans="1:6">
      <c r="A111" s="162"/>
      <c r="B111" s="162"/>
      <c r="C111" s="162"/>
      <c r="D111" s="162"/>
      <c r="E111" s="162"/>
      <c r="F111" s="162"/>
    </row>
    <row r="112" spans="1:6">
      <c r="A112" s="162"/>
      <c r="B112" s="162"/>
      <c r="C112" s="162"/>
      <c r="D112" s="162"/>
      <c r="E112" s="162"/>
      <c r="F112" s="162"/>
    </row>
    <row r="113" spans="1:6">
      <c r="A113" s="162"/>
      <c r="B113" s="162"/>
      <c r="C113" s="162"/>
      <c r="D113" s="162"/>
      <c r="E113" s="162"/>
      <c r="F113" s="162"/>
    </row>
    <row r="114" spans="1:6">
      <c r="A114" s="162"/>
      <c r="B114" s="162"/>
      <c r="C114" s="162"/>
      <c r="D114" s="162"/>
      <c r="E114" s="162"/>
      <c r="F114" s="162"/>
    </row>
    <row r="115" spans="1:6">
      <c r="A115" s="162"/>
      <c r="B115" s="162"/>
      <c r="C115" s="162"/>
      <c r="D115" s="162"/>
      <c r="E115" s="162"/>
      <c r="F115" s="162"/>
    </row>
    <row r="116" spans="1:6">
      <c r="A116" s="162"/>
      <c r="B116" s="162"/>
      <c r="C116" s="162"/>
      <c r="D116" s="162"/>
      <c r="E116" s="162"/>
      <c r="F116" s="162"/>
    </row>
    <row r="117" spans="1:6">
      <c r="A117" s="162"/>
      <c r="B117" s="162"/>
      <c r="C117" s="162"/>
      <c r="D117" s="162"/>
      <c r="E117" s="162"/>
      <c r="F117" s="162"/>
    </row>
    <row r="118" spans="1:6">
      <c r="A118" s="162"/>
      <c r="B118" s="162"/>
      <c r="C118" s="162"/>
      <c r="D118" s="162"/>
      <c r="E118" s="162"/>
      <c r="F118" s="162"/>
    </row>
    <row r="119" spans="1:6">
      <c r="B119" s="162"/>
      <c r="C119" s="162"/>
      <c r="D119" s="162"/>
      <c r="E119" s="162"/>
      <c r="F119" s="162"/>
    </row>
    <row r="120" spans="1:6">
      <c r="B120" s="162"/>
      <c r="C120" s="162"/>
      <c r="D120" s="162"/>
      <c r="E120" s="162"/>
      <c r="F120" s="16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3" customWidth="1"/>
    <col min="2" max="2" width="6.85546875" style="278" customWidth="1"/>
    <col min="3" max="4" width="81.7109375" style="274" customWidth="1"/>
    <col min="5" max="5" width="37.140625" style="274" customWidth="1"/>
    <col min="6" max="6" width="24.7109375" style="275" customWidth="1"/>
    <col min="7" max="7" width="11.7109375" style="274" customWidth="1"/>
    <col min="8" max="8" width="12" style="279" bestFit="1" customWidth="1"/>
    <col min="9" max="9" width="21.7109375" style="221" customWidth="1"/>
    <col min="10" max="257" width="9.140625" style="221"/>
    <col min="258" max="258" width="4.5703125" style="221" customWidth="1"/>
    <col min="259" max="259" width="6.85546875" style="221" customWidth="1"/>
    <col min="260" max="260" width="81.7109375" style="221" customWidth="1"/>
    <col min="261" max="261" width="37.140625" style="221" customWidth="1"/>
    <col min="262" max="262" width="24.7109375" style="221" customWidth="1"/>
    <col min="263" max="263" width="11.7109375" style="221" customWidth="1"/>
    <col min="264" max="264" width="12" style="221" bestFit="1" customWidth="1"/>
    <col min="265" max="265" width="21.7109375" style="221" customWidth="1"/>
    <col min="266" max="513" width="9.140625" style="221"/>
    <col min="514" max="514" width="4.5703125" style="221" customWidth="1"/>
    <col min="515" max="515" width="6.85546875" style="221" customWidth="1"/>
    <col min="516" max="516" width="81.7109375" style="221" customWidth="1"/>
    <col min="517" max="517" width="37.140625" style="221" customWidth="1"/>
    <col min="518" max="518" width="24.7109375" style="221" customWidth="1"/>
    <col min="519" max="519" width="11.7109375" style="221" customWidth="1"/>
    <col min="520" max="520" width="12" style="221" bestFit="1" customWidth="1"/>
    <col min="521" max="521" width="21.7109375" style="221" customWidth="1"/>
    <col min="522" max="769" width="9.140625" style="221"/>
    <col min="770" max="770" width="4.5703125" style="221" customWidth="1"/>
    <col min="771" max="771" width="6.85546875" style="221" customWidth="1"/>
    <col min="772" max="772" width="81.7109375" style="221" customWidth="1"/>
    <col min="773" max="773" width="37.140625" style="221" customWidth="1"/>
    <col min="774" max="774" width="24.7109375" style="221" customWidth="1"/>
    <col min="775" max="775" width="11.7109375" style="221" customWidth="1"/>
    <col min="776" max="776" width="12" style="221" bestFit="1" customWidth="1"/>
    <col min="777" max="777" width="21.7109375" style="221" customWidth="1"/>
    <col min="778" max="1025" width="9.140625" style="221"/>
    <col min="1026" max="1026" width="4.5703125" style="221" customWidth="1"/>
    <col min="1027" max="1027" width="6.85546875" style="221" customWidth="1"/>
    <col min="1028" max="1028" width="81.7109375" style="221" customWidth="1"/>
    <col min="1029" max="1029" width="37.140625" style="221" customWidth="1"/>
    <col min="1030" max="1030" width="24.7109375" style="221" customWidth="1"/>
    <col min="1031" max="1031" width="11.7109375" style="221" customWidth="1"/>
    <col min="1032" max="1032" width="12" style="221" bestFit="1" customWidth="1"/>
    <col min="1033" max="1033" width="21.7109375" style="221" customWidth="1"/>
    <col min="1034" max="1281" width="9.140625" style="221"/>
    <col min="1282" max="1282" width="4.5703125" style="221" customWidth="1"/>
    <col min="1283" max="1283" width="6.85546875" style="221" customWidth="1"/>
    <col min="1284" max="1284" width="81.7109375" style="221" customWidth="1"/>
    <col min="1285" max="1285" width="37.140625" style="221" customWidth="1"/>
    <col min="1286" max="1286" width="24.7109375" style="221" customWidth="1"/>
    <col min="1287" max="1287" width="11.7109375" style="221" customWidth="1"/>
    <col min="1288" max="1288" width="12" style="221" bestFit="1" customWidth="1"/>
    <col min="1289" max="1289" width="21.7109375" style="221" customWidth="1"/>
    <col min="1290" max="1537" width="9.140625" style="221"/>
    <col min="1538" max="1538" width="4.5703125" style="221" customWidth="1"/>
    <col min="1539" max="1539" width="6.85546875" style="221" customWidth="1"/>
    <col min="1540" max="1540" width="81.7109375" style="221" customWidth="1"/>
    <col min="1541" max="1541" width="37.140625" style="221" customWidth="1"/>
    <col min="1542" max="1542" width="24.7109375" style="221" customWidth="1"/>
    <col min="1543" max="1543" width="11.7109375" style="221" customWidth="1"/>
    <col min="1544" max="1544" width="12" style="221" bestFit="1" customWidth="1"/>
    <col min="1545" max="1545" width="21.7109375" style="221" customWidth="1"/>
    <col min="1546" max="1793" width="9.140625" style="221"/>
    <col min="1794" max="1794" width="4.5703125" style="221" customWidth="1"/>
    <col min="1795" max="1795" width="6.85546875" style="221" customWidth="1"/>
    <col min="1796" max="1796" width="81.7109375" style="221" customWidth="1"/>
    <col min="1797" max="1797" width="37.140625" style="221" customWidth="1"/>
    <col min="1798" max="1798" width="24.7109375" style="221" customWidth="1"/>
    <col min="1799" max="1799" width="11.7109375" style="221" customWidth="1"/>
    <col min="1800" max="1800" width="12" style="221" bestFit="1" customWidth="1"/>
    <col min="1801" max="1801" width="21.7109375" style="221" customWidth="1"/>
    <col min="1802" max="2049" width="9.140625" style="221"/>
    <col min="2050" max="2050" width="4.5703125" style="221" customWidth="1"/>
    <col min="2051" max="2051" width="6.85546875" style="221" customWidth="1"/>
    <col min="2052" max="2052" width="81.7109375" style="221" customWidth="1"/>
    <col min="2053" max="2053" width="37.140625" style="221" customWidth="1"/>
    <col min="2054" max="2054" width="24.7109375" style="221" customWidth="1"/>
    <col min="2055" max="2055" width="11.7109375" style="221" customWidth="1"/>
    <col min="2056" max="2056" width="12" style="221" bestFit="1" customWidth="1"/>
    <col min="2057" max="2057" width="21.7109375" style="221" customWidth="1"/>
    <col min="2058" max="2305" width="9.140625" style="221"/>
    <col min="2306" max="2306" width="4.5703125" style="221" customWidth="1"/>
    <col min="2307" max="2307" width="6.85546875" style="221" customWidth="1"/>
    <col min="2308" max="2308" width="81.7109375" style="221" customWidth="1"/>
    <col min="2309" max="2309" width="37.140625" style="221" customWidth="1"/>
    <col min="2310" max="2310" width="24.7109375" style="221" customWidth="1"/>
    <col min="2311" max="2311" width="11.7109375" style="221" customWidth="1"/>
    <col min="2312" max="2312" width="12" style="221" bestFit="1" customWidth="1"/>
    <col min="2313" max="2313" width="21.7109375" style="221" customWidth="1"/>
    <col min="2314" max="2561" width="9.140625" style="221"/>
    <col min="2562" max="2562" width="4.5703125" style="221" customWidth="1"/>
    <col min="2563" max="2563" width="6.85546875" style="221" customWidth="1"/>
    <col min="2564" max="2564" width="81.7109375" style="221" customWidth="1"/>
    <col min="2565" max="2565" width="37.140625" style="221" customWidth="1"/>
    <col min="2566" max="2566" width="24.7109375" style="221" customWidth="1"/>
    <col min="2567" max="2567" width="11.7109375" style="221" customWidth="1"/>
    <col min="2568" max="2568" width="12" style="221" bestFit="1" customWidth="1"/>
    <col min="2569" max="2569" width="21.7109375" style="221" customWidth="1"/>
    <col min="2570" max="2817" width="9.140625" style="221"/>
    <col min="2818" max="2818" width="4.5703125" style="221" customWidth="1"/>
    <col min="2819" max="2819" width="6.85546875" style="221" customWidth="1"/>
    <col min="2820" max="2820" width="81.7109375" style="221" customWidth="1"/>
    <col min="2821" max="2821" width="37.140625" style="221" customWidth="1"/>
    <col min="2822" max="2822" width="24.7109375" style="221" customWidth="1"/>
    <col min="2823" max="2823" width="11.7109375" style="221" customWidth="1"/>
    <col min="2824" max="2824" width="12" style="221" bestFit="1" customWidth="1"/>
    <col min="2825" max="2825" width="21.7109375" style="221" customWidth="1"/>
    <col min="2826" max="3073" width="9.140625" style="221"/>
    <col min="3074" max="3074" width="4.5703125" style="221" customWidth="1"/>
    <col min="3075" max="3075" width="6.85546875" style="221" customWidth="1"/>
    <col min="3076" max="3076" width="81.7109375" style="221" customWidth="1"/>
    <col min="3077" max="3077" width="37.140625" style="221" customWidth="1"/>
    <col min="3078" max="3078" width="24.7109375" style="221" customWidth="1"/>
    <col min="3079" max="3079" width="11.7109375" style="221" customWidth="1"/>
    <col min="3080" max="3080" width="12" style="221" bestFit="1" customWidth="1"/>
    <col min="3081" max="3081" width="21.7109375" style="221" customWidth="1"/>
    <col min="3082" max="3329" width="9.140625" style="221"/>
    <col min="3330" max="3330" width="4.5703125" style="221" customWidth="1"/>
    <col min="3331" max="3331" width="6.85546875" style="221" customWidth="1"/>
    <col min="3332" max="3332" width="81.7109375" style="221" customWidth="1"/>
    <col min="3333" max="3333" width="37.140625" style="221" customWidth="1"/>
    <col min="3334" max="3334" width="24.7109375" style="221" customWidth="1"/>
    <col min="3335" max="3335" width="11.7109375" style="221" customWidth="1"/>
    <col min="3336" max="3336" width="12" style="221" bestFit="1" customWidth="1"/>
    <col min="3337" max="3337" width="21.7109375" style="221" customWidth="1"/>
    <col min="3338" max="3585" width="9.140625" style="221"/>
    <col min="3586" max="3586" width="4.5703125" style="221" customWidth="1"/>
    <col min="3587" max="3587" width="6.85546875" style="221" customWidth="1"/>
    <col min="3588" max="3588" width="81.7109375" style="221" customWidth="1"/>
    <col min="3589" max="3589" width="37.140625" style="221" customWidth="1"/>
    <col min="3590" max="3590" width="24.7109375" style="221" customWidth="1"/>
    <col min="3591" max="3591" width="11.7109375" style="221" customWidth="1"/>
    <col min="3592" max="3592" width="12" style="221" bestFit="1" customWidth="1"/>
    <col min="3593" max="3593" width="21.7109375" style="221" customWidth="1"/>
    <col min="3594" max="3841" width="9.140625" style="221"/>
    <col min="3842" max="3842" width="4.5703125" style="221" customWidth="1"/>
    <col min="3843" max="3843" width="6.85546875" style="221" customWidth="1"/>
    <col min="3844" max="3844" width="81.7109375" style="221" customWidth="1"/>
    <col min="3845" max="3845" width="37.140625" style="221" customWidth="1"/>
    <col min="3846" max="3846" width="24.7109375" style="221" customWidth="1"/>
    <col min="3847" max="3847" width="11.7109375" style="221" customWidth="1"/>
    <col min="3848" max="3848" width="12" style="221" bestFit="1" customWidth="1"/>
    <col min="3849" max="3849" width="21.7109375" style="221" customWidth="1"/>
    <col min="3850" max="4097" width="9.140625" style="221"/>
    <col min="4098" max="4098" width="4.5703125" style="221" customWidth="1"/>
    <col min="4099" max="4099" width="6.85546875" style="221" customWidth="1"/>
    <col min="4100" max="4100" width="81.7109375" style="221" customWidth="1"/>
    <col min="4101" max="4101" width="37.140625" style="221" customWidth="1"/>
    <col min="4102" max="4102" width="24.7109375" style="221" customWidth="1"/>
    <col min="4103" max="4103" width="11.7109375" style="221" customWidth="1"/>
    <col min="4104" max="4104" width="12" style="221" bestFit="1" customWidth="1"/>
    <col min="4105" max="4105" width="21.7109375" style="221" customWidth="1"/>
    <col min="4106" max="4353" width="9.140625" style="221"/>
    <col min="4354" max="4354" width="4.5703125" style="221" customWidth="1"/>
    <col min="4355" max="4355" width="6.85546875" style="221" customWidth="1"/>
    <col min="4356" max="4356" width="81.7109375" style="221" customWidth="1"/>
    <col min="4357" max="4357" width="37.140625" style="221" customWidth="1"/>
    <col min="4358" max="4358" width="24.7109375" style="221" customWidth="1"/>
    <col min="4359" max="4359" width="11.7109375" style="221" customWidth="1"/>
    <col min="4360" max="4360" width="12" style="221" bestFit="1" customWidth="1"/>
    <col min="4361" max="4361" width="21.7109375" style="221" customWidth="1"/>
    <col min="4362" max="4609" width="9.140625" style="221"/>
    <col min="4610" max="4610" width="4.5703125" style="221" customWidth="1"/>
    <col min="4611" max="4611" width="6.85546875" style="221" customWidth="1"/>
    <col min="4612" max="4612" width="81.7109375" style="221" customWidth="1"/>
    <col min="4613" max="4613" width="37.140625" style="221" customWidth="1"/>
    <col min="4614" max="4614" width="24.7109375" style="221" customWidth="1"/>
    <col min="4615" max="4615" width="11.7109375" style="221" customWidth="1"/>
    <col min="4616" max="4616" width="12" style="221" bestFit="1" customWidth="1"/>
    <col min="4617" max="4617" width="21.7109375" style="221" customWidth="1"/>
    <col min="4618" max="4865" width="9.140625" style="221"/>
    <col min="4866" max="4866" width="4.5703125" style="221" customWidth="1"/>
    <col min="4867" max="4867" width="6.85546875" style="221" customWidth="1"/>
    <col min="4868" max="4868" width="81.7109375" style="221" customWidth="1"/>
    <col min="4869" max="4869" width="37.140625" style="221" customWidth="1"/>
    <col min="4870" max="4870" width="24.7109375" style="221" customWidth="1"/>
    <col min="4871" max="4871" width="11.7109375" style="221" customWidth="1"/>
    <col min="4872" max="4872" width="12" style="221" bestFit="1" customWidth="1"/>
    <col min="4873" max="4873" width="21.7109375" style="221" customWidth="1"/>
    <col min="4874" max="5121" width="9.140625" style="221"/>
    <col min="5122" max="5122" width="4.5703125" style="221" customWidth="1"/>
    <col min="5123" max="5123" width="6.85546875" style="221" customWidth="1"/>
    <col min="5124" max="5124" width="81.7109375" style="221" customWidth="1"/>
    <col min="5125" max="5125" width="37.140625" style="221" customWidth="1"/>
    <col min="5126" max="5126" width="24.7109375" style="221" customWidth="1"/>
    <col min="5127" max="5127" width="11.7109375" style="221" customWidth="1"/>
    <col min="5128" max="5128" width="12" style="221" bestFit="1" customWidth="1"/>
    <col min="5129" max="5129" width="21.7109375" style="221" customWidth="1"/>
    <col min="5130" max="5377" width="9.140625" style="221"/>
    <col min="5378" max="5378" width="4.5703125" style="221" customWidth="1"/>
    <col min="5379" max="5379" width="6.85546875" style="221" customWidth="1"/>
    <col min="5380" max="5380" width="81.7109375" style="221" customWidth="1"/>
    <col min="5381" max="5381" width="37.140625" style="221" customWidth="1"/>
    <col min="5382" max="5382" width="24.7109375" style="221" customWidth="1"/>
    <col min="5383" max="5383" width="11.7109375" style="221" customWidth="1"/>
    <col min="5384" max="5384" width="12" style="221" bestFit="1" customWidth="1"/>
    <col min="5385" max="5385" width="21.7109375" style="221" customWidth="1"/>
    <col min="5386" max="5633" width="9.140625" style="221"/>
    <col min="5634" max="5634" width="4.5703125" style="221" customWidth="1"/>
    <col min="5635" max="5635" width="6.85546875" style="221" customWidth="1"/>
    <col min="5636" max="5636" width="81.7109375" style="221" customWidth="1"/>
    <col min="5637" max="5637" width="37.140625" style="221" customWidth="1"/>
    <col min="5638" max="5638" width="24.7109375" style="221" customWidth="1"/>
    <col min="5639" max="5639" width="11.7109375" style="221" customWidth="1"/>
    <col min="5640" max="5640" width="12" style="221" bestFit="1" customWidth="1"/>
    <col min="5641" max="5641" width="21.7109375" style="221" customWidth="1"/>
    <col min="5642" max="5889" width="9.140625" style="221"/>
    <col min="5890" max="5890" width="4.5703125" style="221" customWidth="1"/>
    <col min="5891" max="5891" width="6.85546875" style="221" customWidth="1"/>
    <col min="5892" max="5892" width="81.7109375" style="221" customWidth="1"/>
    <col min="5893" max="5893" width="37.140625" style="221" customWidth="1"/>
    <col min="5894" max="5894" width="24.7109375" style="221" customWidth="1"/>
    <col min="5895" max="5895" width="11.7109375" style="221" customWidth="1"/>
    <col min="5896" max="5896" width="12" style="221" bestFit="1" customWidth="1"/>
    <col min="5897" max="5897" width="21.7109375" style="221" customWidth="1"/>
    <col min="5898" max="6145" width="9.140625" style="221"/>
    <col min="6146" max="6146" width="4.5703125" style="221" customWidth="1"/>
    <col min="6147" max="6147" width="6.85546875" style="221" customWidth="1"/>
    <col min="6148" max="6148" width="81.7109375" style="221" customWidth="1"/>
    <col min="6149" max="6149" width="37.140625" style="221" customWidth="1"/>
    <col min="6150" max="6150" width="24.7109375" style="221" customWidth="1"/>
    <col min="6151" max="6151" width="11.7109375" style="221" customWidth="1"/>
    <col min="6152" max="6152" width="12" style="221" bestFit="1" customWidth="1"/>
    <col min="6153" max="6153" width="21.7109375" style="221" customWidth="1"/>
    <col min="6154" max="6401" width="9.140625" style="221"/>
    <col min="6402" max="6402" width="4.5703125" style="221" customWidth="1"/>
    <col min="6403" max="6403" width="6.85546875" style="221" customWidth="1"/>
    <col min="6404" max="6404" width="81.7109375" style="221" customWidth="1"/>
    <col min="6405" max="6405" width="37.140625" style="221" customWidth="1"/>
    <col min="6406" max="6406" width="24.7109375" style="221" customWidth="1"/>
    <col min="6407" max="6407" width="11.7109375" style="221" customWidth="1"/>
    <col min="6408" max="6408" width="12" style="221" bestFit="1" customWidth="1"/>
    <col min="6409" max="6409" width="21.7109375" style="221" customWidth="1"/>
    <col min="6410" max="6657" width="9.140625" style="221"/>
    <col min="6658" max="6658" width="4.5703125" style="221" customWidth="1"/>
    <col min="6659" max="6659" width="6.85546875" style="221" customWidth="1"/>
    <col min="6660" max="6660" width="81.7109375" style="221" customWidth="1"/>
    <col min="6661" max="6661" width="37.140625" style="221" customWidth="1"/>
    <col min="6662" max="6662" width="24.7109375" style="221" customWidth="1"/>
    <col min="6663" max="6663" width="11.7109375" style="221" customWidth="1"/>
    <col min="6664" max="6664" width="12" style="221" bestFit="1" customWidth="1"/>
    <col min="6665" max="6665" width="21.7109375" style="221" customWidth="1"/>
    <col min="6666" max="6913" width="9.140625" style="221"/>
    <col min="6914" max="6914" width="4.5703125" style="221" customWidth="1"/>
    <col min="6915" max="6915" width="6.85546875" style="221" customWidth="1"/>
    <col min="6916" max="6916" width="81.7109375" style="221" customWidth="1"/>
    <col min="6917" max="6917" width="37.140625" style="221" customWidth="1"/>
    <col min="6918" max="6918" width="24.7109375" style="221" customWidth="1"/>
    <col min="6919" max="6919" width="11.7109375" style="221" customWidth="1"/>
    <col min="6920" max="6920" width="12" style="221" bestFit="1" customWidth="1"/>
    <col min="6921" max="6921" width="21.7109375" style="221" customWidth="1"/>
    <col min="6922" max="7169" width="9.140625" style="221"/>
    <col min="7170" max="7170" width="4.5703125" style="221" customWidth="1"/>
    <col min="7171" max="7171" width="6.85546875" style="221" customWidth="1"/>
    <col min="7172" max="7172" width="81.7109375" style="221" customWidth="1"/>
    <col min="7173" max="7173" width="37.140625" style="221" customWidth="1"/>
    <col min="7174" max="7174" width="24.7109375" style="221" customWidth="1"/>
    <col min="7175" max="7175" width="11.7109375" style="221" customWidth="1"/>
    <col min="7176" max="7176" width="12" style="221" bestFit="1" customWidth="1"/>
    <col min="7177" max="7177" width="21.7109375" style="221" customWidth="1"/>
    <col min="7178" max="7425" width="9.140625" style="221"/>
    <col min="7426" max="7426" width="4.5703125" style="221" customWidth="1"/>
    <col min="7427" max="7427" width="6.85546875" style="221" customWidth="1"/>
    <col min="7428" max="7428" width="81.7109375" style="221" customWidth="1"/>
    <col min="7429" max="7429" width="37.140625" style="221" customWidth="1"/>
    <col min="7430" max="7430" width="24.7109375" style="221" customWidth="1"/>
    <col min="7431" max="7431" width="11.7109375" style="221" customWidth="1"/>
    <col min="7432" max="7432" width="12" style="221" bestFit="1" customWidth="1"/>
    <col min="7433" max="7433" width="21.7109375" style="221" customWidth="1"/>
    <col min="7434" max="7681" width="9.140625" style="221"/>
    <col min="7682" max="7682" width="4.5703125" style="221" customWidth="1"/>
    <col min="7683" max="7683" width="6.85546875" style="221" customWidth="1"/>
    <col min="7684" max="7684" width="81.7109375" style="221" customWidth="1"/>
    <col min="7685" max="7685" width="37.140625" style="221" customWidth="1"/>
    <col min="7686" max="7686" width="24.7109375" style="221" customWidth="1"/>
    <col min="7687" max="7687" width="11.7109375" style="221" customWidth="1"/>
    <col min="7688" max="7688" width="12" style="221" bestFit="1" customWidth="1"/>
    <col min="7689" max="7689" width="21.7109375" style="221" customWidth="1"/>
    <col min="7690" max="7937" width="9.140625" style="221"/>
    <col min="7938" max="7938" width="4.5703125" style="221" customWidth="1"/>
    <col min="7939" max="7939" width="6.85546875" style="221" customWidth="1"/>
    <col min="7940" max="7940" width="81.7109375" style="221" customWidth="1"/>
    <col min="7941" max="7941" width="37.140625" style="221" customWidth="1"/>
    <col min="7942" max="7942" width="24.7109375" style="221" customWidth="1"/>
    <col min="7943" max="7943" width="11.7109375" style="221" customWidth="1"/>
    <col min="7944" max="7944" width="12" style="221" bestFit="1" customWidth="1"/>
    <col min="7945" max="7945" width="21.7109375" style="221" customWidth="1"/>
    <col min="7946" max="8193" width="9.140625" style="221"/>
    <col min="8194" max="8194" width="4.5703125" style="221" customWidth="1"/>
    <col min="8195" max="8195" width="6.85546875" style="221" customWidth="1"/>
    <col min="8196" max="8196" width="81.7109375" style="221" customWidth="1"/>
    <col min="8197" max="8197" width="37.140625" style="221" customWidth="1"/>
    <col min="8198" max="8198" width="24.7109375" style="221" customWidth="1"/>
    <col min="8199" max="8199" width="11.7109375" style="221" customWidth="1"/>
    <col min="8200" max="8200" width="12" style="221" bestFit="1" customWidth="1"/>
    <col min="8201" max="8201" width="21.7109375" style="221" customWidth="1"/>
    <col min="8202" max="8449" width="9.140625" style="221"/>
    <col min="8450" max="8450" width="4.5703125" style="221" customWidth="1"/>
    <col min="8451" max="8451" width="6.85546875" style="221" customWidth="1"/>
    <col min="8452" max="8452" width="81.7109375" style="221" customWidth="1"/>
    <col min="8453" max="8453" width="37.140625" style="221" customWidth="1"/>
    <col min="8454" max="8454" width="24.7109375" style="221" customWidth="1"/>
    <col min="8455" max="8455" width="11.7109375" style="221" customWidth="1"/>
    <col min="8456" max="8456" width="12" style="221" bestFit="1" customWidth="1"/>
    <col min="8457" max="8457" width="21.7109375" style="221" customWidth="1"/>
    <col min="8458" max="8705" width="9.140625" style="221"/>
    <col min="8706" max="8706" width="4.5703125" style="221" customWidth="1"/>
    <col min="8707" max="8707" width="6.85546875" style="221" customWidth="1"/>
    <col min="8708" max="8708" width="81.7109375" style="221" customWidth="1"/>
    <col min="8709" max="8709" width="37.140625" style="221" customWidth="1"/>
    <col min="8710" max="8710" width="24.7109375" style="221" customWidth="1"/>
    <col min="8711" max="8711" width="11.7109375" style="221" customWidth="1"/>
    <col min="8712" max="8712" width="12" style="221" bestFit="1" customWidth="1"/>
    <col min="8713" max="8713" width="21.7109375" style="221" customWidth="1"/>
    <col min="8714" max="8961" width="9.140625" style="221"/>
    <col min="8962" max="8962" width="4.5703125" style="221" customWidth="1"/>
    <col min="8963" max="8963" width="6.85546875" style="221" customWidth="1"/>
    <col min="8964" max="8964" width="81.7109375" style="221" customWidth="1"/>
    <col min="8965" max="8965" width="37.140625" style="221" customWidth="1"/>
    <col min="8966" max="8966" width="24.7109375" style="221" customWidth="1"/>
    <col min="8967" max="8967" width="11.7109375" style="221" customWidth="1"/>
    <col min="8968" max="8968" width="12" style="221" bestFit="1" customWidth="1"/>
    <col min="8969" max="8969" width="21.7109375" style="221" customWidth="1"/>
    <col min="8970" max="9217" width="9.140625" style="221"/>
    <col min="9218" max="9218" width="4.5703125" style="221" customWidth="1"/>
    <col min="9219" max="9219" width="6.85546875" style="221" customWidth="1"/>
    <col min="9220" max="9220" width="81.7109375" style="221" customWidth="1"/>
    <col min="9221" max="9221" width="37.140625" style="221" customWidth="1"/>
    <col min="9222" max="9222" width="24.7109375" style="221" customWidth="1"/>
    <col min="9223" max="9223" width="11.7109375" style="221" customWidth="1"/>
    <col min="9224" max="9224" width="12" style="221" bestFit="1" customWidth="1"/>
    <col min="9225" max="9225" width="21.7109375" style="221" customWidth="1"/>
    <col min="9226" max="9473" width="9.140625" style="221"/>
    <col min="9474" max="9474" width="4.5703125" style="221" customWidth="1"/>
    <col min="9475" max="9475" width="6.85546875" style="221" customWidth="1"/>
    <col min="9476" max="9476" width="81.7109375" style="221" customWidth="1"/>
    <col min="9477" max="9477" width="37.140625" style="221" customWidth="1"/>
    <col min="9478" max="9478" width="24.7109375" style="221" customWidth="1"/>
    <col min="9479" max="9479" width="11.7109375" style="221" customWidth="1"/>
    <col min="9480" max="9480" width="12" style="221" bestFit="1" customWidth="1"/>
    <col min="9481" max="9481" width="21.7109375" style="221" customWidth="1"/>
    <col min="9482" max="9729" width="9.140625" style="221"/>
    <col min="9730" max="9730" width="4.5703125" style="221" customWidth="1"/>
    <col min="9731" max="9731" width="6.85546875" style="221" customWidth="1"/>
    <col min="9732" max="9732" width="81.7109375" style="221" customWidth="1"/>
    <col min="9733" max="9733" width="37.140625" style="221" customWidth="1"/>
    <col min="9734" max="9734" width="24.7109375" style="221" customWidth="1"/>
    <col min="9735" max="9735" width="11.7109375" style="221" customWidth="1"/>
    <col min="9736" max="9736" width="12" style="221" bestFit="1" customWidth="1"/>
    <col min="9737" max="9737" width="21.7109375" style="221" customWidth="1"/>
    <col min="9738" max="9985" width="9.140625" style="221"/>
    <col min="9986" max="9986" width="4.5703125" style="221" customWidth="1"/>
    <col min="9987" max="9987" width="6.85546875" style="221" customWidth="1"/>
    <col min="9988" max="9988" width="81.7109375" style="221" customWidth="1"/>
    <col min="9989" max="9989" width="37.140625" style="221" customWidth="1"/>
    <col min="9990" max="9990" width="24.7109375" style="221" customWidth="1"/>
    <col min="9991" max="9991" width="11.7109375" style="221" customWidth="1"/>
    <col min="9992" max="9992" width="12" style="221" bestFit="1" customWidth="1"/>
    <col min="9993" max="9993" width="21.7109375" style="221" customWidth="1"/>
    <col min="9994" max="10241" width="9.140625" style="221"/>
    <col min="10242" max="10242" width="4.5703125" style="221" customWidth="1"/>
    <col min="10243" max="10243" width="6.85546875" style="221" customWidth="1"/>
    <col min="10244" max="10244" width="81.7109375" style="221" customWidth="1"/>
    <col min="10245" max="10245" width="37.140625" style="221" customWidth="1"/>
    <col min="10246" max="10246" width="24.7109375" style="221" customWidth="1"/>
    <col min="10247" max="10247" width="11.7109375" style="221" customWidth="1"/>
    <col min="10248" max="10248" width="12" style="221" bestFit="1" customWidth="1"/>
    <col min="10249" max="10249" width="21.7109375" style="221" customWidth="1"/>
    <col min="10250" max="10497" width="9.140625" style="221"/>
    <col min="10498" max="10498" width="4.5703125" style="221" customWidth="1"/>
    <col min="10499" max="10499" width="6.85546875" style="221" customWidth="1"/>
    <col min="10500" max="10500" width="81.7109375" style="221" customWidth="1"/>
    <col min="10501" max="10501" width="37.140625" style="221" customWidth="1"/>
    <col min="10502" max="10502" width="24.7109375" style="221" customWidth="1"/>
    <col min="10503" max="10503" width="11.7109375" style="221" customWidth="1"/>
    <col min="10504" max="10504" width="12" style="221" bestFit="1" customWidth="1"/>
    <col min="10505" max="10505" width="21.7109375" style="221" customWidth="1"/>
    <col min="10506" max="10753" width="9.140625" style="221"/>
    <col min="10754" max="10754" width="4.5703125" style="221" customWidth="1"/>
    <col min="10755" max="10755" width="6.85546875" style="221" customWidth="1"/>
    <col min="10756" max="10756" width="81.7109375" style="221" customWidth="1"/>
    <col min="10757" max="10757" width="37.140625" style="221" customWidth="1"/>
    <col min="10758" max="10758" width="24.7109375" style="221" customWidth="1"/>
    <col min="10759" max="10759" width="11.7109375" style="221" customWidth="1"/>
    <col min="10760" max="10760" width="12" style="221" bestFit="1" customWidth="1"/>
    <col min="10761" max="10761" width="21.7109375" style="221" customWidth="1"/>
    <col min="10762" max="11009" width="9.140625" style="221"/>
    <col min="11010" max="11010" width="4.5703125" style="221" customWidth="1"/>
    <col min="11011" max="11011" width="6.85546875" style="221" customWidth="1"/>
    <col min="11012" max="11012" width="81.7109375" style="221" customWidth="1"/>
    <col min="11013" max="11013" width="37.140625" style="221" customWidth="1"/>
    <col min="11014" max="11014" width="24.7109375" style="221" customWidth="1"/>
    <col min="11015" max="11015" width="11.7109375" style="221" customWidth="1"/>
    <col min="11016" max="11016" width="12" style="221" bestFit="1" customWidth="1"/>
    <col min="11017" max="11017" width="21.7109375" style="221" customWidth="1"/>
    <col min="11018" max="11265" width="9.140625" style="221"/>
    <col min="11266" max="11266" width="4.5703125" style="221" customWidth="1"/>
    <col min="11267" max="11267" width="6.85546875" style="221" customWidth="1"/>
    <col min="11268" max="11268" width="81.7109375" style="221" customWidth="1"/>
    <col min="11269" max="11269" width="37.140625" style="221" customWidth="1"/>
    <col min="11270" max="11270" width="24.7109375" style="221" customWidth="1"/>
    <col min="11271" max="11271" width="11.7109375" style="221" customWidth="1"/>
    <col min="11272" max="11272" width="12" style="221" bestFit="1" customWidth="1"/>
    <col min="11273" max="11273" width="21.7109375" style="221" customWidth="1"/>
    <col min="11274" max="11521" width="9.140625" style="221"/>
    <col min="11522" max="11522" width="4.5703125" style="221" customWidth="1"/>
    <col min="11523" max="11523" width="6.85546875" style="221" customWidth="1"/>
    <col min="11524" max="11524" width="81.7109375" style="221" customWidth="1"/>
    <col min="11525" max="11525" width="37.140625" style="221" customWidth="1"/>
    <col min="11526" max="11526" width="24.7109375" style="221" customWidth="1"/>
    <col min="11527" max="11527" width="11.7109375" style="221" customWidth="1"/>
    <col min="11528" max="11528" width="12" style="221" bestFit="1" customWidth="1"/>
    <col min="11529" max="11529" width="21.7109375" style="221" customWidth="1"/>
    <col min="11530" max="11777" width="9.140625" style="221"/>
    <col min="11778" max="11778" width="4.5703125" style="221" customWidth="1"/>
    <col min="11779" max="11779" width="6.85546875" style="221" customWidth="1"/>
    <col min="11780" max="11780" width="81.7109375" style="221" customWidth="1"/>
    <col min="11781" max="11781" width="37.140625" style="221" customWidth="1"/>
    <col min="11782" max="11782" width="24.7109375" style="221" customWidth="1"/>
    <col min="11783" max="11783" width="11.7109375" style="221" customWidth="1"/>
    <col min="11784" max="11784" width="12" style="221" bestFit="1" customWidth="1"/>
    <col min="11785" max="11785" width="21.7109375" style="221" customWidth="1"/>
    <col min="11786" max="12033" width="9.140625" style="221"/>
    <col min="12034" max="12034" width="4.5703125" style="221" customWidth="1"/>
    <col min="12035" max="12035" width="6.85546875" style="221" customWidth="1"/>
    <col min="12036" max="12036" width="81.7109375" style="221" customWidth="1"/>
    <col min="12037" max="12037" width="37.140625" style="221" customWidth="1"/>
    <col min="12038" max="12038" width="24.7109375" style="221" customWidth="1"/>
    <col min="12039" max="12039" width="11.7109375" style="221" customWidth="1"/>
    <col min="12040" max="12040" width="12" style="221" bestFit="1" customWidth="1"/>
    <col min="12041" max="12041" width="21.7109375" style="221" customWidth="1"/>
    <col min="12042" max="12289" width="9.140625" style="221"/>
    <col min="12290" max="12290" width="4.5703125" style="221" customWidth="1"/>
    <col min="12291" max="12291" width="6.85546875" style="221" customWidth="1"/>
    <col min="12292" max="12292" width="81.7109375" style="221" customWidth="1"/>
    <col min="12293" max="12293" width="37.140625" style="221" customWidth="1"/>
    <col min="12294" max="12294" width="24.7109375" style="221" customWidth="1"/>
    <col min="12295" max="12295" width="11.7109375" style="221" customWidth="1"/>
    <col min="12296" max="12296" width="12" style="221" bestFit="1" customWidth="1"/>
    <col min="12297" max="12297" width="21.7109375" style="221" customWidth="1"/>
    <col min="12298" max="12545" width="9.140625" style="221"/>
    <col min="12546" max="12546" width="4.5703125" style="221" customWidth="1"/>
    <col min="12547" max="12547" width="6.85546875" style="221" customWidth="1"/>
    <col min="12548" max="12548" width="81.7109375" style="221" customWidth="1"/>
    <col min="12549" max="12549" width="37.140625" style="221" customWidth="1"/>
    <col min="12550" max="12550" width="24.7109375" style="221" customWidth="1"/>
    <col min="12551" max="12551" width="11.7109375" style="221" customWidth="1"/>
    <col min="12552" max="12552" width="12" style="221" bestFit="1" customWidth="1"/>
    <col min="12553" max="12553" width="21.7109375" style="221" customWidth="1"/>
    <col min="12554" max="12801" width="9.140625" style="221"/>
    <col min="12802" max="12802" width="4.5703125" style="221" customWidth="1"/>
    <col min="12803" max="12803" width="6.85546875" style="221" customWidth="1"/>
    <col min="12804" max="12804" width="81.7109375" style="221" customWidth="1"/>
    <col min="12805" max="12805" width="37.140625" style="221" customWidth="1"/>
    <col min="12806" max="12806" width="24.7109375" style="221" customWidth="1"/>
    <col min="12807" max="12807" width="11.7109375" style="221" customWidth="1"/>
    <col min="12808" max="12808" width="12" style="221" bestFit="1" customWidth="1"/>
    <col min="12809" max="12809" width="21.7109375" style="221" customWidth="1"/>
    <col min="12810" max="13057" width="9.140625" style="221"/>
    <col min="13058" max="13058" width="4.5703125" style="221" customWidth="1"/>
    <col min="13059" max="13059" width="6.85546875" style="221" customWidth="1"/>
    <col min="13060" max="13060" width="81.7109375" style="221" customWidth="1"/>
    <col min="13061" max="13061" width="37.140625" style="221" customWidth="1"/>
    <col min="13062" max="13062" width="24.7109375" style="221" customWidth="1"/>
    <col min="13063" max="13063" width="11.7109375" style="221" customWidth="1"/>
    <col min="13064" max="13064" width="12" style="221" bestFit="1" customWidth="1"/>
    <col min="13065" max="13065" width="21.7109375" style="221" customWidth="1"/>
    <col min="13066" max="13313" width="9.140625" style="221"/>
    <col min="13314" max="13314" width="4.5703125" style="221" customWidth="1"/>
    <col min="13315" max="13315" width="6.85546875" style="221" customWidth="1"/>
    <col min="13316" max="13316" width="81.7109375" style="221" customWidth="1"/>
    <col min="13317" max="13317" width="37.140625" style="221" customWidth="1"/>
    <col min="13318" max="13318" width="24.7109375" style="221" customWidth="1"/>
    <col min="13319" max="13319" width="11.7109375" style="221" customWidth="1"/>
    <col min="13320" max="13320" width="12" style="221" bestFit="1" customWidth="1"/>
    <col min="13321" max="13321" width="21.7109375" style="221" customWidth="1"/>
    <col min="13322" max="13569" width="9.140625" style="221"/>
    <col min="13570" max="13570" width="4.5703125" style="221" customWidth="1"/>
    <col min="13571" max="13571" width="6.85546875" style="221" customWidth="1"/>
    <col min="13572" max="13572" width="81.7109375" style="221" customWidth="1"/>
    <col min="13573" max="13573" width="37.140625" style="221" customWidth="1"/>
    <col min="13574" max="13574" width="24.7109375" style="221" customWidth="1"/>
    <col min="13575" max="13575" width="11.7109375" style="221" customWidth="1"/>
    <col min="13576" max="13576" width="12" style="221" bestFit="1" customWidth="1"/>
    <col min="13577" max="13577" width="21.7109375" style="221" customWidth="1"/>
    <col min="13578" max="13825" width="9.140625" style="221"/>
    <col min="13826" max="13826" width="4.5703125" style="221" customWidth="1"/>
    <col min="13827" max="13827" width="6.85546875" style="221" customWidth="1"/>
    <col min="13828" max="13828" width="81.7109375" style="221" customWidth="1"/>
    <col min="13829" max="13829" width="37.140625" style="221" customWidth="1"/>
    <col min="13830" max="13830" width="24.7109375" style="221" customWidth="1"/>
    <col min="13831" max="13831" width="11.7109375" style="221" customWidth="1"/>
    <col min="13832" max="13832" width="12" style="221" bestFit="1" customWidth="1"/>
    <col min="13833" max="13833" width="21.7109375" style="221" customWidth="1"/>
    <col min="13834" max="14081" width="9.140625" style="221"/>
    <col min="14082" max="14082" width="4.5703125" style="221" customWidth="1"/>
    <col min="14083" max="14083" width="6.85546875" style="221" customWidth="1"/>
    <col min="14084" max="14084" width="81.7109375" style="221" customWidth="1"/>
    <col min="14085" max="14085" width="37.140625" style="221" customWidth="1"/>
    <col min="14086" max="14086" width="24.7109375" style="221" customWidth="1"/>
    <col min="14087" max="14087" width="11.7109375" style="221" customWidth="1"/>
    <col min="14088" max="14088" width="12" style="221" bestFit="1" customWidth="1"/>
    <col min="14089" max="14089" width="21.7109375" style="221" customWidth="1"/>
    <col min="14090" max="14337" width="9.140625" style="221"/>
    <col min="14338" max="14338" width="4.5703125" style="221" customWidth="1"/>
    <col min="14339" max="14339" width="6.85546875" style="221" customWidth="1"/>
    <col min="14340" max="14340" width="81.7109375" style="221" customWidth="1"/>
    <col min="14341" max="14341" width="37.140625" style="221" customWidth="1"/>
    <col min="14342" max="14342" width="24.7109375" style="221" customWidth="1"/>
    <col min="14343" max="14343" width="11.7109375" style="221" customWidth="1"/>
    <col min="14344" max="14344" width="12" style="221" bestFit="1" customWidth="1"/>
    <col min="14345" max="14345" width="21.7109375" style="221" customWidth="1"/>
    <col min="14346" max="14593" width="9.140625" style="221"/>
    <col min="14594" max="14594" width="4.5703125" style="221" customWidth="1"/>
    <col min="14595" max="14595" width="6.85546875" style="221" customWidth="1"/>
    <col min="14596" max="14596" width="81.7109375" style="221" customWidth="1"/>
    <col min="14597" max="14597" width="37.140625" style="221" customWidth="1"/>
    <col min="14598" max="14598" width="24.7109375" style="221" customWidth="1"/>
    <col min="14599" max="14599" width="11.7109375" style="221" customWidth="1"/>
    <col min="14600" max="14600" width="12" style="221" bestFit="1" customWidth="1"/>
    <col min="14601" max="14601" width="21.7109375" style="221" customWidth="1"/>
    <col min="14602" max="14849" width="9.140625" style="221"/>
    <col min="14850" max="14850" width="4.5703125" style="221" customWidth="1"/>
    <col min="14851" max="14851" width="6.85546875" style="221" customWidth="1"/>
    <col min="14852" max="14852" width="81.7109375" style="221" customWidth="1"/>
    <col min="14853" max="14853" width="37.140625" style="221" customWidth="1"/>
    <col min="14854" max="14854" width="24.7109375" style="221" customWidth="1"/>
    <col min="14855" max="14855" width="11.7109375" style="221" customWidth="1"/>
    <col min="14856" max="14856" width="12" style="221" bestFit="1" customWidth="1"/>
    <col min="14857" max="14857" width="21.7109375" style="221" customWidth="1"/>
    <col min="14858" max="15105" width="9.140625" style="221"/>
    <col min="15106" max="15106" width="4.5703125" style="221" customWidth="1"/>
    <col min="15107" max="15107" width="6.85546875" style="221" customWidth="1"/>
    <col min="15108" max="15108" width="81.7109375" style="221" customWidth="1"/>
    <col min="15109" max="15109" width="37.140625" style="221" customWidth="1"/>
    <col min="15110" max="15110" width="24.7109375" style="221" customWidth="1"/>
    <col min="15111" max="15111" width="11.7109375" style="221" customWidth="1"/>
    <col min="15112" max="15112" width="12" style="221" bestFit="1" customWidth="1"/>
    <col min="15113" max="15113" width="21.7109375" style="221" customWidth="1"/>
    <col min="15114" max="15361" width="9.140625" style="221"/>
    <col min="15362" max="15362" width="4.5703125" style="221" customWidth="1"/>
    <col min="15363" max="15363" width="6.85546875" style="221" customWidth="1"/>
    <col min="15364" max="15364" width="81.7109375" style="221" customWidth="1"/>
    <col min="15365" max="15365" width="37.140625" style="221" customWidth="1"/>
    <col min="15366" max="15366" width="24.7109375" style="221" customWidth="1"/>
    <col min="15367" max="15367" width="11.7109375" style="221" customWidth="1"/>
    <col min="15368" max="15368" width="12" style="221" bestFit="1" customWidth="1"/>
    <col min="15369" max="15369" width="21.7109375" style="221" customWidth="1"/>
    <col min="15370" max="15617" width="9.140625" style="221"/>
    <col min="15618" max="15618" width="4.5703125" style="221" customWidth="1"/>
    <col min="15619" max="15619" width="6.85546875" style="221" customWidth="1"/>
    <col min="15620" max="15620" width="81.7109375" style="221" customWidth="1"/>
    <col min="15621" max="15621" width="37.140625" style="221" customWidth="1"/>
    <col min="15622" max="15622" width="24.7109375" style="221" customWidth="1"/>
    <col min="15623" max="15623" width="11.7109375" style="221" customWidth="1"/>
    <col min="15624" max="15624" width="12" style="221" bestFit="1" customWidth="1"/>
    <col min="15625" max="15625" width="21.7109375" style="221" customWidth="1"/>
    <col min="15626" max="15873" width="9.140625" style="221"/>
    <col min="15874" max="15874" width="4.5703125" style="221" customWidth="1"/>
    <col min="15875" max="15875" width="6.85546875" style="221" customWidth="1"/>
    <col min="15876" max="15876" width="81.7109375" style="221" customWidth="1"/>
    <col min="15877" max="15877" width="37.140625" style="221" customWidth="1"/>
    <col min="15878" max="15878" width="24.7109375" style="221" customWidth="1"/>
    <col min="15879" max="15879" width="11.7109375" style="221" customWidth="1"/>
    <col min="15880" max="15880" width="12" style="221" bestFit="1" customWidth="1"/>
    <col min="15881" max="15881" width="21.7109375" style="221" customWidth="1"/>
    <col min="15882" max="16129" width="9.140625" style="221"/>
    <col min="16130" max="16130" width="4.5703125" style="221" customWidth="1"/>
    <col min="16131" max="16131" width="6.85546875" style="221" customWidth="1"/>
    <col min="16132" max="16132" width="81.7109375" style="221" customWidth="1"/>
    <col min="16133" max="16133" width="37.140625" style="221" customWidth="1"/>
    <col min="16134" max="16134" width="24.7109375" style="221" customWidth="1"/>
    <col min="16135" max="16135" width="11.7109375" style="221" customWidth="1"/>
    <col min="16136" max="16136" width="12" style="221" bestFit="1" customWidth="1"/>
    <col min="16137" max="16137" width="21.7109375" style="221" customWidth="1"/>
    <col min="16138" max="16384" width="9.140625" style="221"/>
  </cols>
  <sheetData>
    <row r="1" spans="1:10" ht="18" customHeight="1" thickBot="1">
      <c r="A1" s="407" t="s">
        <v>3533</v>
      </c>
      <c r="B1" s="407"/>
      <c r="C1" s="407"/>
      <c r="D1" s="407"/>
      <c r="E1" s="407"/>
      <c r="F1" s="407"/>
      <c r="G1" s="407"/>
      <c r="H1" s="407"/>
    </row>
    <row r="2" spans="1:10" ht="30" customHeight="1" thickTop="1">
      <c r="A2" s="222" t="s">
        <v>266</v>
      </c>
      <c r="B2" s="223" t="s">
        <v>267</v>
      </c>
      <c r="C2" s="223" t="s">
        <v>268</v>
      </c>
      <c r="D2" s="223"/>
      <c r="E2" s="223" t="s">
        <v>270</v>
      </c>
      <c r="F2" s="223" t="s">
        <v>271</v>
      </c>
      <c r="G2" s="223" t="s">
        <v>272</v>
      </c>
      <c r="H2" s="224" t="s">
        <v>273</v>
      </c>
    </row>
    <row r="3" spans="1:10" s="230" customFormat="1" ht="12" customHeight="1" thickBot="1">
      <c r="A3" s="225">
        <v>1</v>
      </c>
      <c r="B3" s="226">
        <v>2</v>
      </c>
      <c r="C3" s="226" t="s">
        <v>3534</v>
      </c>
      <c r="D3" s="226"/>
      <c r="E3" s="227">
        <v>4</v>
      </c>
      <c r="F3" s="228">
        <v>5</v>
      </c>
      <c r="G3" s="228">
        <v>6</v>
      </c>
      <c r="H3" s="229">
        <v>7</v>
      </c>
    </row>
    <row r="4" spans="1:10" s="236" customFormat="1" ht="15" customHeight="1" thickTop="1">
      <c r="A4" s="231">
        <v>1</v>
      </c>
      <c r="B4" s="232">
        <v>19</v>
      </c>
      <c r="C4" s="233" t="s">
        <v>3535</v>
      </c>
      <c r="D4" s="245" t="str">
        <f t="shared" ref="D4:D67" si="0">C4&amp;" ("&amp;B4&amp;")"</f>
        <v>HRVATSKI SABOR (19)</v>
      </c>
      <c r="E4" s="233" t="s">
        <v>3536</v>
      </c>
      <c r="F4" s="233" t="s">
        <v>275</v>
      </c>
      <c r="G4" s="234">
        <v>3205860</v>
      </c>
      <c r="H4" s="235" t="s">
        <v>3537</v>
      </c>
    </row>
    <row r="5" spans="1:10" s="236" customFormat="1" ht="15" customHeight="1">
      <c r="A5" s="231">
        <f>+A4+1</f>
        <v>2</v>
      </c>
      <c r="B5" s="237">
        <v>52321</v>
      </c>
      <c r="C5" s="233" t="s">
        <v>3538</v>
      </c>
      <c r="D5" s="245" t="str">
        <f t="shared" si="0"/>
        <v>POVJERENSTVO ZA FISKALNU POLITIKU (52321)</v>
      </c>
      <c r="E5" s="233" t="s">
        <v>3539</v>
      </c>
      <c r="F5" s="233" t="s">
        <v>275</v>
      </c>
      <c r="G5" s="234">
        <v>5513260</v>
      </c>
      <c r="H5" s="235" t="s">
        <v>3540</v>
      </c>
    </row>
    <row r="6" spans="1:10" s="236" customFormat="1" ht="15" customHeight="1">
      <c r="A6" s="231">
        <f t="shared" ref="A6:A69" si="1">+A5+1</f>
        <v>3</v>
      </c>
      <c r="B6" s="238">
        <v>42434</v>
      </c>
      <c r="C6" s="239" t="s">
        <v>3541</v>
      </c>
      <c r="D6" s="245" t="str">
        <f t="shared" si="0"/>
        <v>DRŽAVNO IZBORNO POVJERENSTVO REPUBLIKE HRVATSKE (42434)</v>
      </c>
      <c r="E6" s="239" t="s">
        <v>3542</v>
      </c>
      <c r="F6" s="239" t="s">
        <v>275</v>
      </c>
      <c r="G6" s="240">
        <v>2197278</v>
      </c>
      <c r="H6" s="241" t="s">
        <v>3543</v>
      </c>
    </row>
    <row r="7" spans="1:10" s="236" customFormat="1" ht="15" customHeight="1">
      <c r="A7" s="231">
        <f t="shared" si="1"/>
        <v>4</v>
      </c>
      <c r="B7" s="238">
        <v>46028</v>
      </c>
      <c r="C7" s="233" t="s">
        <v>3544</v>
      </c>
      <c r="D7" s="245" t="str">
        <f t="shared" si="0"/>
        <v>URED PREDSJEDNICE REPUBLIKE HRVATSKE PO PRESTANKU OBNAŠANJA DUŽNOSTI (46028)</v>
      </c>
      <c r="E7" s="233" t="s">
        <v>3545</v>
      </c>
      <c r="F7" s="233" t="s">
        <v>275</v>
      </c>
      <c r="G7" s="234">
        <v>2611660</v>
      </c>
      <c r="H7" s="235" t="s">
        <v>3546</v>
      </c>
    </row>
    <row r="8" spans="1:10" s="242" customFormat="1" ht="15" customHeight="1">
      <c r="A8" s="231">
        <f t="shared" si="1"/>
        <v>5</v>
      </c>
      <c r="B8" s="238">
        <v>35</v>
      </c>
      <c r="C8" s="233" t="s">
        <v>3547</v>
      </c>
      <c r="D8" s="245" t="str">
        <f t="shared" si="0"/>
        <v>URED PREDSJEDNIKA REPUBLIKE HRVATSKE (35)</v>
      </c>
      <c r="E8" s="233" t="s">
        <v>3548</v>
      </c>
      <c r="F8" s="233" t="s">
        <v>275</v>
      </c>
      <c r="G8" s="234">
        <v>3220346</v>
      </c>
      <c r="H8" s="235" t="s">
        <v>3549</v>
      </c>
      <c r="J8" s="236"/>
    </row>
    <row r="9" spans="1:10" s="236" customFormat="1" ht="15" customHeight="1">
      <c r="A9" s="231">
        <f t="shared" si="1"/>
        <v>6</v>
      </c>
      <c r="B9" s="238">
        <v>6031</v>
      </c>
      <c r="C9" s="233" t="s">
        <v>3550</v>
      </c>
      <c r="D9" s="245" t="str">
        <f t="shared" si="0"/>
        <v>USTAVNI SUD REPUBLIKE HRVATSKE (6031)</v>
      </c>
      <c r="E9" s="233" t="s">
        <v>3551</v>
      </c>
      <c r="F9" s="233" t="s">
        <v>275</v>
      </c>
      <c r="G9" s="234">
        <v>3206084</v>
      </c>
      <c r="H9" s="235" t="s">
        <v>3552</v>
      </c>
    </row>
    <row r="10" spans="1:10" s="236" customFormat="1" ht="15" customHeight="1">
      <c r="A10" s="231">
        <f t="shared" si="1"/>
        <v>7</v>
      </c>
      <c r="B10" s="238">
        <v>20833</v>
      </c>
      <c r="C10" s="233" t="s">
        <v>3553</v>
      </c>
      <c r="D10" s="245" t="str">
        <f t="shared" si="0"/>
        <v>AGENCIJA ZA ZAŠTITU TRŽIŠNOG NATJECANJA (20833)</v>
      </c>
      <c r="E10" s="233" t="s">
        <v>3554</v>
      </c>
      <c r="F10" s="233" t="s">
        <v>275</v>
      </c>
      <c r="G10" s="234">
        <v>1253433</v>
      </c>
      <c r="H10" s="235" t="s">
        <v>3555</v>
      </c>
    </row>
    <row r="11" spans="1:10" s="236" customFormat="1" ht="15" customHeight="1">
      <c r="A11" s="231">
        <f t="shared" si="1"/>
        <v>8</v>
      </c>
      <c r="B11" s="238">
        <v>51</v>
      </c>
      <c r="C11" s="233" t="s">
        <v>3556</v>
      </c>
      <c r="D11" s="245" t="str">
        <f t="shared" si="0"/>
        <v>VLADA REPUBLIKE HRVATSKE (51)</v>
      </c>
      <c r="E11" s="233" t="s">
        <v>3557</v>
      </c>
      <c r="F11" s="233" t="s">
        <v>275</v>
      </c>
      <c r="G11" s="234">
        <v>3205924</v>
      </c>
      <c r="H11" s="235" t="s">
        <v>3558</v>
      </c>
    </row>
    <row r="12" spans="1:10" ht="15" customHeight="1">
      <c r="A12" s="243">
        <f t="shared" si="1"/>
        <v>9</v>
      </c>
      <c r="B12" s="244">
        <v>23753</v>
      </c>
      <c r="C12" s="245" t="s">
        <v>3559</v>
      </c>
      <c r="D12" s="245" t="str">
        <f t="shared" si="0"/>
        <v>URED PREDSJEDNIKA VLADE REPUBLIKE HRVATSKE (23753)</v>
      </c>
      <c r="E12" s="245" t="s">
        <v>3557</v>
      </c>
      <c r="F12" s="245" t="s">
        <v>275</v>
      </c>
      <c r="G12" s="246">
        <v>1676504</v>
      </c>
      <c r="H12" s="247" t="s">
        <v>3560</v>
      </c>
      <c r="J12" s="236"/>
    </row>
    <row r="13" spans="1:10" ht="15" customHeight="1">
      <c r="A13" s="243">
        <f t="shared" si="1"/>
        <v>10</v>
      </c>
      <c r="B13" s="244">
        <v>51386</v>
      </c>
      <c r="C13" s="245" t="s">
        <v>3561</v>
      </c>
      <c r="D13" s="245" t="str">
        <f t="shared" si="0"/>
        <v>URED POTPREDSJEDNIKA VLADE REPUBLIKE HRVATSKE (51386)</v>
      </c>
      <c r="E13" s="245" t="s">
        <v>3557</v>
      </c>
      <c r="F13" s="245" t="s">
        <v>275</v>
      </c>
      <c r="G13" s="246">
        <v>5294584</v>
      </c>
      <c r="H13" s="247" t="s">
        <v>3562</v>
      </c>
      <c r="J13" s="236"/>
    </row>
    <row r="14" spans="1:10" ht="15" customHeight="1">
      <c r="A14" s="243">
        <f t="shared" si="1"/>
        <v>11</v>
      </c>
      <c r="B14" s="244">
        <v>22275</v>
      </c>
      <c r="C14" s="245" t="s">
        <v>3563</v>
      </c>
      <c r="D14" s="245" t="str">
        <f t="shared" si="0"/>
        <v>URED ZA UDRUGE (22275)</v>
      </c>
      <c r="E14" s="245" t="s">
        <v>3564</v>
      </c>
      <c r="F14" s="245" t="s">
        <v>275</v>
      </c>
      <c r="G14" s="246">
        <v>1404113</v>
      </c>
      <c r="H14" s="247" t="s">
        <v>3565</v>
      </c>
      <c r="J14" s="236"/>
    </row>
    <row r="15" spans="1:10" ht="15" customHeight="1">
      <c r="A15" s="243">
        <f t="shared" si="1"/>
        <v>12</v>
      </c>
      <c r="B15" s="244">
        <v>47406</v>
      </c>
      <c r="C15" s="245" t="s">
        <v>3566</v>
      </c>
      <c r="D15" s="245" t="str">
        <f t="shared" si="0"/>
        <v>URED ZASTUPNIKA REPUBLIKE HRVATSKE PRED EUROPSKIM SUDOM ZA LJUDSKA PRAVA  (47406)</v>
      </c>
      <c r="E15" s="245" t="s">
        <v>3567</v>
      </c>
      <c r="F15" s="245" t="s">
        <v>275</v>
      </c>
      <c r="G15" s="246">
        <v>2864851</v>
      </c>
      <c r="H15" s="247" t="s">
        <v>3568</v>
      </c>
      <c r="J15" s="236"/>
    </row>
    <row r="16" spans="1:10" ht="15" customHeight="1">
      <c r="A16" s="243">
        <f t="shared" si="1"/>
        <v>13</v>
      </c>
      <c r="B16" s="244">
        <v>23979</v>
      </c>
      <c r="C16" s="245" t="s">
        <v>3569</v>
      </c>
      <c r="D16" s="245" t="str">
        <f t="shared" si="0"/>
        <v>STRUČNA SLUŽBA SAVJETA ZA NACIONALNE MANJINE (23979)</v>
      </c>
      <c r="E16" s="245" t="s">
        <v>3570</v>
      </c>
      <c r="F16" s="245" t="s">
        <v>275</v>
      </c>
      <c r="G16" s="246">
        <v>1730118</v>
      </c>
      <c r="H16" s="247" t="s">
        <v>3571</v>
      </c>
      <c r="J16" s="236"/>
    </row>
    <row r="17" spans="1:10" ht="15" customHeight="1">
      <c r="A17" s="243">
        <f t="shared" si="1"/>
        <v>14</v>
      </c>
      <c r="B17" s="244">
        <v>115</v>
      </c>
      <c r="C17" s="245" t="s">
        <v>3572</v>
      </c>
      <c r="D17" s="245" t="str">
        <f t="shared" si="0"/>
        <v>URED ZA ZAKONODAVSTVO (115)</v>
      </c>
      <c r="E17" s="245" t="s">
        <v>3557</v>
      </c>
      <c r="F17" s="245" t="s">
        <v>275</v>
      </c>
      <c r="G17" s="246">
        <v>3205959</v>
      </c>
      <c r="H17" s="247" t="s">
        <v>3573</v>
      </c>
      <c r="J17" s="236"/>
    </row>
    <row r="18" spans="1:10" ht="15" customHeight="1">
      <c r="A18" s="243">
        <f t="shared" si="1"/>
        <v>15</v>
      </c>
      <c r="B18" s="244">
        <v>123</v>
      </c>
      <c r="C18" s="245" t="s">
        <v>3574</v>
      </c>
      <c r="D18" s="245" t="str">
        <f t="shared" si="0"/>
        <v>URED ZA OPĆE POSLOVE HRVATSKOG SABORA I VLADE REPUBLIKE HRVATSKE (123)</v>
      </c>
      <c r="E18" s="245" t="s">
        <v>3575</v>
      </c>
      <c r="F18" s="245" t="s">
        <v>275</v>
      </c>
      <c r="G18" s="246">
        <v>3205916</v>
      </c>
      <c r="H18" s="247" t="s">
        <v>3576</v>
      </c>
      <c r="J18" s="236"/>
    </row>
    <row r="19" spans="1:10" ht="15" customHeight="1">
      <c r="A19" s="243">
        <f t="shared" si="1"/>
        <v>16</v>
      </c>
      <c r="B19" s="244">
        <v>23673</v>
      </c>
      <c r="C19" s="245" t="s">
        <v>3577</v>
      </c>
      <c r="D19" s="245" t="str">
        <f t="shared" si="0"/>
        <v>URED ZA PROTOKOL (23673)</v>
      </c>
      <c r="E19" s="245" t="s">
        <v>3557</v>
      </c>
      <c r="F19" s="245" t="s">
        <v>275</v>
      </c>
      <c r="G19" s="246">
        <v>1594478</v>
      </c>
      <c r="H19" s="247" t="s">
        <v>3578</v>
      </c>
      <c r="J19" s="236"/>
    </row>
    <row r="20" spans="1:10" ht="15" customHeight="1">
      <c r="A20" s="243">
        <f t="shared" si="1"/>
        <v>17</v>
      </c>
      <c r="B20" s="244">
        <v>23745</v>
      </c>
      <c r="C20" s="245" t="s">
        <v>3579</v>
      </c>
      <c r="D20" s="245" t="str">
        <f t="shared" si="0"/>
        <v>URED VLADE REPUBLIKE HRVATSKE ZA UNUTARNJU REVIZIJU (23745)</v>
      </c>
      <c r="E20" s="245" t="s">
        <v>3580</v>
      </c>
      <c r="F20" s="245" t="s">
        <v>275</v>
      </c>
      <c r="G20" s="246">
        <v>1654098</v>
      </c>
      <c r="H20" s="247" t="s">
        <v>3581</v>
      </c>
      <c r="J20" s="236"/>
    </row>
    <row r="21" spans="1:10" ht="24">
      <c r="A21" s="243">
        <f t="shared" si="1"/>
        <v>18</v>
      </c>
      <c r="B21" s="244">
        <v>23690</v>
      </c>
      <c r="C21" s="245" t="s">
        <v>3582</v>
      </c>
      <c r="D21" s="245" t="str">
        <f t="shared" si="0"/>
        <v>DIREKCIJA ZA KORIŠTENJE SLUŽBENIH ZRAKOPLOVA (23690)</v>
      </c>
      <c r="E21" s="245" t="s">
        <v>3583</v>
      </c>
      <c r="F21" s="245" t="s">
        <v>3584</v>
      </c>
      <c r="G21" s="246">
        <v>1604686</v>
      </c>
      <c r="H21" s="247" t="s">
        <v>3585</v>
      </c>
      <c r="J21" s="236"/>
    </row>
    <row r="22" spans="1:10" ht="15" customHeight="1">
      <c r="A22" s="243">
        <f t="shared" si="1"/>
        <v>19</v>
      </c>
      <c r="B22" s="244">
        <v>47422</v>
      </c>
      <c r="C22" s="245" t="s">
        <v>3586</v>
      </c>
      <c r="D22" s="245" t="str">
        <f t="shared" si="0"/>
        <v>URED ZA LJUDSKA PRAVA I PRAVA NACIONALNH MANJINA (47422)</v>
      </c>
      <c r="E22" s="245" t="s">
        <v>3570</v>
      </c>
      <c r="F22" s="245" t="s">
        <v>275</v>
      </c>
      <c r="G22" s="246">
        <v>2872781</v>
      </c>
      <c r="H22" s="247" t="s">
        <v>3587</v>
      </c>
      <c r="J22" s="236"/>
    </row>
    <row r="23" spans="1:10" ht="15" customHeight="1">
      <c r="A23" s="243">
        <f t="shared" si="1"/>
        <v>20</v>
      </c>
      <c r="B23" s="244">
        <v>48066</v>
      </c>
      <c r="C23" s="245" t="s">
        <v>3588</v>
      </c>
      <c r="D23" s="245" t="str">
        <f t="shared" si="0"/>
        <v>URED KOMISIJE ZA ODNOSE S VJERSKIM ZAJEDNICAMA (48066)</v>
      </c>
      <c r="E23" s="245" t="s">
        <v>3570</v>
      </c>
      <c r="F23" s="245" t="s">
        <v>275</v>
      </c>
      <c r="G23" s="248" t="s">
        <v>3589</v>
      </c>
      <c r="H23" s="247" t="s">
        <v>3590</v>
      </c>
      <c r="J23" s="236"/>
    </row>
    <row r="24" spans="1:10" ht="15" customHeight="1">
      <c r="A24" s="243">
        <f t="shared" si="1"/>
        <v>21</v>
      </c>
      <c r="B24" s="244">
        <v>24051</v>
      </c>
      <c r="C24" s="245" t="s">
        <v>3591</v>
      </c>
      <c r="D24" s="245" t="str">
        <f t="shared" si="0"/>
        <v>URED ZA RAVNOPRAVNOST SPOLOVA (24051)</v>
      </c>
      <c r="E24" s="245" t="s">
        <v>3570</v>
      </c>
      <c r="F24" s="245" t="s">
        <v>275</v>
      </c>
      <c r="G24" s="246">
        <v>1815342</v>
      </c>
      <c r="H24" s="247" t="s">
        <v>3592</v>
      </c>
      <c r="I24" s="249"/>
      <c r="J24" s="236"/>
    </row>
    <row r="25" spans="1:10" s="236" customFormat="1" ht="15" customHeight="1">
      <c r="A25" s="231">
        <f t="shared" si="1"/>
        <v>22</v>
      </c>
      <c r="B25" s="238">
        <v>20157</v>
      </c>
      <c r="C25" s="233" t="s">
        <v>3593</v>
      </c>
      <c r="D25" s="245" t="str">
        <f t="shared" si="0"/>
        <v>MINISTARSTVO FINANCIJA (20157)</v>
      </c>
      <c r="E25" s="233" t="s">
        <v>3594</v>
      </c>
      <c r="F25" s="233" t="s">
        <v>275</v>
      </c>
      <c r="G25" s="234">
        <v>3205991</v>
      </c>
      <c r="H25" s="235" t="s">
        <v>3595</v>
      </c>
    </row>
    <row r="26" spans="1:10" ht="15" customHeight="1">
      <c r="A26" s="243">
        <f>+A25+1</f>
        <v>23</v>
      </c>
      <c r="B26" s="244">
        <v>43732</v>
      </c>
      <c r="C26" s="245" t="s">
        <v>3596</v>
      </c>
      <c r="D26" s="245" t="str">
        <f t="shared" si="0"/>
        <v>AGENCIJA ZA REVIZIJU SUSTAVA PROVEDBE PROGRAMA EUROPSKE UNIJE (43732)</v>
      </c>
      <c r="E26" s="245" t="s">
        <v>3597</v>
      </c>
      <c r="F26" s="245" t="s">
        <v>275</v>
      </c>
      <c r="G26" s="246">
        <v>2400774</v>
      </c>
      <c r="H26" s="247" t="s">
        <v>3598</v>
      </c>
      <c r="J26" s="236"/>
    </row>
    <row r="27" spans="1:10" ht="15" customHeight="1">
      <c r="A27" s="243">
        <f t="shared" si="1"/>
        <v>24</v>
      </c>
      <c r="B27" s="244">
        <v>49286</v>
      </c>
      <c r="C27" s="245" t="s">
        <v>3599</v>
      </c>
      <c r="D27" s="245" t="str">
        <f t="shared" si="0"/>
        <v>ODBOR ZA STANDARDE FINANCIJSKOG IZVJEŠTAVANJA (49286)</v>
      </c>
      <c r="E27" s="245" t="s">
        <v>3594</v>
      </c>
      <c r="F27" s="245" t="s">
        <v>275</v>
      </c>
      <c r="G27" s="248" t="s">
        <v>3600</v>
      </c>
      <c r="H27" s="247" t="s">
        <v>3601</v>
      </c>
      <c r="J27" s="236"/>
    </row>
    <row r="28" spans="1:10" s="236" customFormat="1" ht="15" customHeight="1">
      <c r="A28" s="231">
        <f t="shared" si="1"/>
        <v>25</v>
      </c>
      <c r="B28" s="238">
        <v>40834</v>
      </c>
      <c r="C28" s="239" t="s">
        <v>3602</v>
      </c>
      <c r="D28" s="245" t="str">
        <f t="shared" si="0"/>
        <v>SIGURNOSNO OBAVJEŠTAJNA AGENCIJA (40834)</v>
      </c>
      <c r="E28" s="239" t="s">
        <v>3603</v>
      </c>
      <c r="F28" s="239" t="s">
        <v>275</v>
      </c>
      <c r="G28" s="240">
        <v>2111004</v>
      </c>
      <c r="H28" s="241" t="s">
        <v>3604</v>
      </c>
    </row>
    <row r="29" spans="1:10" s="236" customFormat="1" ht="15" customHeight="1">
      <c r="A29" s="231">
        <f t="shared" si="1"/>
        <v>26</v>
      </c>
      <c r="B29" s="238">
        <v>47334</v>
      </c>
      <c r="C29" s="239" t="s">
        <v>3605</v>
      </c>
      <c r="D29" s="245" t="str">
        <f t="shared" si="0"/>
        <v>SREDIŠNJI DRŽAVNI URED ZA SREDIŠNJU JAVNU NABAVU (47334)</v>
      </c>
      <c r="E29" s="239" t="s">
        <v>3606</v>
      </c>
      <c r="F29" s="239" t="s">
        <v>275</v>
      </c>
      <c r="G29" s="240">
        <v>2840731</v>
      </c>
      <c r="H29" s="241" t="s">
        <v>3607</v>
      </c>
    </row>
    <row r="30" spans="1:10" s="236" customFormat="1" ht="15" customHeight="1">
      <c r="A30" s="231">
        <f t="shared" si="1"/>
        <v>27</v>
      </c>
      <c r="B30" s="238">
        <v>174</v>
      </c>
      <c r="C30" s="239" t="s">
        <v>3608</v>
      </c>
      <c r="D30" s="245" t="str">
        <f t="shared" si="0"/>
        <v>MINISTARSTVO OBRANE (174)</v>
      </c>
      <c r="E30" s="239" t="s">
        <v>3609</v>
      </c>
      <c r="F30" s="239" t="s">
        <v>275</v>
      </c>
      <c r="G30" s="240">
        <v>3207595</v>
      </c>
      <c r="H30" s="241" t="s">
        <v>3610</v>
      </c>
    </row>
    <row r="31" spans="1:10" s="236" customFormat="1" ht="15" customHeight="1">
      <c r="A31" s="231">
        <f t="shared" si="1"/>
        <v>28</v>
      </c>
      <c r="B31" s="238">
        <v>47439</v>
      </c>
      <c r="C31" s="239" t="s">
        <v>3611</v>
      </c>
      <c r="D31" s="245" t="str">
        <f t="shared" si="0"/>
        <v>SREDIŠNJI DRŽAVNI URED ZA HRVATE IZVAN REPUBLIKE HRVATSKE (47439)</v>
      </c>
      <c r="E31" s="239" t="s">
        <v>3612</v>
      </c>
      <c r="F31" s="239" t="s">
        <v>275</v>
      </c>
      <c r="G31" s="240">
        <v>2875004</v>
      </c>
      <c r="H31" s="241" t="s">
        <v>3613</v>
      </c>
    </row>
    <row r="32" spans="1:10" s="236" customFormat="1" ht="15" customHeight="1">
      <c r="A32" s="243">
        <f t="shared" si="1"/>
        <v>29</v>
      </c>
      <c r="B32" s="244">
        <v>25917</v>
      </c>
      <c r="C32" s="245" t="s">
        <v>3614</v>
      </c>
      <c r="D32" s="245" t="str">
        <f t="shared" si="0"/>
        <v>HRVATSKA MATICA ISELJENIKA (25917)</v>
      </c>
      <c r="E32" s="245" t="s">
        <v>585</v>
      </c>
      <c r="F32" s="245" t="s">
        <v>275</v>
      </c>
      <c r="G32" s="246">
        <v>3277348</v>
      </c>
      <c r="H32" s="247" t="s">
        <v>3615</v>
      </c>
    </row>
    <row r="33" spans="1:10" s="236" customFormat="1" ht="15" customHeight="1">
      <c r="A33" s="231">
        <f t="shared" si="1"/>
        <v>30</v>
      </c>
      <c r="B33" s="238">
        <v>47932</v>
      </c>
      <c r="C33" s="239" t="s">
        <v>3616</v>
      </c>
      <c r="D33" s="245" t="str">
        <f t="shared" si="0"/>
        <v>SREDIŠNJI DRŽAVNI URED ZA OBNOVU I STAMBENO ZBRINJAVANJE  (47932)</v>
      </c>
      <c r="E33" s="239" t="s">
        <v>3617</v>
      </c>
      <c r="F33" s="239" t="s">
        <v>275</v>
      </c>
      <c r="G33" s="240">
        <v>4041186</v>
      </c>
      <c r="H33" s="241" t="s">
        <v>3618</v>
      </c>
    </row>
    <row r="34" spans="1:10" s="236" customFormat="1" ht="15" customHeight="1">
      <c r="A34" s="231">
        <f t="shared" si="1"/>
        <v>31</v>
      </c>
      <c r="B34" s="238">
        <v>49585</v>
      </c>
      <c r="C34" s="239" t="s">
        <v>3619</v>
      </c>
      <c r="D34" s="245" t="str">
        <f t="shared" si="0"/>
        <v>SREDIŠNJI DRŽAVNI URED ZA RAZVOJ DIGITALNOG DRUŠTVA (49585)</v>
      </c>
      <c r="E34" s="239" t="s">
        <v>3606</v>
      </c>
      <c r="F34" s="239" t="s">
        <v>275</v>
      </c>
      <c r="G34" s="250" t="s">
        <v>3620</v>
      </c>
      <c r="H34" s="241" t="s">
        <v>3621</v>
      </c>
    </row>
    <row r="35" spans="1:10" s="236" customFormat="1" ht="15" customHeight="1">
      <c r="A35" s="231">
        <f t="shared" si="1"/>
        <v>32</v>
      </c>
      <c r="B35" s="238">
        <v>51409</v>
      </c>
      <c r="C35" s="239" t="s">
        <v>3622</v>
      </c>
      <c r="D35" s="245" t="str">
        <f t="shared" si="0"/>
        <v>SREDIŠNJI DRŽAVNI URED ZA DEMOGRAFIJU I MLADE (51409)</v>
      </c>
      <c r="E35" s="239" t="s">
        <v>3623</v>
      </c>
      <c r="F35" s="239" t="s">
        <v>275</v>
      </c>
      <c r="G35" s="250">
        <v>5292441</v>
      </c>
      <c r="H35" s="241" t="s">
        <v>3624</v>
      </c>
    </row>
    <row r="36" spans="1:10" s="236" customFormat="1" ht="15" customHeight="1">
      <c r="A36" s="231">
        <f t="shared" si="1"/>
        <v>33</v>
      </c>
      <c r="B36" s="238">
        <v>50985</v>
      </c>
      <c r="C36" s="239" t="s">
        <v>3625</v>
      </c>
      <c r="D36" s="245" t="str">
        <f t="shared" si="0"/>
        <v>HRVATSKA VATROGASNA ZAJEDNICA (50985)</v>
      </c>
      <c r="E36" s="239" t="s">
        <v>3626</v>
      </c>
      <c r="F36" s="239" t="s">
        <v>275</v>
      </c>
      <c r="G36" s="240">
        <v>5205689</v>
      </c>
      <c r="H36" s="241" t="s">
        <v>3627</v>
      </c>
    </row>
    <row r="37" spans="1:10" s="236" customFormat="1" ht="15" customHeight="1">
      <c r="A37" s="243">
        <f t="shared" si="1"/>
        <v>34</v>
      </c>
      <c r="B37" s="244">
        <v>51853</v>
      </c>
      <c r="C37" s="245" t="s">
        <v>3628</v>
      </c>
      <c r="D37" s="245" t="str">
        <f t="shared" si="0"/>
        <v>DRŽAVNA VATROGASNA ŠKOLA (51853)</v>
      </c>
      <c r="E37" s="245" t="s">
        <v>3629</v>
      </c>
      <c r="F37" s="245" t="s">
        <v>275</v>
      </c>
      <c r="G37" s="246">
        <v>5379229</v>
      </c>
      <c r="H37" s="247">
        <v>68850110329</v>
      </c>
    </row>
    <row r="38" spans="1:10" s="236" customFormat="1" ht="15" customHeight="1">
      <c r="A38" s="231">
        <f t="shared" si="1"/>
        <v>35</v>
      </c>
      <c r="B38" s="238">
        <v>713</v>
      </c>
      <c r="C38" s="239" t="s">
        <v>3630</v>
      </c>
      <c r="D38" s="245" t="str">
        <f t="shared" si="0"/>
        <v>MINISTARSTVO UNUTARNJIH POSLOVA (713)</v>
      </c>
      <c r="E38" s="239" t="s">
        <v>3631</v>
      </c>
      <c r="F38" s="239" t="s">
        <v>275</v>
      </c>
      <c r="G38" s="240">
        <v>3281418</v>
      </c>
      <c r="H38" s="241" t="s">
        <v>3632</v>
      </c>
    </row>
    <row r="39" spans="1:10" s="236" customFormat="1" ht="15" customHeight="1">
      <c r="A39" s="231">
        <f t="shared" si="1"/>
        <v>36</v>
      </c>
      <c r="B39" s="238">
        <v>47037</v>
      </c>
      <c r="C39" s="239" t="s">
        <v>3633</v>
      </c>
      <c r="D39" s="245" t="str">
        <f t="shared" si="0"/>
        <v>MINISTARSTVO HRVATSKIH BRANITELJA (47037)</v>
      </c>
      <c r="E39" s="251" t="s">
        <v>3623</v>
      </c>
      <c r="F39" s="239" t="s">
        <v>275</v>
      </c>
      <c r="G39" s="240">
        <v>2829541</v>
      </c>
      <c r="H39" s="241" t="s">
        <v>3634</v>
      </c>
    </row>
    <row r="40" spans="1:10" s="236" customFormat="1" ht="15" customHeight="1">
      <c r="A40" s="243">
        <f t="shared" si="1"/>
        <v>37</v>
      </c>
      <c r="B40" s="244">
        <v>48314</v>
      </c>
      <c r="C40" s="245" t="s">
        <v>3635</v>
      </c>
      <c r="D40" s="245" t="str">
        <f t="shared" si="0"/>
        <v>JAVNA USTANOVA MEMORIJALNI CENTAR DOMOVINSKOG RATA VUKOVAR (48314)</v>
      </c>
      <c r="E40" s="245" t="s">
        <v>3636</v>
      </c>
      <c r="F40" s="245" t="s">
        <v>501</v>
      </c>
      <c r="G40" s="246">
        <v>4140966</v>
      </c>
      <c r="H40" s="247" t="s">
        <v>3637</v>
      </c>
    </row>
    <row r="41" spans="1:10" ht="15" customHeight="1">
      <c r="A41" s="243">
        <f t="shared" si="1"/>
        <v>38</v>
      </c>
      <c r="B41" s="244">
        <v>48710</v>
      </c>
      <c r="C41" s="245" t="s">
        <v>3638</v>
      </c>
      <c r="D41" s="245" t="str">
        <f t="shared" si="0"/>
        <v>DOM HRVATSKIH VETERANA (48710)</v>
      </c>
      <c r="E41" s="245" t="s">
        <v>3639</v>
      </c>
      <c r="F41" s="245" t="s">
        <v>275</v>
      </c>
      <c r="G41" s="246">
        <v>4335635</v>
      </c>
      <c r="H41" s="247" t="s">
        <v>3640</v>
      </c>
      <c r="J41" s="236"/>
    </row>
    <row r="42" spans="1:10" ht="15" customHeight="1">
      <c r="A42" s="243">
        <f t="shared" si="1"/>
        <v>39</v>
      </c>
      <c r="B42" s="244">
        <v>52313</v>
      </c>
      <c r="C42" s="245" t="s">
        <v>3641</v>
      </c>
      <c r="D42" s="245" t="str">
        <f t="shared" si="0"/>
        <v>VETERANSKI CENTAR (52313)</v>
      </c>
      <c r="E42" s="245" t="s">
        <v>3642</v>
      </c>
      <c r="F42" s="245" t="s">
        <v>275</v>
      </c>
      <c r="G42" s="246">
        <v>5475139</v>
      </c>
      <c r="H42" s="247">
        <v>38617796847</v>
      </c>
      <c r="J42" s="236"/>
    </row>
    <row r="43" spans="1:10" s="236" customFormat="1" ht="15" customHeight="1">
      <c r="A43" s="231">
        <f t="shared" si="1"/>
        <v>40</v>
      </c>
      <c r="B43" s="238">
        <v>721</v>
      </c>
      <c r="C43" s="239" t="s">
        <v>3643</v>
      </c>
      <c r="D43" s="245" t="str">
        <f t="shared" si="0"/>
        <v>MINISTARSTVO VANJSKIH I EUROPSKIH POSLOVA (721)</v>
      </c>
      <c r="E43" s="239" t="s">
        <v>3644</v>
      </c>
      <c r="F43" s="239" t="s">
        <v>275</v>
      </c>
      <c r="G43" s="240">
        <v>3230040</v>
      </c>
      <c r="H43" s="241" t="s">
        <v>3645</v>
      </c>
    </row>
    <row r="44" spans="1:10" s="236" customFormat="1" ht="15" customHeight="1">
      <c r="A44" s="231">
        <f t="shared" si="1"/>
        <v>41</v>
      </c>
      <c r="B44" s="238">
        <v>47852</v>
      </c>
      <c r="C44" s="239" t="s">
        <v>3646</v>
      </c>
      <c r="D44" s="245" t="str">
        <f t="shared" si="0"/>
        <v>POVJERENSTVO ZA ODLUČIVANJE O SUKOBU INTERESA (47852)</v>
      </c>
      <c r="E44" s="239" t="s">
        <v>3647</v>
      </c>
      <c r="F44" s="239" t="s">
        <v>275</v>
      </c>
      <c r="G44" s="240">
        <v>1850113</v>
      </c>
      <c r="H44" s="241" t="s">
        <v>3648</v>
      </c>
    </row>
    <row r="45" spans="1:10" s="236" customFormat="1" ht="15.75" customHeight="1">
      <c r="A45" s="231">
        <f t="shared" si="1"/>
        <v>42</v>
      </c>
      <c r="B45" s="238">
        <v>756</v>
      </c>
      <c r="C45" s="239" t="s">
        <v>3649</v>
      </c>
      <c r="D45" s="245" t="str">
        <f t="shared" si="0"/>
        <v>MINISTARSTVO KULTURE I MEDIJA (756)</v>
      </c>
      <c r="E45" s="239" t="s">
        <v>3650</v>
      </c>
      <c r="F45" s="239" t="s">
        <v>275</v>
      </c>
      <c r="G45" s="240">
        <v>931608</v>
      </c>
      <c r="H45" s="241" t="s">
        <v>3651</v>
      </c>
    </row>
    <row r="46" spans="1:10" s="236" customFormat="1" ht="15" customHeight="1">
      <c r="A46" s="243">
        <f t="shared" si="1"/>
        <v>43</v>
      </c>
      <c r="B46" s="244">
        <v>789</v>
      </c>
      <c r="C46" s="245" t="s">
        <v>3652</v>
      </c>
      <c r="D46" s="245" t="str">
        <f t="shared" si="0"/>
        <v>DRŽAVNI ARHIV U BJELOVARU (789)</v>
      </c>
      <c r="E46" s="245" t="s">
        <v>3653</v>
      </c>
      <c r="F46" s="245" t="s">
        <v>3654</v>
      </c>
      <c r="G46" s="246">
        <v>3316734</v>
      </c>
      <c r="H46" s="247" t="s">
        <v>3655</v>
      </c>
    </row>
    <row r="47" spans="1:10" s="236" customFormat="1" ht="15" customHeight="1">
      <c r="A47" s="243">
        <f t="shared" si="1"/>
        <v>44</v>
      </c>
      <c r="B47" s="244">
        <v>797</v>
      </c>
      <c r="C47" s="245" t="s">
        <v>3656</v>
      </c>
      <c r="D47" s="245" t="str">
        <f t="shared" si="0"/>
        <v>DRŽAVNI ARHIV U DUBROVNIKU (797)</v>
      </c>
      <c r="E47" s="245" t="s">
        <v>3657</v>
      </c>
      <c r="F47" s="245" t="s">
        <v>313</v>
      </c>
      <c r="G47" s="246">
        <v>3303870</v>
      </c>
      <c r="H47" s="247" t="s">
        <v>3658</v>
      </c>
    </row>
    <row r="48" spans="1:10" s="236" customFormat="1" ht="15" customHeight="1">
      <c r="A48" s="243">
        <f t="shared" si="1"/>
        <v>45</v>
      </c>
      <c r="B48" s="244">
        <v>23577</v>
      </c>
      <c r="C48" s="245" t="s">
        <v>3659</v>
      </c>
      <c r="D48" s="245" t="str">
        <f t="shared" si="0"/>
        <v>DRŽAVNI ARHIV U GOSPIĆU (23577)</v>
      </c>
      <c r="E48" s="245" t="s">
        <v>3660</v>
      </c>
      <c r="F48" s="245" t="s">
        <v>509</v>
      </c>
      <c r="G48" s="246">
        <v>1475444</v>
      </c>
      <c r="H48" s="247" t="s">
        <v>3661</v>
      </c>
    </row>
    <row r="49" spans="1:8" s="236" customFormat="1" ht="15" customHeight="1">
      <c r="A49" s="243">
        <f t="shared" si="1"/>
        <v>46</v>
      </c>
      <c r="B49" s="244">
        <v>801</v>
      </c>
      <c r="C49" s="245" t="s">
        <v>3662</v>
      </c>
      <c r="D49" s="245" t="str">
        <f t="shared" si="0"/>
        <v>DRŽAVNI ARHIV U KARLOVCU (801)</v>
      </c>
      <c r="E49" s="245" t="s">
        <v>3663</v>
      </c>
      <c r="F49" s="245" t="s">
        <v>513</v>
      </c>
      <c r="G49" s="246">
        <v>3123367</v>
      </c>
      <c r="H49" s="247" t="s">
        <v>3664</v>
      </c>
    </row>
    <row r="50" spans="1:8" s="236" customFormat="1" ht="15" customHeight="1">
      <c r="A50" s="243">
        <f t="shared" si="1"/>
        <v>47</v>
      </c>
      <c r="B50" s="244">
        <v>810</v>
      </c>
      <c r="C50" s="245" t="s">
        <v>3665</v>
      </c>
      <c r="D50" s="245" t="str">
        <f t="shared" si="0"/>
        <v>DRŽAVNI ARHIV U OSIJEKU (810)</v>
      </c>
      <c r="E50" s="245" t="s">
        <v>3666</v>
      </c>
      <c r="F50" s="245" t="s">
        <v>278</v>
      </c>
      <c r="G50" s="246">
        <v>3014223</v>
      </c>
      <c r="H50" s="247" t="s">
        <v>3667</v>
      </c>
    </row>
    <row r="51" spans="1:8" s="236" customFormat="1" ht="15" customHeight="1">
      <c r="A51" s="243">
        <f t="shared" si="1"/>
        <v>48</v>
      </c>
      <c r="B51" s="244">
        <v>828</v>
      </c>
      <c r="C51" s="245" t="s">
        <v>3668</v>
      </c>
      <c r="D51" s="245" t="str">
        <f t="shared" si="0"/>
        <v>DRŽAVNI ARHIV U PAZINU (828)</v>
      </c>
      <c r="E51" s="245" t="s">
        <v>3669</v>
      </c>
      <c r="F51" s="245" t="s">
        <v>3670</v>
      </c>
      <c r="G51" s="246">
        <v>3089240</v>
      </c>
      <c r="H51" s="247" t="s">
        <v>3671</v>
      </c>
    </row>
    <row r="52" spans="1:8" s="236" customFormat="1" ht="15" customHeight="1">
      <c r="A52" s="243">
        <f t="shared" si="1"/>
        <v>49</v>
      </c>
      <c r="B52" s="244">
        <v>836</v>
      </c>
      <c r="C52" s="245" t="s">
        <v>3672</v>
      </c>
      <c r="D52" s="245" t="str">
        <f t="shared" si="0"/>
        <v>DRŽAVNI ARHIV U RIJECI (836)</v>
      </c>
      <c r="E52" s="245" t="s">
        <v>3673</v>
      </c>
      <c r="F52" s="245" t="s">
        <v>320</v>
      </c>
      <c r="G52" s="246">
        <v>3321088</v>
      </c>
      <c r="H52" s="247" t="s">
        <v>3674</v>
      </c>
    </row>
    <row r="53" spans="1:8" s="236" customFormat="1" ht="15" customHeight="1">
      <c r="A53" s="243">
        <f t="shared" si="1"/>
        <v>50</v>
      </c>
      <c r="B53" s="244">
        <v>844</v>
      </c>
      <c r="C53" s="245" t="s">
        <v>3675</v>
      </c>
      <c r="D53" s="245" t="str">
        <f t="shared" si="0"/>
        <v>DRŽAVNI ARHIV U SISKU (844)</v>
      </c>
      <c r="E53" s="245" t="s">
        <v>3676</v>
      </c>
      <c r="F53" s="245" t="s">
        <v>1724</v>
      </c>
      <c r="G53" s="246">
        <v>3313824</v>
      </c>
      <c r="H53" s="247" t="s">
        <v>3677</v>
      </c>
    </row>
    <row r="54" spans="1:8" s="236" customFormat="1" ht="15" customHeight="1">
      <c r="A54" s="243">
        <f t="shared" si="1"/>
        <v>51</v>
      </c>
      <c r="B54" s="244">
        <v>852</v>
      </c>
      <c r="C54" s="245" t="s">
        <v>3678</v>
      </c>
      <c r="D54" s="245" t="str">
        <f t="shared" si="0"/>
        <v>DRŽAVNI ARHIV U SLAVONSKOM BRODU (852)</v>
      </c>
      <c r="E54" s="245" t="s">
        <v>3679</v>
      </c>
      <c r="F54" s="245" t="s">
        <v>1769</v>
      </c>
      <c r="G54" s="246">
        <v>3071162</v>
      </c>
      <c r="H54" s="247" t="s">
        <v>3680</v>
      </c>
    </row>
    <row r="55" spans="1:8" s="236" customFormat="1" ht="15" customHeight="1">
      <c r="A55" s="243">
        <f t="shared" si="1"/>
        <v>52</v>
      </c>
      <c r="B55" s="244">
        <v>869</v>
      </c>
      <c r="C55" s="245" t="s">
        <v>3681</v>
      </c>
      <c r="D55" s="245" t="str">
        <f t="shared" si="0"/>
        <v>DRŽAVNI ARHIV U SPLITU (869)</v>
      </c>
      <c r="E55" s="245" t="s">
        <v>3682</v>
      </c>
      <c r="F55" s="245" t="s">
        <v>360</v>
      </c>
      <c r="G55" s="246">
        <v>3118452</v>
      </c>
      <c r="H55" s="247" t="s">
        <v>3683</v>
      </c>
    </row>
    <row r="56" spans="1:8" s="236" customFormat="1" ht="15" customHeight="1">
      <c r="A56" s="243">
        <f t="shared" si="1"/>
        <v>53</v>
      </c>
      <c r="B56" s="244">
        <v>43915</v>
      </c>
      <c r="C56" s="245" t="s">
        <v>3684</v>
      </c>
      <c r="D56" s="245" t="str">
        <f t="shared" si="0"/>
        <v>DRŽAVNI ARHIV U ŠIBENIKU (43915)</v>
      </c>
      <c r="E56" s="245" t="s">
        <v>3685</v>
      </c>
      <c r="F56" s="245" t="s">
        <v>524</v>
      </c>
      <c r="G56" s="246">
        <v>2435411</v>
      </c>
      <c r="H56" s="247" t="s">
        <v>3686</v>
      </c>
    </row>
    <row r="57" spans="1:8" s="236" customFormat="1" ht="15" customHeight="1">
      <c r="A57" s="243">
        <f t="shared" si="1"/>
        <v>54</v>
      </c>
      <c r="B57" s="244">
        <v>877</v>
      </c>
      <c r="C57" s="245" t="s">
        <v>3687</v>
      </c>
      <c r="D57" s="245" t="str">
        <f t="shared" si="0"/>
        <v>DRŽAVNI ARHIV U VARAŽDINU (877)</v>
      </c>
      <c r="E57" s="245" t="s">
        <v>3688</v>
      </c>
      <c r="F57" s="245" t="s">
        <v>445</v>
      </c>
      <c r="G57" s="246">
        <v>3006166</v>
      </c>
      <c r="H57" s="247" t="s">
        <v>3689</v>
      </c>
    </row>
    <row r="58" spans="1:8" s="236" customFormat="1" ht="15" customHeight="1">
      <c r="A58" s="243">
        <f t="shared" si="1"/>
        <v>55</v>
      </c>
      <c r="B58" s="244">
        <v>44493</v>
      </c>
      <c r="C58" s="245" t="s">
        <v>3690</v>
      </c>
      <c r="D58" s="245" t="str">
        <f t="shared" si="0"/>
        <v>DRŽAVNI ARHIV U VIROVITICI  (44493)</v>
      </c>
      <c r="E58" s="245" t="s">
        <v>3691</v>
      </c>
      <c r="F58" s="245" t="s">
        <v>527</v>
      </c>
      <c r="G58" s="246">
        <v>2494841</v>
      </c>
      <c r="H58" s="247" t="s">
        <v>3692</v>
      </c>
    </row>
    <row r="59" spans="1:8" s="236" customFormat="1" ht="15" customHeight="1">
      <c r="A59" s="243">
        <f t="shared" si="1"/>
        <v>56</v>
      </c>
      <c r="B59" s="244">
        <v>43636</v>
      </c>
      <c r="C59" s="245" t="s">
        <v>3693</v>
      </c>
      <c r="D59" s="245" t="str">
        <f t="shared" si="0"/>
        <v>DRŽAVNI ARHIV U VUKOVARU  (43636)</v>
      </c>
      <c r="E59" s="245" t="s">
        <v>3694</v>
      </c>
      <c r="F59" s="245" t="s">
        <v>501</v>
      </c>
      <c r="G59" s="246">
        <v>2334712</v>
      </c>
      <c r="H59" s="247" t="s">
        <v>3695</v>
      </c>
    </row>
    <row r="60" spans="1:8" s="236" customFormat="1" ht="15" customHeight="1">
      <c r="A60" s="243">
        <f t="shared" si="1"/>
        <v>57</v>
      </c>
      <c r="B60" s="244">
        <v>885</v>
      </c>
      <c r="C60" s="245" t="s">
        <v>3696</v>
      </c>
      <c r="D60" s="245" t="str">
        <f t="shared" si="0"/>
        <v>DRŽAVNI ARHIV U ZADRU (885)</v>
      </c>
      <c r="E60" s="245" t="s">
        <v>3697</v>
      </c>
      <c r="F60" s="245" t="s">
        <v>316</v>
      </c>
      <c r="G60" s="246">
        <v>3142019</v>
      </c>
      <c r="H60" s="247" t="s">
        <v>3698</v>
      </c>
    </row>
    <row r="61" spans="1:8" s="236" customFormat="1" ht="15" customHeight="1">
      <c r="A61" s="243">
        <f t="shared" si="1"/>
        <v>58</v>
      </c>
      <c r="B61" s="244">
        <v>893</v>
      </c>
      <c r="C61" s="245" t="s">
        <v>3699</v>
      </c>
      <c r="D61" s="245" t="str">
        <f t="shared" si="0"/>
        <v>DRŽAVNI ARHIV U ZAGREBU (893)</v>
      </c>
      <c r="E61" s="245" t="s">
        <v>3700</v>
      </c>
      <c r="F61" s="245" t="s">
        <v>275</v>
      </c>
      <c r="G61" s="246">
        <v>3224953</v>
      </c>
      <c r="H61" s="247" t="s">
        <v>3701</v>
      </c>
    </row>
    <row r="62" spans="1:8" s="236" customFormat="1" ht="15" customHeight="1">
      <c r="A62" s="243">
        <f t="shared" si="1"/>
        <v>59</v>
      </c>
      <c r="B62" s="244">
        <v>43644</v>
      </c>
      <c r="C62" s="245" t="s">
        <v>3702</v>
      </c>
      <c r="D62" s="245" t="str">
        <f t="shared" si="0"/>
        <v>DRŽAVNI ARHIV ZA MEĐIMURJE  (43644)</v>
      </c>
      <c r="E62" s="245" t="s">
        <v>3703</v>
      </c>
      <c r="F62" s="245" t="s">
        <v>3704</v>
      </c>
      <c r="G62" s="246">
        <v>2326086</v>
      </c>
      <c r="H62" s="247" t="s">
        <v>3705</v>
      </c>
    </row>
    <row r="63" spans="1:8" s="236" customFormat="1" ht="15" customHeight="1">
      <c r="A63" s="243">
        <f t="shared" si="1"/>
        <v>60</v>
      </c>
      <c r="B63" s="244">
        <v>764</v>
      </c>
      <c r="C63" s="245" t="s">
        <v>3706</v>
      </c>
      <c r="D63" s="245" t="str">
        <f t="shared" si="0"/>
        <v>HRVATSKI DRŽAVNI ARHIV (764)</v>
      </c>
      <c r="E63" s="245" t="s">
        <v>3707</v>
      </c>
      <c r="F63" s="245" t="s">
        <v>275</v>
      </c>
      <c r="G63" s="246">
        <v>3205380</v>
      </c>
      <c r="H63" s="247" t="s">
        <v>3708</v>
      </c>
    </row>
    <row r="64" spans="1:8" s="236" customFormat="1" ht="15" customHeight="1">
      <c r="A64" s="243">
        <f t="shared" si="1"/>
        <v>61</v>
      </c>
      <c r="B64" s="244">
        <v>40623</v>
      </c>
      <c r="C64" s="245" t="s">
        <v>3709</v>
      </c>
      <c r="D64" s="245" t="str">
        <f t="shared" si="0"/>
        <v>HRVATSKI MEMORIJALNO-DOKUMENTACIJSKI CENTAR DOMOVINSKOGA RATA (40623)</v>
      </c>
      <c r="E64" s="245" t="s">
        <v>3710</v>
      </c>
      <c r="F64" s="245" t="s">
        <v>275</v>
      </c>
      <c r="G64" s="246">
        <v>1909592</v>
      </c>
      <c r="H64" s="247" t="s">
        <v>3711</v>
      </c>
    </row>
    <row r="65" spans="1:8" s="236" customFormat="1" ht="15" customHeight="1">
      <c r="A65" s="243">
        <f t="shared" si="1"/>
        <v>62</v>
      </c>
      <c r="B65" s="244">
        <v>924</v>
      </c>
      <c r="C65" s="245" t="s">
        <v>3712</v>
      </c>
      <c r="D65" s="245" t="str">
        <f t="shared" si="0"/>
        <v>ARHEOLOŠKI MUZEJ ISTRE (924)</v>
      </c>
      <c r="E65" s="245" t="s">
        <v>3713</v>
      </c>
      <c r="F65" s="245" t="s">
        <v>306</v>
      </c>
      <c r="G65" s="246">
        <v>3203727</v>
      </c>
      <c r="H65" s="247" t="s">
        <v>3714</v>
      </c>
    </row>
    <row r="66" spans="1:8" s="236" customFormat="1" ht="15" customHeight="1">
      <c r="A66" s="243">
        <f t="shared" si="1"/>
        <v>63</v>
      </c>
      <c r="B66" s="244">
        <v>40631</v>
      </c>
      <c r="C66" s="245" t="s">
        <v>3715</v>
      </c>
      <c r="D66" s="245" t="str">
        <f t="shared" si="0"/>
        <v>ARHEOLOŠKI MUZEJ NARONA (40631)</v>
      </c>
      <c r="E66" s="245" t="s">
        <v>3716</v>
      </c>
      <c r="F66" s="245" t="s">
        <v>3717</v>
      </c>
      <c r="G66" s="246">
        <v>2071061</v>
      </c>
      <c r="H66" s="247" t="s">
        <v>3718</v>
      </c>
    </row>
    <row r="67" spans="1:8" s="236" customFormat="1" ht="15" customHeight="1">
      <c r="A67" s="243">
        <f t="shared" si="1"/>
        <v>64</v>
      </c>
      <c r="B67" s="244">
        <v>50090</v>
      </c>
      <c r="C67" s="245" t="s">
        <v>3719</v>
      </c>
      <c r="D67" s="245" t="str">
        <f t="shared" si="0"/>
        <v>ARHEOLOŠKI MUZEJ OSIJEK (50090)</v>
      </c>
      <c r="E67" s="245" t="s">
        <v>3720</v>
      </c>
      <c r="F67" s="245" t="s">
        <v>278</v>
      </c>
      <c r="G67" s="246">
        <v>4857283</v>
      </c>
      <c r="H67" s="247" t="s">
        <v>3721</v>
      </c>
    </row>
    <row r="68" spans="1:8" s="236" customFormat="1" ht="15" customHeight="1">
      <c r="A68" s="243">
        <f t="shared" si="1"/>
        <v>65</v>
      </c>
      <c r="B68" s="244">
        <v>908</v>
      </c>
      <c r="C68" s="245" t="s">
        <v>3722</v>
      </c>
      <c r="D68" s="245" t="str">
        <f t="shared" ref="D68:D131" si="2">C68&amp;" ("&amp;B68&amp;")"</f>
        <v>ARHEOLOŠKI MUZEJ U SPLITU (908)</v>
      </c>
      <c r="E68" s="245" t="s">
        <v>3723</v>
      </c>
      <c r="F68" s="245" t="s">
        <v>360</v>
      </c>
      <c r="G68" s="246">
        <v>3118380</v>
      </c>
      <c r="H68" s="247" t="s">
        <v>3724</v>
      </c>
    </row>
    <row r="69" spans="1:8" s="236" customFormat="1" ht="15" customHeight="1">
      <c r="A69" s="243">
        <f t="shared" si="1"/>
        <v>66</v>
      </c>
      <c r="B69" s="244">
        <v>916</v>
      </c>
      <c r="C69" s="245" t="s">
        <v>3725</v>
      </c>
      <c r="D69" s="245" t="str">
        <f t="shared" si="2"/>
        <v>ARHEOLOŠKI MUZEJ ZADAR (916)</v>
      </c>
      <c r="E69" s="245" t="s">
        <v>3726</v>
      </c>
      <c r="F69" s="245" t="s">
        <v>3727</v>
      </c>
      <c r="G69" s="246">
        <v>3132170</v>
      </c>
      <c r="H69" s="247" t="s">
        <v>3728</v>
      </c>
    </row>
    <row r="70" spans="1:8" s="236" customFormat="1" ht="15" customHeight="1">
      <c r="A70" s="243">
        <f t="shared" ref="A70:A121" si="3">+A69+1</f>
        <v>67</v>
      </c>
      <c r="B70" s="244">
        <v>932</v>
      </c>
      <c r="C70" s="245" t="s">
        <v>3729</v>
      </c>
      <c r="D70" s="245" t="str">
        <f t="shared" si="2"/>
        <v>DVOR TRAKOŠČAN (932)</v>
      </c>
      <c r="E70" s="245" t="s">
        <v>3730</v>
      </c>
      <c r="F70" s="245" t="s">
        <v>3731</v>
      </c>
      <c r="G70" s="246">
        <v>3125483</v>
      </c>
      <c r="H70" s="247" t="s">
        <v>3732</v>
      </c>
    </row>
    <row r="71" spans="1:8" s="236" customFormat="1" ht="15" customHeight="1">
      <c r="A71" s="243">
        <f t="shared" si="3"/>
        <v>68</v>
      </c>
      <c r="B71" s="244">
        <v>22242</v>
      </c>
      <c r="C71" s="252" t="s">
        <v>3733</v>
      </c>
      <c r="D71" s="245" t="str">
        <f t="shared" si="2"/>
        <v>GALERIJA KLOVIĆEVI DVORI (22242)</v>
      </c>
      <c r="E71" s="252" t="s">
        <v>3734</v>
      </c>
      <c r="F71" s="252" t="s">
        <v>275</v>
      </c>
      <c r="G71" s="253">
        <v>1426672</v>
      </c>
      <c r="H71" s="247" t="s">
        <v>3735</v>
      </c>
    </row>
    <row r="72" spans="1:8" s="236" customFormat="1" ht="15" customHeight="1">
      <c r="A72" s="243">
        <f t="shared" si="3"/>
        <v>69</v>
      </c>
      <c r="B72" s="244">
        <v>6146</v>
      </c>
      <c r="C72" s="245" t="s">
        <v>3736</v>
      </c>
      <c r="D72" s="245" t="str">
        <f t="shared" si="2"/>
        <v>HRVATSKI MUZEJ NAIVNE UMJETNOSTI (6146)</v>
      </c>
      <c r="E72" s="245" t="s">
        <v>3737</v>
      </c>
      <c r="F72" s="245" t="s">
        <v>275</v>
      </c>
      <c r="G72" s="246">
        <v>738751</v>
      </c>
      <c r="H72" s="247" t="s">
        <v>3738</v>
      </c>
    </row>
    <row r="73" spans="1:8" s="236" customFormat="1" ht="15" customHeight="1">
      <c r="A73" s="243">
        <f t="shared" si="3"/>
        <v>70</v>
      </c>
      <c r="B73" s="244">
        <v>43907</v>
      </c>
      <c r="C73" s="245" t="s">
        <v>3739</v>
      </c>
      <c r="D73" s="245" t="str">
        <f t="shared" si="2"/>
        <v>HRVATSKI MUZEJ TURIZMA (43907)</v>
      </c>
      <c r="E73" s="245" t="s">
        <v>3740</v>
      </c>
      <c r="F73" s="245" t="s">
        <v>330</v>
      </c>
      <c r="G73" s="246">
        <v>2298651</v>
      </c>
      <c r="H73" s="247" t="s">
        <v>3741</v>
      </c>
    </row>
    <row r="74" spans="1:8" s="236" customFormat="1" ht="15" customHeight="1">
      <c r="A74" s="243">
        <f t="shared" si="3"/>
        <v>71</v>
      </c>
      <c r="B74" s="244">
        <v>965</v>
      </c>
      <c r="C74" s="245" t="s">
        <v>3742</v>
      </c>
      <c r="D74" s="245" t="str">
        <f t="shared" si="2"/>
        <v>HRVATSKI POVIJESNI MUZEJ (965)</v>
      </c>
      <c r="E74" s="245" t="s">
        <v>3743</v>
      </c>
      <c r="F74" s="245" t="s">
        <v>275</v>
      </c>
      <c r="G74" s="246">
        <v>3212084</v>
      </c>
      <c r="H74" s="247" t="s">
        <v>3744</v>
      </c>
    </row>
    <row r="75" spans="1:8" s="236" customFormat="1" ht="15" customHeight="1">
      <c r="A75" s="243">
        <f t="shared" si="3"/>
        <v>72</v>
      </c>
      <c r="B75" s="244">
        <v>40682</v>
      </c>
      <c r="C75" s="245" t="s">
        <v>3745</v>
      </c>
      <c r="D75" s="245" t="str">
        <f t="shared" si="2"/>
        <v>HRVATSKI ŠPORTSKI MUZEJ (40682)</v>
      </c>
      <c r="E75" s="254" t="s">
        <v>3746</v>
      </c>
      <c r="F75" s="245" t="s">
        <v>275</v>
      </c>
      <c r="G75" s="253">
        <v>1783815</v>
      </c>
      <c r="H75" s="247" t="s">
        <v>3747</v>
      </c>
    </row>
    <row r="76" spans="1:8" s="236" customFormat="1" ht="15" customHeight="1">
      <c r="A76" s="243">
        <f t="shared" si="3"/>
        <v>73</v>
      </c>
      <c r="B76" s="244">
        <v>23593</v>
      </c>
      <c r="C76" s="245" t="s">
        <v>3748</v>
      </c>
      <c r="D76" s="245" t="str">
        <f t="shared" si="2"/>
        <v>J. U. SPOMEN PODRUČJE JASENOVAC (23593)</v>
      </c>
      <c r="E76" s="245" t="s">
        <v>3749</v>
      </c>
      <c r="F76" s="245" t="s">
        <v>3750</v>
      </c>
      <c r="G76" s="246">
        <v>3201678</v>
      </c>
      <c r="H76" s="247" t="s">
        <v>3751</v>
      </c>
    </row>
    <row r="77" spans="1:8" s="236" customFormat="1" ht="15" customHeight="1">
      <c r="A77" s="243">
        <f t="shared" si="3"/>
        <v>74</v>
      </c>
      <c r="B77" s="244">
        <v>22347</v>
      </c>
      <c r="C77" s="245" t="s">
        <v>3752</v>
      </c>
      <c r="D77" s="245" t="str">
        <f t="shared" si="2"/>
        <v>J. U. ZBIRKA UMJETNINA ANTE I WILTRUDE TOPIĆ MIMARA  (22347)</v>
      </c>
      <c r="E77" s="245" t="s">
        <v>3753</v>
      </c>
      <c r="F77" s="245" t="s">
        <v>275</v>
      </c>
      <c r="G77" s="246">
        <v>1425684</v>
      </c>
      <c r="H77" s="247" t="s">
        <v>3754</v>
      </c>
    </row>
    <row r="78" spans="1:8" s="236" customFormat="1" ht="15" customHeight="1">
      <c r="A78" s="243">
        <f t="shared" si="3"/>
        <v>75</v>
      </c>
      <c r="B78" s="244">
        <v>973</v>
      </c>
      <c r="C78" s="245" t="s">
        <v>3755</v>
      </c>
      <c r="D78" s="245" t="str">
        <f t="shared" si="2"/>
        <v>MODERNA GALERIJA (973)</v>
      </c>
      <c r="E78" s="245" t="s">
        <v>3756</v>
      </c>
      <c r="F78" s="245" t="s">
        <v>275</v>
      </c>
      <c r="G78" s="246">
        <v>3205240</v>
      </c>
      <c r="H78" s="247" t="s">
        <v>3757</v>
      </c>
    </row>
    <row r="79" spans="1:8" s="236" customFormat="1" ht="15" customHeight="1">
      <c r="A79" s="243">
        <f t="shared" si="3"/>
        <v>76</v>
      </c>
      <c r="B79" s="244">
        <v>42112</v>
      </c>
      <c r="C79" s="245" t="s">
        <v>3758</v>
      </c>
      <c r="D79" s="245" t="str">
        <f t="shared" si="2"/>
        <v>MUZEJ ANTIČKOG STAKLA ZADAR (42112)</v>
      </c>
      <c r="E79" s="245" t="s">
        <v>3759</v>
      </c>
      <c r="F79" s="245" t="s">
        <v>316</v>
      </c>
      <c r="G79" s="246">
        <v>2106698</v>
      </c>
      <c r="H79" s="247" t="s">
        <v>3760</v>
      </c>
    </row>
    <row r="80" spans="1:8" s="236" customFormat="1" ht="15" customHeight="1">
      <c r="A80" s="243">
        <f t="shared" si="3"/>
        <v>77</v>
      </c>
      <c r="B80" s="244">
        <v>990</v>
      </c>
      <c r="C80" s="245" t="s">
        <v>3761</v>
      </c>
      <c r="D80" s="245" t="str">
        <f t="shared" si="2"/>
        <v>MUZEJ HRVATSKIH ARHEOLOŠKIH SPOMENIKA SPLIT (990)</v>
      </c>
      <c r="E80" s="245" t="s">
        <v>3762</v>
      </c>
      <c r="F80" s="245" t="s">
        <v>360</v>
      </c>
      <c r="G80" s="246">
        <v>3119904</v>
      </c>
      <c r="H80" s="247" t="s">
        <v>3763</v>
      </c>
    </row>
    <row r="81" spans="1:10" s="236" customFormat="1" ht="15" customHeight="1">
      <c r="A81" s="243">
        <f t="shared" si="3"/>
        <v>78</v>
      </c>
      <c r="B81" s="244">
        <v>1011</v>
      </c>
      <c r="C81" s="245" t="s">
        <v>3764</v>
      </c>
      <c r="D81" s="245" t="str">
        <f t="shared" si="2"/>
        <v>MUZEJ HRVATSKOG ZAGORJA (1011)</v>
      </c>
      <c r="E81" s="245" t="s">
        <v>3765</v>
      </c>
      <c r="F81" s="245" t="s">
        <v>3766</v>
      </c>
      <c r="G81" s="246">
        <v>207349</v>
      </c>
      <c r="H81" s="247" t="s">
        <v>3767</v>
      </c>
    </row>
    <row r="82" spans="1:10" s="236" customFormat="1" ht="15" customHeight="1">
      <c r="A82" s="243">
        <f t="shared" si="3"/>
        <v>79</v>
      </c>
      <c r="B82" s="244">
        <v>1003</v>
      </c>
      <c r="C82" s="245" t="s">
        <v>3768</v>
      </c>
      <c r="D82" s="245" t="str">
        <f t="shared" si="2"/>
        <v>MUZEJ SLAVONIJE OSIJEK (1003)</v>
      </c>
      <c r="E82" s="245" t="s">
        <v>3769</v>
      </c>
      <c r="F82" s="245" t="s">
        <v>278</v>
      </c>
      <c r="G82" s="246">
        <v>3014207</v>
      </c>
      <c r="H82" s="247" t="s">
        <v>3770</v>
      </c>
    </row>
    <row r="83" spans="1:10" s="236" customFormat="1" ht="15" customHeight="1">
      <c r="A83" s="243">
        <f t="shared" si="3"/>
        <v>80</v>
      </c>
      <c r="B83" s="244">
        <v>47908</v>
      </c>
      <c r="C83" s="245" t="s">
        <v>3771</v>
      </c>
      <c r="D83" s="245" t="str">
        <f t="shared" si="2"/>
        <v>MUZEJ VUČEDOLSKE KULTURE (47908)</v>
      </c>
      <c r="E83" s="245" t="s">
        <v>3772</v>
      </c>
      <c r="F83" s="245" t="s">
        <v>501</v>
      </c>
      <c r="G83" s="246">
        <v>4016408</v>
      </c>
      <c r="H83" s="247" t="s">
        <v>3773</v>
      </c>
    </row>
    <row r="84" spans="1:10" s="236" customFormat="1" ht="15" customHeight="1">
      <c r="A84" s="243">
        <f t="shared" si="3"/>
        <v>81</v>
      </c>
      <c r="B84" s="244">
        <v>949</v>
      </c>
      <c r="C84" s="245" t="s">
        <v>3774</v>
      </c>
      <c r="D84" s="245" t="str">
        <f t="shared" si="2"/>
        <v>MUZEJI IVANA MEŠTROVIĆA  (949)</v>
      </c>
      <c r="E84" s="245" t="s">
        <v>3775</v>
      </c>
      <c r="F84" s="245" t="s">
        <v>360</v>
      </c>
      <c r="G84" s="246">
        <v>3751783</v>
      </c>
      <c r="H84" s="247" t="s">
        <v>3776</v>
      </c>
    </row>
    <row r="85" spans="1:10" s="236" customFormat="1" ht="15" customHeight="1">
      <c r="A85" s="243">
        <f t="shared" si="3"/>
        <v>82</v>
      </c>
      <c r="B85" s="244">
        <v>1020</v>
      </c>
      <c r="C85" s="245" t="s">
        <v>3777</v>
      </c>
      <c r="D85" s="245" t="str">
        <f t="shared" si="2"/>
        <v>MUZEJSKI DOKUMENTACIJSKI CENTAR (1020)</v>
      </c>
      <c r="E85" s="245" t="s">
        <v>3778</v>
      </c>
      <c r="F85" s="245" t="s">
        <v>275</v>
      </c>
      <c r="G85" s="246">
        <v>3205258</v>
      </c>
      <c r="H85" s="247" t="s">
        <v>3779</v>
      </c>
    </row>
    <row r="86" spans="1:10" s="236" customFormat="1" ht="15" customHeight="1">
      <c r="A86" s="243">
        <f t="shared" si="3"/>
        <v>83</v>
      </c>
      <c r="B86" s="244">
        <v>1038</v>
      </c>
      <c r="C86" s="245" t="s">
        <v>3780</v>
      </c>
      <c r="D86" s="245" t="str">
        <f t="shared" si="2"/>
        <v>TIFLOLOŠKI MUZEJ (1038)</v>
      </c>
      <c r="E86" s="245" t="s">
        <v>3781</v>
      </c>
      <c r="F86" s="245" t="s">
        <v>275</v>
      </c>
      <c r="G86" s="246">
        <v>3270564</v>
      </c>
      <c r="H86" s="247" t="s">
        <v>3782</v>
      </c>
    </row>
    <row r="87" spans="1:10" s="242" customFormat="1" ht="15" customHeight="1">
      <c r="A87" s="243">
        <f t="shared" si="3"/>
        <v>84</v>
      </c>
      <c r="B87" s="244">
        <v>49075</v>
      </c>
      <c r="C87" s="245" t="s">
        <v>3783</v>
      </c>
      <c r="D87" s="245" t="str">
        <f t="shared" si="2"/>
        <v>AGENCIJA ZA ELEKTRONIČKE MEDIJE (49075)</v>
      </c>
      <c r="E87" s="245" t="s">
        <v>3784</v>
      </c>
      <c r="F87" s="245" t="s">
        <v>275</v>
      </c>
      <c r="G87" s="248" t="s">
        <v>3785</v>
      </c>
      <c r="H87" s="247" t="s">
        <v>3786</v>
      </c>
      <c r="J87" s="236"/>
    </row>
    <row r="88" spans="1:10" ht="15" customHeight="1">
      <c r="A88" s="243">
        <f t="shared" si="3"/>
        <v>85</v>
      </c>
      <c r="B88" s="244">
        <v>1046</v>
      </c>
      <c r="C88" s="245" t="s">
        <v>3787</v>
      </c>
      <c r="D88" s="245" t="str">
        <f t="shared" si="2"/>
        <v>ANSAMBL LADO (1046)</v>
      </c>
      <c r="E88" s="245" t="s">
        <v>3788</v>
      </c>
      <c r="F88" s="245" t="s">
        <v>275</v>
      </c>
      <c r="G88" s="246">
        <v>3213862</v>
      </c>
      <c r="H88" s="247" t="s">
        <v>3789</v>
      </c>
      <c r="J88" s="236"/>
    </row>
    <row r="89" spans="1:10" ht="15" customHeight="1">
      <c r="A89" s="243">
        <f t="shared" si="3"/>
        <v>86</v>
      </c>
      <c r="B89" s="244">
        <v>23585</v>
      </c>
      <c r="C89" s="245" t="s">
        <v>3790</v>
      </c>
      <c r="D89" s="245" t="str">
        <f t="shared" si="2"/>
        <v>HRVATSKA KNJIŽNICA ZA SLIJEPE (23585)</v>
      </c>
      <c r="E89" s="245" t="s">
        <v>3791</v>
      </c>
      <c r="F89" s="245" t="s">
        <v>275</v>
      </c>
      <c r="G89" s="246">
        <v>1494449</v>
      </c>
      <c r="H89" s="247" t="s">
        <v>3792</v>
      </c>
      <c r="J89" s="236"/>
    </row>
    <row r="90" spans="1:10" ht="15" customHeight="1">
      <c r="A90" s="243">
        <f t="shared" si="3"/>
        <v>87</v>
      </c>
      <c r="B90" s="244">
        <v>44926</v>
      </c>
      <c r="C90" s="245" t="s">
        <v>3793</v>
      </c>
      <c r="D90" s="245" t="str">
        <f t="shared" si="2"/>
        <v>HRVATSKI AUDIOVIZUALNI CENTAR (44926)</v>
      </c>
      <c r="E90" s="245" t="s">
        <v>3794</v>
      </c>
      <c r="F90" s="245" t="s">
        <v>275</v>
      </c>
      <c r="G90" s="246">
        <v>2275341</v>
      </c>
      <c r="H90" s="247" t="s">
        <v>3795</v>
      </c>
      <c r="J90" s="236"/>
    </row>
    <row r="91" spans="1:10" ht="15" customHeight="1">
      <c r="A91" s="243">
        <f t="shared" si="3"/>
        <v>88</v>
      </c>
      <c r="B91" s="244">
        <v>22339</v>
      </c>
      <c r="C91" s="245" t="s">
        <v>3796</v>
      </c>
      <c r="D91" s="245" t="str">
        <f t="shared" si="2"/>
        <v>HRVATSKI RESTAURATORSKI ZAVOD (22339)</v>
      </c>
      <c r="E91" s="245" t="s">
        <v>3797</v>
      </c>
      <c r="F91" s="245" t="s">
        <v>275</v>
      </c>
      <c r="G91" s="246">
        <v>1250795</v>
      </c>
      <c r="H91" s="247" t="s">
        <v>3798</v>
      </c>
      <c r="J91" s="236"/>
    </row>
    <row r="92" spans="1:10" ht="15" customHeight="1">
      <c r="A92" s="243">
        <f t="shared" si="3"/>
        <v>89</v>
      </c>
      <c r="B92" s="244">
        <v>25878</v>
      </c>
      <c r="C92" s="245" t="s">
        <v>3799</v>
      </c>
      <c r="D92" s="245" t="str">
        <f t="shared" si="2"/>
        <v>HRVATSKO NARODNO KAZALIŠTE (25878)</v>
      </c>
      <c r="E92" s="245" t="s">
        <v>3800</v>
      </c>
      <c r="F92" s="245" t="s">
        <v>275</v>
      </c>
      <c r="G92" s="246">
        <v>3205479</v>
      </c>
      <c r="H92" s="247" t="s">
        <v>3801</v>
      </c>
      <c r="J92" s="236"/>
    </row>
    <row r="93" spans="1:10" ht="15" customHeight="1">
      <c r="A93" s="243">
        <f t="shared" si="3"/>
        <v>90</v>
      </c>
      <c r="B93" s="244">
        <v>45189</v>
      </c>
      <c r="C93" s="245" t="s">
        <v>3802</v>
      </c>
      <c r="D93" s="245" t="str">
        <f t="shared" si="2"/>
        <v>MEĐUNARODNI CENTAR ZA PODVODNU ARHEOLOGIJU (45189)</v>
      </c>
      <c r="E93" s="245" t="s">
        <v>3803</v>
      </c>
      <c r="F93" s="245" t="s">
        <v>316</v>
      </c>
      <c r="G93" s="246">
        <v>2479184</v>
      </c>
      <c r="H93" s="247" t="s">
        <v>3804</v>
      </c>
      <c r="J93" s="236"/>
    </row>
    <row r="94" spans="1:10" s="236" customFormat="1" ht="15" customHeight="1">
      <c r="A94" s="231">
        <f t="shared" si="3"/>
        <v>91</v>
      </c>
      <c r="B94" s="238">
        <v>1079</v>
      </c>
      <c r="C94" s="239" t="s">
        <v>3805</v>
      </c>
      <c r="D94" s="245" t="str">
        <f t="shared" si="2"/>
        <v>MINISTARSTVO POLJOPRIVREDE (1079)</v>
      </c>
      <c r="E94" s="239" t="s">
        <v>608</v>
      </c>
      <c r="F94" s="239" t="s">
        <v>275</v>
      </c>
      <c r="G94" s="240">
        <v>3271005</v>
      </c>
      <c r="H94" s="241" t="s">
        <v>3806</v>
      </c>
    </row>
    <row r="95" spans="1:10" ht="15" customHeight="1">
      <c r="A95" s="243">
        <f t="shared" si="3"/>
        <v>92</v>
      </c>
      <c r="B95" s="244">
        <v>45927</v>
      </c>
      <c r="C95" s="245" t="s">
        <v>3807</v>
      </c>
      <c r="D95" s="245" t="str">
        <f t="shared" si="2"/>
        <v>AGENCIJA ZA PLAĆANJA U POLJOPRIVREDI, RIBARSTVU I RURALNOM RAZVOJU (45927)</v>
      </c>
      <c r="E95" s="245" t="s">
        <v>3808</v>
      </c>
      <c r="F95" s="255" t="s">
        <v>275</v>
      </c>
      <c r="G95" s="246">
        <v>2593262</v>
      </c>
      <c r="H95" s="247" t="s">
        <v>3809</v>
      </c>
      <c r="J95" s="236"/>
    </row>
    <row r="96" spans="1:10" ht="15" customHeight="1">
      <c r="A96" s="243">
        <f t="shared" si="3"/>
        <v>93</v>
      </c>
      <c r="B96" s="244">
        <v>44565</v>
      </c>
      <c r="C96" s="245" t="s">
        <v>3810</v>
      </c>
      <c r="D96" s="245" t="str">
        <f t="shared" si="2"/>
        <v>HRVATSKA AGENCIJA ZA POLJOPRIVREDU I HRANU (44565)</v>
      </c>
      <c r="E96" s="255" t="s">
        <v>3811</v>
      </c>
      <c r="F96" s="255" t="s">
        <v>278</v>
      </c>
      <c r="G96" s="246">
        <v>2528614</v>
      </c>
      <c r="H96" s="247" t="s">
        <v>3812</v>
      </c>
      <c r="J96" s="236"/>
    </row>
    <row r="97" spans="1:10" ht="15" customHeight="1">
      <c r="A97" s="243">
        <f t="shared" si="3"/>
        <v>94</v>
      </c>
      <c r="B97" s="244">
        <v>48103</v>
      </c>
      <c r="C97" s="245" t="s">
        <v>3813</v>
      </c>
      <c r="D97" s="245" t="str">
        <f t="shared" si="2"/>
        <v>DRŽAVNA ERGELA ĐAKOVO I LIPIK (48103)</v>
      </c>
      <c r="E97" s="255" t="s">
        <v>3814</v>
      </c>
      <c r="F97" s="255" t="s">
        <v>299</v>
      </c>
      <c r="G97" s="246">
        <v>2725029</v>
      </c>
      <c r="H97" s="247" t="s">
        <v>3815</v>
      </c>
      <c r="J97" s="236"/>
    </row>
    <row r="98" spans="1:10" s="236" customFormat="1" ht="15" customHeight="1">
      <c r="A98" s="231">
        <f t="shared" si="3"/>
        <v>95</v>
      </c>
      <c r="B98" s="238">
        <v>47123</v>
      </c>
      <c r="C98" s="239" t="s">
        <v>3816</v>
      </c>
      <c r="D98" s="245" t="str">
        <f t="shared" si="2"/>
        <v>MINISTARSTVO REGIONALNOG RAZVOJA I FONDOVA EUROPSKE UNIJE  (47123)</v>
      </c>
      <c r="E98" s="239" t="s">
        <v>3817</v>
      </c>
      <c r="F98" s="239" t="s">
        <v>275</v>
      </c>
      <c r="G98" s="240">
        <v>2830442</v>
      </c>
      <c r="H98" s="241" t="s">
        <v>3818</v>
      </c>
    </row>
    <row r="99" spans="1:10" ht="15" customHeight="1">
      <c r="A99" s="243">
        <f t="shared" si="3"/>
        <v>96</v>
      </c>
      <c r="B99" s="244">
        <v>46366</v>
      </c>
      <c r="C99" s="245" t="s">
        <v>3819</v>
      </c>
      <c r="D99" s="245" t="str">
        <f t="shared" si="2"/>
        <v>FOND ZA OBNOVU I RAZVOJ GRADA VUKOVARA (46366)</v>
      </c>
      <c r="E99" s="245" t="s">
        <v>3820</v>
      </c>
      <c r="F99" s="245" t="s">
        <v>501</v>
      </c>
      <c r="G99" s="246">
        <v>1606492</v>
      </c>
      <c r="H99" s="247" t="s">
        <v>3821</v>
      </c>
      <c r="J99" s="236"/>
    </row>
    <row r="100" spans="1:10" ht="15" customHeight="1">
      <c r="A100" s="243">
        <f t="shared" si="3"/>
        <v>97</v>
      </c>
      <c r="B100" s="244">
        <v>43255</v>
      </c>
      <c r="C100" s="245" t="s">
        <v>3822</v>
      </c>
      <c r="D100" s="245" t="str">
        <f t="shared" si="2"/>
        <v>SREDIŠNJA AGENCIJA ZA FINANCIRANJE I UGOVARANJE PROGRAMA I PROJEKATA EU (43255)</v>
      </c>
      <c r="E100" s="245" t="s">
        <v>3823</v>
      </c>
      <c r="F100" s="245" t="s">
        <v>275</v>
      </c>
      <c r="G100" s="246">
        <v>2288028</v>
      </c>
      <c r="H100" s="247" t="s">
        <v>3824</v>
      </c>
      <c r="J100" s="236"/>
    </row>
    <row r="101" spans="1:10" s="236" customFormat="1" ht="15" customHeight="1">
      <c r="A101" s="231">
        <f t="shared" si="3"/>
        <v>98</v>
      </c>
      <c r="B101" s="238">
        <v>1087</v>
      </c>
      <c r="C101" s="239" t="s">
        <v>3825</v>
      </c>
      <c r="D101" s="245" t="str">
        <f t="shared" si="2"/>
        <v>MINISTARSTVO MORA, PROMETA I INFRASTRUKTURE (1087)</v>
      </c>
      <c r="E101" s="239" t="s">
        <v>3826</v>
      </c>
      <c r="F101" s="239" t="s">
        <v>275</v>
      </c>
      <c r="G101" s="240">
        <v>3277097</v>
      </c>
      <c r="H101" s="241" t="s">
        <v>3827</v>
      </c>
    </row>
    <row r="102" spans="1:10" ht="15" customHeight="1">
      <c r="A102" s="243">
        <f t="shared" si="3"/>
        <v>99</v>
      </c>
      <c r="B102" s="244">
        <v>41546</v>
      </c>
      <c r="C102" s="245" t="s">
        <v>3828</v>
      </c>
      <c r="D102" s="245" t="str">
        <f t="shared" si="2"/>
        <v>AGENCIJA ZA OBALNI LINIJSKI POMORSKI PROMET (41546)</v>
      </c>
      <c r="E102" s="245" t="s">
        <v>3829</v>
      </c>
      <c r="F102" s="245" t="s">
        <v>360</v>
      </c>
      <c r="G102" s="246">
        <v>2097958</v>
      </c>
      <c r="H102" s="247" t="s">
        <v>3830</v>
      </c>
      <c r="J102" s="236"/>
    </row>
    <row r="103" spans="1:10" ht="15" customHeight="1">
      <c r="A103" s="243">
        <f t="shared" si="3"/>
        <v>100</v>
      </c>
      <c r="B103" s="244">
        <v>48031</v>
      </c>
      <c r="C103" s="245" t="s">
        <v>3831</v>
      </c>
      <c r="D103" s="245" t="str">
        <f t="shared" si="2"/>
        <v>AGENCIJA ZA ISTRAŽIVANJE NESREĆA U ZRAČNOM, POMORSKOM I ŽELJEZNIČKOM PROMETU (48031)</v>
      </c>
      <c r="E103" s="245" t="s">
        <v>3832</v>
      </c>
      <c r="F103" s="245" t="s">
        <v>275</v>
      </c>
      <c r="G103" s="248" t="s">
        <v>3833</v>
      </c>
      <c r="H103" s="247" t="s">
        <v>3834</v>
      </c>
      <c r="J103" s="236"/>
    </row>
    <row r="104" spans="1:10" ht="15" customHeight="1">
      <c r="A104" s="243">
        <f t="shared" si="3"/>
        <v>101</v>
      </c>
      <c r="B104" s="244">
        <v>45228</v>
      </c>
      <c r="C104" s="245" t="s">
        <v>3835</v>
      </c>
      <c r="D104" s="245" t="str">
        <f t="shared" si="2"/>
        <v>AGENCIJA ZA SIGURNOST ŽELJEZNIČKOG PROMETA (45228)</v>
      </c>
      <c r="E104" s="245" t="s">
        <v>3836</v>
      </c>
      <c r="F104" s="245" t="s">
        <v>275</v>
      </c>
      <c r="G104" s="246">
        <v>2559633</v>
      </c>
      <c r="H104" s="247" t="s">
        <v>3837</v>
      </c>
      <c r="J104" s="236"/>
    </row>
    <row r="105" spans="1:10" s="242" customFormat="1" ht="15" customHeight="1">
      <c r="A105" s="243">
        <f t="shared" si="3"/>
        <v>102</v>
      </c>
      <c r="B105" s="244">
        <v>49083</v>
      </c>
      <c r="C105" s="245" t="s">
        <v>3838</v>
      </c>
      <c r="D105" s="245" t="str">
        <f t="shared" si="2"/>
        <v>HRVATSKA AGENCIJA ZA CIVILNO ZRAKOPLOVSTVO (49083)</v>
      </c>
      <c r="E105" s="245" t="s">
        <v>3823</v>
      </c>
      <c r="F105" s="245" t="s">
        <v>275</v>
      </c>
      <c r="G105" s="248" t="s">
        <v>3839</v>
      </c>
      <c r="H105" s="247" t="s">
        <v>3840</v>
      </c>
      <c r="J105" s="236"/>
    </row>
    <row r="106" spans="1:10" ht="15" customHeight="1">
      <c r="A106" s="243">
        <f t="shared" si="3"/>
        <v>103</v>
      </c>
      <c r="B106" s="244">
        <v>6066</v>
      </c>
      <c r="C106" s="245" t="s">
        <v>3841</v>
      </c>
      <c r="D106" s="245" t="str">
        <f t="shared" si="2"/>
        <v>HRVATSKI HIDROGRAFSKI INSTITUT (6066)</v>
      </c>
      <c r="E106" s="245" t="s">
        <v>3842</v>
      </c>
      <c r="F106" s="245" t="s">
        <v>360</v>
      </c>
      <c r="G106" s="246">
        <v>3878724</v>
      </c>
      <c r="H106" s="247" t="s">
        <v>3843</v>
      </c>
      <c r="J106" s="236"/>
    </row>
    <row r="107" spans="1:10" ht="15" customHeight="1">
      <c r="A107" s="243">
        <f t="shared" si="3"/>
        <v>104</v>
      </c>
      <c r="B107" s="244">
        <v>45902</v>
      </c>
      <c r="C107" s="245" t="s">
        <v>3844</v>
      </c>
      <c r="D107" s="245" t="str">
        <f t="shared" si="2"/>
        <v>HRVATSKA REGULATORNA AGENCIJA ZA MREŽNE DJELATNOSTI (45902)</v>
      </c>
      <c r="E107" s="245" t="s">
        <v>3845</v>
      </c>
      <c r="F107" s="245" t="s">
        <v>3846</v>
      </c>
      <c r="G107" s="248">
        <v>1865862</v>
      </c>
      <c r="H107" s="247" t="s">
        <v>3847</v>
      </c>
      <c r="J107" s="236"/>
    </row>
    <row r="108" spans="1:10" ht="15" customHeight="1">
      <c r="A108" s="243">
        <f t="shared" si="3"/>
        <v>105</v>
      </c>
      <c r="B108" s="244">
        <v>51255</v>
      </c>
      <c r="C108" s="245" t="s">
        <v>3848</v>
      </c>
      <c r="D108" s="245" t="str">
        <f t="shared" si="2"/>
        <v>JAVNA USTANOVA LUČKA UPRAVA SISAK (51255)</v>
      </c>
      <c r="E108" s="256" t="s">
        <v>3849</v>
      </c>
      <c r="F108" s="256" t="s">
        <v>1724</v>
      </c>
      <c r="G108" s="257" t="s">
        <v>3850</v>
      </c>
      <c r="H108" s="247" t="s">
        <v>3851</v>
      </c>
      <c r="J108" s="236"/>
    </row>
    <row r="109" spans="1:10" ht="15" customHeight="1">
      <c r="A109" s="243">
        <f t="shared" si="3"/>
        <v>106</v>
      </c>
      <c r="B109" s="244">
        <v>51263</v>
      </c>
      <c r="C109" s="245" t="s">
        <v>3852</v>
      </c>
      <c r="D109" s="245" t="str">
        <f t="shared" si="2"/>
        <v>JAVNA USTANOVA LUČKA UPRAVA SLAVONSKI BROD (51263)</v>
      </c>
      <c r="E109" s="256" t="s">
        <v>3853</v>
      </c>
      <c r="F109" s="256" t="s">
        <v>1769</v>
      </c>
      <c r="G109" s="257" t="s">
        <v>3854</v>
      </c>
      <c r="H109" s="247" t="s">
        <v>3855</v>
      </c>
      <c r="J109" s="236"/>
    </row>
    <row r="110" spans="1:10" ht="15" customHeight="1">
      <c r="A110" s="243">
        <f t="shared" si="3"/>
        <v>107</v>
      </c>
      <c r="B110" s="244">
        <v>51343</v>
      </c>
      <c r="C110" s="245" t="s">
        <v>3856</v>
      </c>
      <c r="D110" s="245" t="str">
        <f t="shared" si="2"/>
        <v>LUČKA UPRAVA DUBROVNIK (51343)</v>
      </c>
      <c r="E110" s="245" t="s">
        <v>3857</v>
      </c>
      <c r="F110" s="245" t="s">
        <v>313</v>
      </c>
      <c r="G110" s="248" t="s">
        <v>3858</v>
      </c>
      <c r="H110" s="247" t="s">
        <v>3859</v>
      </c>
      <c r="J110" s="236"/>
    </row>
    <row r="111" spans="1:10" ht="15" customHeight="1">
      <c r="A111" s="243">
        <f t="shared" si="3"/>
        <v>108</v>
      </c>
      <c r="B111" s="244">
        <v>51319</v>
      </c>
      <c r="C111" s="245" t="s">
        <v>3860</v>
      </c>
      <c r="D111" s="245" t="str">
        <f t="shared" si="2"/>
        <v>LUČKA UPRAVA OSIJEK (51319)</v>
      </c>
      <c r="E111" s="245" t="s">
        <v>3861</v>
      </c>
      <c r="F111" s="245" t="s">
        <v>278</v>
      </c>
      <c r="G111" s="248" t="s">
        <v>3862</v>
      </c>
      <c r="H111" s="247" t="s">
        <v>3863</v>
      </c>
      <c r="J111" s="236"/>
    </row>
    <row r="112" spans="1:10" ht="15" customHeight="1">
      <c r="A112" s="243">
        <f t="shared" si="3"/>
        <v>109</v>
      </c>
      <c r="B112" s="244">
        <v>51298</v>
      </c>
      <c r="C112" s="245" t="s">
        <v>3864</v>
      </c>
      <c r="D112" s="245" t="str">
        <f t="shared" si="2"/>
        <v>LUČKA UPRAVA PLOČE (51298)</v>
      </c>
      <c r="E112" s="245" t="s">
        <v>3865</v>
      </c>
      <c r="F112" s="245" t="s">
        <v>3866</v>
      </c>
      <c r="G112" s="248" t="s">
        <v>3867</v>
      </c>
      <c r="H112" s="247" t="s">
        <v>3868</v>
      </c>
      <c r="J112" s="236"/>
    </row>
    <row r="113" spans="1:10" ht="15" customHeight="1">
      <c r="A113" s="243">
        <f t="shared" si="3"/>
        <v>110</v>
      </c>
      <c r="B113" s="244">
        <v>51302</v>
      </c>
      <c r="C113" s="245" t="s">
        <v>3869</v>
      </c>
      <c r="D113" s="245" t="str">
        <f t="shared" si="2"/>
        <v>LUČKA UPRAVA RIJEKA (51302)</v>
      </c>
      <c r="E113" s="245" t="s">
        <v>3870</v>
      </c>
      <c r="F113" s="245" t="s">
        <v>320</v>
      </c>
      <c r="G113" s="248" t="s">
        <v>3871</v>
      </c>
      <c r="H113" s="247" t="s">
        <v>3872</v>
      </c>
      <c r="J113" s="236"/>
    </row>
    <row r="114" spans="1:10" ht="15" customHeight="1">
      <c r="A114" s="243">
        <f t="shared" si="3"/>
        <v>111</v>
      </c>
      <c r="B114" s="244">
        <v>51327</v>
      </c>
      <c r="C114" s="256" t="s">
        <v>3873</v>
      </c>
      <c r="D114" s="245" t="str">
        <f t="shared" si="2"/>
        <v>LUČKA UPRAVA SPLIT (51327)</v>
      </c>
      <c r="E114" s="256" t="s">
        <v>3874</v>
      </c>
      <c r="F114" s="256" t="s">
        <v>360</v>
      </c>
      <c r="G114" s="258" t="s">
        <v>3875</v>
      </c>
      <c r="H114" s="247" t="s">
        <v>3876</v>
      </c>
      <c r="J114" s="236"/>
    </row>
    <row r="115" spans="1:10" ht="15" customHeight="1">
      <c r="A115" s="243">
        <f t="shared" si="3"/>
        <v>112</v>
      </c>
      <c r="B115" s="244">
        <v>51335</v>
      </c>
      <c r="C115" s="256" t="s">
        <v>3877</v>
      </c>
      <c r="D115" s="245" t="str">
        <f t="shared" si="2"/>
        <v>LUČKA UPRAVA ŠIBENIK (51335)</v>
      </c>
      <c r="E115" s="256" t="s">
        <v>3878</v>
      </c>
      <c r="F115" s="256" t="s">
        <v>524</v>
      </c>
      <c r="G115" s="258" t="s">
        <v>3879</v>
      </c>
      <c r="H115" s="247" t="s">
        <v>3880</v>
      </c>
      <c r="J115" s="236"/>
    </row>
    <row r="116" spans="1:10" ht="15" customHeight="1">
      <c r="A116" s="243">
        <f t="shared" si="3"/>
        <v>113</v>
      </c>
      <c r="B116" s="244">
        <v>51280</v>
      </c>
      <c r="C116" s="245" t="s">
        <v>3881</v>
      </c>
      <c r="D116" s="245" t="str">
        <f t="shared" si="2"/>
        <v>LUČKA UPRAVA VUKOVAR (51280)</v>
      </c>
      <c r="E116" s="245" t="s">
        <v>3882</v>
      </c>
      <c r="F116" s="245" t="s">
        <v>501</v>
      </c>
      <c r="G116" s="248" t="s">
        <v>3883</v>
      </c>
      <c r="H116" s="247" t="s">
        <v>3884</v>
      </c>
      <c r="J116" s="236"/>
    </row>
    <row r="117" spans="1:10" ht="15" customHeight="1">
      <c r="A117" s="243">
        <f t="shared" si="3"/>
        <v>114</v>
      </c>
      <c r="B117" s="244">
        <v>51271</v>
      </c>
      <c r="C117" s="245" t="s">
        <v>3885</v>
      </c>
      <c r="D117" s="245" t="str">
        <f t="shared" si="2"/>
        <v>LUČKA UPRAVA ZADAR (51271)</v>
      </c>
      <c r="E117" s="245" t="s">
        <v>3886</v>
      </c>
      <c r="F117" s="245" t="s">
        <v>316</v>
      </c>
      <c r="G117" s="248" t="s">
        <v>3887</v>
      </c>
      <c r="H117" s="247" t="s">
        <v>3888</v>
      </c>
      <c r="J117" s="236"/>
    </row>
    <row r="118" spans="1:10" s="236" customFormat="1" ht="15" customHeight="1">
      <c r="A118" s="231">
        <f t="shared" si="3"/>
        <v>115</v>
      </c>
      <c r="B118" s="238">
        <v>47061</v>
      </c>
      <c r="C118" s="239" t="s">
        <v>3889</v>
      </c>
      <c r="D118" s="245" t="str">
        <f t="shared" si="2"/>
        <v>MINISTARSTVO PROSTORNOGA UREĐENJA, GRADITELJSTVA I DRŽAVNE IMOVINE (47061)</v>
      </c>
      <c r="E118" s="239" t="s">
        <v>3890</v>
      </c>
      <c r="F118" s="239" t="s">
        <v>275</v>
      </c>
      <c r="G118" s="240">
        <v>2831317</v>
      </c>
      <c r="H118" s="241" t="s">
        <v>3891</v>
      </c>
    </row>
    <row r="119" spans="1:10" ht="15" customHeight="1">
      <c r="A119" s="243">
        <f t="shared" si="3"/>
        <v>116</v>
      </c>
      <c r="B119" s="244">
        <v>22058</v>
      </c>
      <c r="C119" s="245" t="s">
        <v>3892</v>
      </c>
      <c r="D119" s="245" t="str">
        <f t="shared" si="2"/>
        <v>AGENCIJA ZA PRAVNI PROMET I POSREDOVANJE NEKRETNINAMA (22058)</v>
      </c>
      <c r="E119" s="245" t="s">
        <v>3893</v>
      </c>
      <c r="F119" s="245" t="s">
        <v>275</v>
      </c>
      <c r="G119" s="246">
        <v>1294164</v>
      </c>
      <c r="H119" s="247" t="s">
        <v>3894</v>
      </c>
      <c r="J119" s="236"/>
    </row>
    <row r="120" spans="1:10" ht="15" customHeight="1">
      <c r="A120" s="243">
        <f t="shared" si="3"/>
        <v>117</v>
      </c>
      <c r="B120" s="244">
        <v>6120</v>
      </c>
      <c r="C120" s="245" t="s">
        <v>3895</v>
      </c>
      <c r="D120" s="245" t="str">
        <f t="shared" si="2"/>
        <v>DRŽAVNA GEODETSKA UPRAVA (6120)</v>
      </c>
      <c r="E120" s="245" t="s">
        <v>3896</v>
      </c>
      <c r="F120" s="245" t="s">
        <v>275</v>
      </c>
      <c r="G120" s="246">
        <v>936693</v>
      </c>
      <c r="H120" s="247" t="s">
        <v>3897</v>
      </c>
      <c r="J120" s="236"/>
    </row>
    <row r="121" spans="1:10" ht="24">
      <c r="A121" s="243">
        <f t="shared" si="3"/>
        <v>118</v>
      </c>
      <c r="B121" s="244">
        <v>51724</v>
      </c>
      <c r="C121" s="245" t="s">
        <v>3898</v>
      </c>
      <c r="D121" s="245" t="str">
        <f t="shared" si="2"/>
        <v>FOND ZA OBNOVU GRADA ZAGREBA, KRAPINSKO-ZAGORSKE ŽUPANIJE I ZAGREBAČKE ŽUPANIJE (51724)</v>
      </c>
      <c r="E121" s="245" t="s">
        <v>3899</v>
      </c>
      <c r="F121" s="245" t="s">
        <v>275</v>
      </c>
      <c r="G121" s="246">
        <v>5332494</v>
      </c>
      <c r="H121" s="247" t="s">
        <v>3900</v>
      </c>
      <c r="J121" s="236"/>
    </row>
    <row r="122" spans="1:10" s="236" customFormat="1" ht="15" customHeight="1">
      <c r="A122" s="231">
        <f>+A121+1</f>
        <v>119</v>
      </c>
      <c r="B122" s="238">
        <v>47053</v>
      </c>
      <c r="C122" s="239" t="s">
        <v>3901</v>
      </c>
      <c r="D122" s="245" t="str">
        <f t="shared" si="2"/>
        <v>MINISTARSTVO GOSPODARSTVA I ODRŽIVOG RAZVOJA (47053)</v>
      </c>
      <c r="E122" s="239" t="s">
        <v>3902</v>
      </c>
      <c r="F122" s="239" t="s">
        <v>275</v>
      </c>
      <c r="G122" s="240">
        <v>2831309</v>
      </c>
      <c r="H122" s="241" t="s">
        <v>3903</v>
      </c>
    </row>
    <row r="123" spans="1:10" ht="15" customHeight="1">
      <c r="A123" s="243">
        <f t="shared" ref="A123:A186" si="4">+A122+1</f>
        <v>120</v>
      </c>
      <c r="B123" s="244">
        <v>22162</v>
      </c>
      <c r="C123" s="245" t="s">
        <v>3904</v>
      </c>
      <c r="D123" s="245" t="str">
        <f t="shared" si="2"/>
        <v>JAVNA USTANOVA NACIONALNI PARK BRIJUNI - PUBLIC INSTITUTION BRIJUNI NATIONAL PARK (22162)</v>
      </c>
      <c r="E123" s="245" t="s">
        <v>3905</v>
      </c>
      <c r="F123" s="245" t="s">
        <v>3906</v>
      </c>
      <c r="G123" s="246">
        <v>3286436</v>
      </c>
      <c r="H123" s="247" t="s">
        <v>3907</v>
      </c>
      <c r="J123" s="236"/>
    </row>
    <row r="124" spans="1:10" ht="15" customHeight="1">
      <c r="A124" s="243">
        <f t="shared" si="4"/>
        <v>121</v>
      </c>
      <c r="B124" s="244">
        <v>22138</v>
      </c>
      <c r="C124" s="245" t="s">
        <v>3908</v>
      </c>
      <c r="D124" s="245" t="str">
        <f t="shared" si="2"/>
        <v>J. U. NACIONALNI PARK KORNATI  (22138)</v>
      </c>
      <c r="E124" s="245" t="s">
        <v>3909</v>
      </c>
      <c r="F124" s="245" t="s">
        <v>3910</v>
      </c>
      <c r="G124" s="246">
        <v>3957772</v>
      </c>
      <c r="H124" s="247" t="s">
        <v>3911</v>
      </c>
      <c r="J124" s="236"/>
    </row>
    <row r="125" spans="1:10" ht="15" customHeight="1">
      <c r="A125" s="243">
        <f t="shared" si="4"/>
        <v>122</v>
      </c>
      <c r="B125" s="244">
        <v>22234</v>
      </c>
      <c r="C125" s="245" t="s">
        <v>3912</v>
      </c>
      <c r="D125" s="245" t="str">
        <f t="shared" si="2"/>
        <v>J. U. NACIONALNI PARK KRKA (22234)</v>
      </c>
      <c r="E125" s="245" t="s">
        <v>3913</v>
      </c>
      <c r="F125" s="245" t="s">
        <v>524</v>
      </c>
      <c r="G125" s="246">
        <v>3418103</v>
      </c>
      <c r="H125" s="247" t="s">
        <v>3914</v>
      </c>
      <c r="J125" s="236"/>
    </row>
    <row r="126" spans="1:10" ht="15" customHeight="1">
      <c r="A126" s="243">
        <f t="shared" si="4"/>
        <v>123</v>
      </c>
      <c r="B126" s="244">
        <v>22179</v>
      </c>
      <c r="C126" s="245" t="s">
        <v>3915</v>
      </c>
      <c r="D126" s="245" t="str">
        <f t="shared" si="2"/>
        <v>J. U. NACIONALNI PARK MLJET (22179)</v>
      </c>
      <c r="E126" s="245" t="s">
        <v>3916</v>
      </c>
      <c r="F126" s="245" t="s">
        <v>3917</v>
      </c>
      <c r="G126" s="246">
        <v>3324974</v>
      </c>
      <c r="H126" s="247" t="s">
        <v>3918</v>
      </c>
      <c r="J126" s="236"/>
    </row>
    <row r="127" spans="1:10" ht="15" customHeight="1">
      <c r="A127" s="243">
        <f t="shared" si="4"/>
        <v>124</v>
      </c>
      <c r="B127" s="244">
        <v>22200</v>
      </c>
      <c r="C127" s="245" t="s">
        <v>3919</v>
      </c>
      <c r="D127" s="245" t="str">
        <f t="shared" si="2"/>
        <v>J. U. NACIONALNI PARK PAKLENICA (22200)</v>
      </c>
      <c r="E127" s="245" t="s">
        <v>3920</v>
      </c>
      <c r="F127" s="245" t="s">
        <v>3921</v>
      </c>
      <c r="G127" s="246">
        <v>3142027</v>
      </c>
      <c r="H127" s="247" t="s">
        <v>3922</v>
      </c>
      <c r="J127" s="236"/>
    </row>
    <row r="128" spans="1:10" ht="15" customHeight="1">
      <c r="A128" s="243">
        <f t="shared" si="4"/>
        <v>125</v>
      </c>
      <c r="B128" s="244">
        <v>22218</v>
      </c>
      <c r="C128" s="245" t="s">
        <v>3923</v>
      </c>
      <c r="D128" s="245" t="str">
        <f t="shared" si="2"/>
        <v>J. U. NACIONALNI PARK PLITVIČKA JEZERA (22218)</v>
      </c>
      <c r="E128" s="245" t="s">
        <v>3924</v>
      </c>
      <c r="F128" s="245" t="s">
        <v>3925</v>
      </c>
      <c r="G128" s="246">
        <v>3310850</v>
      </c>
      <c r="H128" s="247" t="s">
        <v>3926</v>
      </c>
      <c r="J128" s="236"/>
    </row>
    <row r="129" spans="1:10" ht="15" customHeight="1">
      <c r="A129" s="243">
        <f t="shared" si="4"/>
        <v>126</v>
      </c>
      <c r="B129" s="244">
        <v>22187</v>
      </c>
      <c r="C129" s="245" t="s">
        <v>3927</v>
      </c>
      <c r="D129" s="245" t="str">
        <f t="shared" si="2"/>
        <v>J. U. NACIONALNI PARK RISNJAK (22187)</v>
      </c>
      <c r="E129" s="245" t="s">
        <v>3928</v>
      </c>
      <c r="F129" s="245" t="s">
        <v>3929</v>
      </c>
      <c r="G129" s="246">
        <v>3033619</v>
      </c>
      <c r="H129" s="247" t="s">
        <v>3930</v>
      </c>
      <c r="J129" s="236"/>
    </row>
    <row r="130" spans="1:10" ht="15" customHeight="1">
      <c r="A130" s="243">
        <f t="shared" si="4"/>
        <v>127</v>
      </c>
      <c r="B130" s="244">
        <v>26506</v>
      </c>
      <c r="C130" s="245" t="s">
        <v>3931</v>
      </c>
      <c r="D130" s="245" t="str">
        <f t="shared" si="2"/>
        <v>J. U. NACIONALNI PARK SJEVERNI VELEBIT (26506)</v>
      </c>
      <c r="E130" s="245" t="s">
        <v>3932</v>
      </c>
      <c r="F130" s="245" t="s">
        <v>3933</v>
      </c>
      <c r="G130" s="246">
        <v>1486993</v>
      </c>
      <c r="H130" s="247" t="s">
        <v>3934</v>
      </c>
      <c r="J130" s="236"/>
    </row>
    <row r="131" spans="1:10" ht="15" customHeight="1">
      <c r="A131" s="243">
        <f t="shared" si="4"/>
        <v>128</v>
      </c>
      <c r="B131" s="244">
        <v>23243</v>
      </c>
      <c r="C131" s="245" t="s">
        <v>3935</v>
      </c>
      <c r="D131" s="245" t="str">
        <f t="shared" si="2"/>
        <v>J. U. PARK PRIRODE BIOKOVO (23243)</v>
      </c>
      <c r="E131" s="245" t="s">
        <v>3936</v>
      </c>
      <c r="F131" s="245" t="s">
        <v>3937</v>
      </c>
      <c r="G131" s="246">
        <v>1408232</v>
      </c>
      <c r="H131" s="247" t="s">
        <v>3938</v>
      </c>
      <c r="J131" s="236"/>
    </row>
    <row r="132" spans="1:10" ht="15" customHeight="1">
      <c r="A132" s="243">
        <f t="shared" si="4"/>
        <v>129</v>
      </c>
      <c r="B132" s="244">
        <v>22154</v>
      </c>
      <c r="C132" s="245" t="s">
        <v>3939</v>
      </c>
      <c r="D132" s="245" t="str">
        <f t="shared" ref="D132:D195" si="5">C132&amp;" ("&amp;B132&amp;")"</f>
        <v>J. U. PARK PRIRODE KOPAČKI RIT (22154)</v>
      </c>
      <c r="E132" s="245" t="s">
        <v>3940</v>
      </c>
      <c r="F132" s="245" t="s">
        <v>3941</v>
      </c>
      <c r="G132" s="246">
        <v>1334239</v>
      </c>
      <c r="H132" s="247" t="s">
        <v>3942</v>
      </c>
      <c r="J132" s="236"/>
    </row>
    <row r="133" spans="1:10" ht="15" customHeight="1">
      <c r="A133" s="243">
        <f t="shared" si="4"/>
        <v>130</v>
      </c>
      <c r="B133" s="244">
        <v>42598</v>
      </c>
      <c r="C133" s="245" t="s">
        <v>3943</v>
      </c>
      <c r="D133" s="245" t="str">
        <f t="shared" si="5"/>
        <v>J. U. PARK PRIRODE LASTOVSKO OTOČJE (42598)</v>
      </c>
      <c r="E133" s="254" t="s">
        <v>3944</v>
      </c>
      <c r="F133" s="254" t="s">
        <v>3945</v>
      </c>
      <c r="G133" s="253">
        <v>2175843</v>
      </c>
      <c r="H133" s="247" t="s">
        <v>3946</v>
      </c>
      <c r="J133" s="236"/>
    </row>
    <row r="134" spans="1:10" ht="15" customHeight="1">
      <c r="A134" s="243">
        <f t="shared" si="4"/>
        <v>131</v>
      </c>
      <c r="B134" s="244">
        <v>22226</v>
      </c>
      <c r="C134" s="245" t="s">
        <v>3947</v>
      </c>
      <c r="D134" s="245" t="str">
        <f t="shared" si="5"/>
        <v>J. U. PARK PRIRODE LONJSKO POLJE (22226)</v>
      </c>
      <c r="E134" s="245" t="s">
        <v>3948</v>
      </c>
      <c r="F134" s="245" t="s">
        <v>3949</v>
      </c>
      <c r="G134" s="246">
        <v>1300997</v>
      </c>
      <c r="H134" s="247" t="s">
        <v>3950</v>
      </c>
      <c r="J134" s="236"/>
    </row>
    <row r="135" spans="1:10" ht="15" customHeight="1">
      <c r="A135" s="243">
        <f t="shared" si="4"/>
        <v>132</v>
      </c>
      <c r="B135" s="244">
        <v>23497</v>
      </c>
      <c r="C135" s="245" t="s">
        <v>3951</v>
      </c>
      <c r="D135" s="245" t="str">
        <f t="shared" si="5"/>
        <v>J. U. PARK PRIRODE MEDVEDNICA (23497)</v>
      </c>
      <c r="E135" s="245" t="s">
        <v>3952</v>
      </c>
      <c r="F135" s="245" t="s">
        <v>275</v>
      </c>
      <c r="G135" s="246">
        <v>1463080</v>
      </c>
      <c r="H135" s="247" t="s">
        <v>3953</v>
      </c>
      <c r="J135" s="236"/>
    </row>
    <row r="136" spans="1:10" ht="15" customHeight="1">
      <c r="A136" s="243">
        <f t="shared" si="4"/>
        <v>133</v>
      </c>
      <c r="B136" s="244">
        <v>26514</v>
      </c>
      <c r="C136" s="245" t="s">
        <v>3954</v>
      </c>
      <c r="D136" s="245" t="str">
        <f t="shared" si="5"/>
        <v>J. U. PARK PRIRODE PAPUK  (26514)</v>
      </c>
      <c r="E136" s="245" t="s">
        <v>3955</v>
      </c>
      <c r="F136" s="245" t="s">
        <v>3956</v>
      </c>
      <c r="G136" s="246">
        <v>1503847</v>
      </c>
      <c r="H136" s="247" t="s">
        <v>3957</v>
      </c>
      <c r="J136" s="236"/>
    </row>
    <row r="137" spans="1:10" ht="15" customHeight="1">
      <c r="A137" s="243">
        <f t="shared" si="4"/>
        <v>134</v>
      </c>
      <c r="B137" s="244">
        <v>22195</v>
      </c>
      <c r="C137" s="245" t="s">
        <v>3958</v>
      </c>
      <c r="D137" s="245" t="str">
        <f t="shared" si="5"/>
        <v>J. U. PARK PRIRODE TELAŠĆICA (22195)</v>
      </c>
      <c r="E137" s="245" t="s">
        <v>3959</v>
      </c>
      <c r="F137" s="245" t="s">
        <v>3960</v>
      </c>
      <c r="G137" s="246">
        <v>3439780</v>
      </c>
      <c r="H137" s="247" t="s">
        <v>3961</v>
      </c>
      <c r="J137" s="236"/>
    </row>
    <row r="138" spans="1:10" ht="15" customHeight="1">
      <c r="A138" s="243">
        <f t="shared" si="4"/>
        <v>135</v>
      </c>
      <c r="B138" s="244">
        <v>25925</v>
      </c>
      <c r="C138" s="245" t="s">
        <v>3962</v>
      </c>
      <c r="D138" s="245" t="str">
        <f t="shared" si="5"/>
        <v>J. U. PARK PRIRODE UČKA (25925)</v>
      </c>
      <c r="E138" s="245" t="s">
        <v>3963</v>
      </c>
      <c r="F138" s="245" t="s">
        <v>3964</v>
      </c>
      <c r="G138" s="246">
        <v>1508342</v>
      </c>
      <c r="H138" s="247" t="s">
        <v>3965</v>
      </c>
      <c r="J138" s="236"/>
    </row>
    <row r="139" spans="1:10" ht="15" customHeight="1">
      <c r="A139" s="243">
        <f t="shared" si="4"/>
        <v>136</v>
      </c>
      <c r="B139" s="244">
        <v>25933</v>
      </c>
      <c r="C139" s="245" t="s">
        <v>3966</v>
      </c>
      <c r="D139" s="245" t="str">
        <f t="shared" si="5"/>
        <v>JAVNA USTANOVA PARK PRIRODE VELEBIT (25933)</v>
      </c>
      <c r="E139" s="245" t="s">
        <v>3967</v>
      </c>
      <c r="F139" s="245" t="s">
        <v>509</v>
      </c>
      <c r="G139" s="246">
        <v>1439863</v>
      </c>
      <c r="H139" s="247" t="s">
        <v>3968</v>
      </c>
      <c r="J139" s="236"/>
    </row>
    <row r="140" spans="1:10" ht="15" customHeight="1">
      <c r="A140" s="243">
        <f t="shared" si="4"/>
        <v>137</v>
      </c>
      <c r="B140" s="244">
        <v>26522</v>
      </c>
      <c r="C140" s="245" t="s">
        <v>3969</v>
      </c>
      <c r="D140" s="245" t="str">
        <f t="shared" si="5"/>
        <v>JAVNA USTANOVA PARK PRIRODE VRANSKO JEZERO (26522)</v>
      </c>
      <c r="E140" s="245" t="s">
        <v>3970</v>
      </c>
      <c r="F140" s="245" t="s">
        <v>3971</v>
      </c>
      <c r="G140" s="246">
        <v>1504495</v>
      </c>
      <c r="H140" s="247" t="s">
        <v>3972</v>
      </c>
      <c r="J140" s="236"/>
    </row>
    <row r="141" spans="1:10" ht="15" customHeight="1">
      <c r="A141" s="243">
        <f t="shared" si="4"/>
        <v>138</v>
      </c>
      <c r="B141" s="244">
        <v>26539</v>
      </c>
      <c r="C141" s="245" t="s">
        <v>3973</v>
      </c>
      <c r="D141" s="245" t="str">
        <f t="shared" si="5"/>
        <v>J. U. PARK PRIRODE ŽUMBERAK-SAMOBORSKO GORJE (26539)</v>
      </c>
      <c r="E141" s="245" t="s">
        <v>3974</v>
      </c>
      <c r="F141" s="245" t="s">
        <v>3975</v>
      </c>
      <c r="G141" s="246">
        <v>1481517</v>
      </c>
      <c r="H141" s="247" t="s">
        <v>3976</v>
      </c>
      <c r="J141" s="236"/>
    </row>
    <row r="142" spans="1:10" ht="15" customHeight="1">
      <c r="A142" s="243">
        <f t="shared" si="4"/>
        <v>139</v>
      </c>
      <c r="B142" s="244">
        <v>21609</v>
      </c>
      <c r="C142" s="245" t="s">
        <v>3977</v>
      </c>
      <c r="D142" s="245" t="str">
        <f t="shared" si="5"/>
        <v>DRŽAVNI HIDROMETEOROLOŠKI ZAVOD (21609)</v>
      </c>
      <c r="E142" s="245" t="s">
        <v>3978</v>
      </c>
      <c r="F142" s="245" t="s">
        <v>275</v>
      </c>
      <c r="G142" s="246">
        <v>3206017</v>
      </c>
      <c r="H142" s="247" t="s">
        <v>3979</v>
      </c>
      <c r="J142" s="236"/>
    </row>
    <row r="143" spans="1:10" s="236" customFormat="1" ht="15" customHeight="1">
      <c r="A143" s="243">
        <f t="shared" si="4"/>
        <v>140</v>
      </c>
      <c r="B143" s="244">
        <v>49649</v>
      </c>
      <c r="C143" s="245" t="s">
        <v>3980</v>
      </c>
      <c r="D143" s="245" t="str">
        <f t="shared" si="5"/>
        <v>AGENCIJA ZA UGLJIKOVODIKE (49649)</v>
      </c>
      <c r="E143" s="255" t="s">
        <v>3981</v>
      </c>
      <c r="F143" s="245" t="s">
        <v>275</v>
      </c>
      <c r="G143" s="248" t="s">
        <v>3982</v>
      </c>
      <c r="H143" s="247" t="s">
        <v>3983</v>
      </c>
    </row>
    <row r="144" spans="1:10" s="236" customFormat="1" ht="15" customHeight="1">
      <c r="A144" s="243">
        <f t="shared" si="4"/>
        <v>141</v>
      </c>
      <c r="B144" s="244">
        <v>49091</v>
      </c>
      <c r="C144" s="245" t="s">
        <v>3984</v>
      </c>
      <c r="D144" s="245" t="str">
        <f t="shared" si="5"/>
        <v>HRVATSKA ENERGETSKA REGULATORNA AGENCIJA (49091)</v>
      </c>
      <c r="E144" s="245" t="s">
        <v>3985</v>
      </c>
      <c r="F144" s="245" t="s">
        <v>275</v>
      </c>
      <c r="G144" s="246" t="s">
        <v>3986</v>
      </c>
      <c r="H144" s="247" t="s">
        <v>3987</v>
      </c>
    </row>
    <row r="145" spans="1:10" s="236" customFormat="1" ht="15" customHeight="1">
      <c r="A145" s="243">
        <f t="shared" si="4"/>
        <v>142</v>
      </c>
      <c r="B145" s="244">
        <v>47131</v>
      </c>
      <c r="C145" s="245" t="s">
        <v>3988</v>
      </c>
      <c r="D145" s="245" t="str">
        <f t="shared" si="5"/>
        <v>MINISTARSTVO GOSPODARSTVA I ODRŽIVOG RAZVOJA – RAVNATELJSTVO ZA ROBNE ZALIHE (47131)</v>
      </c>
      <c r="E145" s="245" t="s">
        <v>608</v>
      </c>
      <c r="F145" s="245" t="s">
        <v>275</v>
      </c>
      <c r="G145" s="246">
        <v>2831309</v>
      </c>
      <c r="H145" s="247" t="s">
        <v>3903</v>
      </c>
    </row>
    <row r="146" spans="1:10" s="242" customFormat="1" ht="15" customHeight="1">
      <c r="A146" s="243">
        <f t="shared" si="4"/>
        <v>143</v>
      </c>
      <c r="B146" s="244">
        <v>6082</v>
      </c>
      <c r="C146" s="245" t="s">
        <v>3989</v>
      </c>
      <c r="D146" s="245" t="str">
        <f t="shared" si="5"/>
        <v>DRŽAVNI ZAVOD ZA MJERITELJSTVO (6082)</v>
      </c>
      <c r="E146" s="245" t="s">
        <v>3990</v>
      </c>
      <c r="F146" s="245" t="s">
        <v>275</v>
      </c>
      <c r="G146" s="246">
        <v>3799166</v>
      </c>
      <c r="H146" s="247" t="s">
        <v>3991</v>
      </c>
      <c r="J146" s="236"/>
    </row>
    <row r="147" spans="1:10" s="242" customFormat="1" ht="15" customHeight="1">
      <c r="A147" s="243">
        <f t="shared" si="4"/>
        <v>144</v>
      </c>
      <c r="B147" s="244">
        <v>38495</v>
      </c>
      <c r="C147" s="245" t="s">
        <v>3992</v>
      </c>
      <c r="D147" s="245" t="str">
        <f t="shared" si="5"/>
        <v>HRVATSKI ZAVOD ZA NORME (38495)</v>
      </c>
      <c r="E147" s="245" t="s">
        <v>608</v>
      </c>
      <c r="F147" s="245" t="s">
        <v>275</v>
      </c>
      <c r="G147" s="246">
        <v>1957406</v>
      </c>
      <c r="H147" s="247" t="s">
        <v>3993</v>
      </c>
      <c r="J147" s="236"/>
    </row>
    <row r="148" spans="1:10" s="242" customFormat="1" ht="15" customHeight="1">
      <c r="A148" s="243">
        <f t="shared" si="4"/>
        <v>145</v>
      </c>
      <c r="B148" s="244">
        <v>38500</v>
      </c>
      <c r="C148" s="245" t="s">
        <v>3994</v>
      </c>
      <c r="D148" s="245" t="str">
        <f t="shared" si="5"/>
        <v>HRVATSKA AKREDITACIJSKA AGENCIJA (38500)</v>
      </c>
      <c r="E148" s="245" t="s">
        <v>608</v>
      </c>
      <c r="F148" s="245" t="s">
        <v>275</v>
      </c>
      <c r="G148" s="246">
        <v>1956868</v>
      </c>
      <c r="H148" s="247" t="s">
        <v>3995</v>
      </c>
      <c r="J148" s="236"/>
    </row>
    <row r="149" spans="1:10" s="236" customFormat="1" ht="15" customHeight="1">
      <c r="A149" s="243">
        <f t="shared" si="4"/>
        <v>146</v>
      </c>
      <c r="B149" s="244">
        <v>46237</v>
      </c>
      <c r="C149" s="245" t="s">
        <v>3996</v>
      </c>
      <c r="D149" s="245" t="str">
        <f t="shared" si="5"/>
        <v>HRVATSKA AGENCIJA ZA MALO GOSPODARSTVO, INOVACIJE I INVESTICIJE (46237)</v>
      </c>
      <c r="E149" s="245" t="s">
        <v>3997</v>
      </c>
      <c r="F149" s="245" t="s">
        <v>275</v>
      </c>
      <c r="G149" s="246">
        <v>767875</v>
      </c>
      <c r="H149" s="247" t="s">
        <v>3998</v>
      </c>
    </row>
    <row r="150" spans="1:10" s="236" customFormat="1" ht="15" customHeight="1">
      <c r="A150" s="231">
        <f t="shared" si="4"/>
        <v>147</v>
      </c>
      <c r="B150" s="238">
        <v>1222</v>
      </c>
      <c r="C150" s="239" t="s">
        <v>1748</v>
      </c>
      <c r="D150" s="245" t="str">
        <f t="shared" si="5"/>
        <v>MINISTARSTVO ZNANOSTI I OBRAZOVANJA  (1222)</v>
      </c>
      <c r="E150" s="239" t="s">
        <v>274</v>
      </c>
      <c r="F150" s="239" t="s">
        <v>275</v>
      </c>
      <c r="G150" s="240">
        <v>3271030</v>
      </c>
      <c r="H150" s="241" t="s">
        <v>1749</v>
      </c>
    </row>
    <row r="151" spans="1:10" ht="15" customHeight="1">
      <c r="A151" s="243">
        <f t="shared" si="4"/>
        <v>148</v>
      </c>
      <c r="B151" s="244">
        <v>2063</v>
      </c>
      <c r="C151" s="245" t="s">
        <v>488</v>
      </c>
      <c r="D151" s="245" t="str">
        <f t="shared" si="5"/>
        <v>FAKULTET ORGANIZACIJE I INFORMATIKE U VARAŽDINU (2063)</v>
      </c>
      <c r="E151" s="245" t="s">
        <v>489</v>
      </c>
      <c r="F151" s="245" t="s">
        <v>445</v>
      </c>
      <c r="G151" s="246">
        <v>3006107</v>
      </c>
      <c r="H151" s="247" t="s">
        <v>490</v>
      </c>
      <c r="J151" s="236"/>
    </row>
    <row r="152" spans="1:10" ht="15" customHeight="1">
      <c r="A152" s="243">
        <f t="shared" si="4"/>
        <v>149</v>
      </c>
      <c r="B152" s="244">
        <v>43749</v>
      </c>
      <c r="C152" s="245" t="s">
        <v>491</v>
      </c>
      <c r="D152" s="245" t="str">
        <f t="shared" si="5"/>
        <v>MEĐIMURSKO VELEUČILIŠTE U ČAKOVCU (43749)</v>
      </c>
      <c r="E152" s="245" t="s">
        <v>493</v>
      </c>
      <c r="F152" s="245" t="s">
        <v>494</v>
      </c>
      <c r="G152" s="246">
        <v>2382512</v>
      </c>
      <c r="H152" s="247" t="s">
        <v>495</v>
      </c>
      <c r="J152" s="236"/>
    </row>
    <row r="153" spans="1:10" ht="15" customHeight="1">
      <c r="A153" s="243">
        <f t="shared" si="4"/>
        <v>150</v>
      </c>
      <c r="B153" s="244">
        <v>2452</v>
      </c>
      <c r="C153" s="245" t="s">
        <v>1750</v>
      </c>
      <c r="D153" s="245" t="str">
        <f t="shared" si="5"/>
        <v>SVEUČILIŠTE J. J. STROSSMAYERA U OSIJEKU (2452)</v>
      </c>
      <c r="E153" s="245" t="s">
        <v>277</v>
      </c>
      <c r="F153" s="245" t="s">
        <v>278</v>
      </c>
      <c r="G153" s="246">
        <v>3049779</v>
      </c>
      <c r="H153" s="247" t="s">
        <v>279</v>
      </c>
      <c r="J153" s="236"/>
    </row>
    <row r="154" spans="1:10" ht="24" customHeight="1">
      <c r="A154" s="243">
        <f t="shared" si="4"/>
        <v>151</v>
      </c>
      <c r="B154" s="244">
        <v>50215</v>
      </c>
      <c r="C154" s="245" t="s">
        <v>1751</v>
      </c>
      <c r="D154" s="245" t="str">
        <f t="shared" si="5"/>
        <v>SVEUČILIŠTE J. J. STROSSMAYERA U OSIJEKU - AKADEMIJA ZA UMJETNOST I KULTURU U OSIJEKU (50215)</v>
      </c>
      <c r="E154" s="245" t="s">
        <v>303</v>
      </c>
      <c r="F154" s="245" t="s">
        <v>278</v>
      </c>
      <c r="G154" s="246">
        <v>4907361</v>
      </c>
      <c r="H154" s="247" t="s">
        <v>1710</v>
      </c>
      <c r="J154" s="236"/>
    </row>
    <row r="155" spans="1:10" ht="15" customHeight="1">
      <c r="A155" s="243">
        <f t="shared" si="4"/>
        <v>152</v>
      </c>
      <c r="B155" s="244">
        <v>2284</v>
      </c>
      <c r="C155" s="245" t="s">
        <v>1752</v>
      </c>
      <c r="D155" s="245" t="str">
        <f t="shared" si="5"/>
        <v>SVEUČILIŠTE J. J. STROSSMAYERA U OSIJEKU - EKONOMSKI FAKULTET (2284)</v>
      </c>
      <c r="E155" s="245" t="s">
        <v>280</v>
      </c>
      <c r="F155" s="245" t="s">
        <v>278</v>
      </c>
      <c r="G155" s="246">
        <v>3021645</v>
      </c>
      <c r="H155" s="247" t="s">
        <v>281</v>
      </c>
      <c r="J155" s="236"/>
    </row>
    <row r="156" spans="1:10" ht="24">
      <c r="A156" s="243">
        <f t="shared" si="4"/>
        <v>153</v>
      </c>
      <c r="B156" s="244">
        <v>2268</v>
      </c>
      <c r="C156" s="245" t="s">
        <v>1753</v>
      </c>
      <c r="D156" s="245" t="str">
        <f t="shared" si="5"/>
        <v>SVEUČILIŠTE J. J. STROSSMAYERA U OSIJEKU - FAKULTET AGROBIOTEHNIČKIH ZNANOSTI OSIJEK (2268)</v>
      </c>
      <c r="E156" s="245" t="s">
        <v>291</v>
      </c>
      <c r="F156" s="245" t="s">
        <v>278</v>
      </c>
      <c r="G156" s="246">
        <v>3058212</v>
      </c>
      <c r="H156" s="247" t="s">
        <v>292</v>
      </c>
      <c r="J156" s="236"/>
    </row>
    <row r="157" spans="1:10" ht="24">
      <c r="A157" s="243">
        <f t="shared" si="4"/>
        <v>154</v>
      </c>
      <c r="B157" s="244">
        <v>2313</v>
      </c>
      <c r="C157" s="245" t="s">
        <v>1754</v>
      </c>
      <c r="D157" s="245" t="str">
        <f t="shared" si="5"/>
        <v>SVEUČILIŠTE J. J. STROSSMAYERA U OSIJEKU - FAKULTET ELEKTROTEHNIKE, RAČUNARSTVA I INFORMACIJSKIH TEHNOLOGIJA OSIJEK (2313)</v>
      </c>
      <c r="E157" s="245" t="s">
        <v>3999</v>
      </c>
      <c r="F157" s="245" t="s">
        <v>278</v>
      </c>
      <c r="G157" s="246">
        <v>3392589</v>
      </c>
      <c r="H157" s="247" t="s">
        <v>283</v>
      </c>
      <c r="J157" s="236"/>
    </row>
    <row r="158" spans="1:10" s="236" customFormat="1" ht="24">
      <c r="A158" s="243">
        <f t="shared" si="4"/>
        <v>155</v>
      </c>
      <c r="B158" s="244">
        <v>49796</v>
      </c>
      <c r="C158" s="245" t="s">
        <v>1755</v>
      </c>
      <c r="D158" s="245" t="str">
        <f t="shared" si="5"/>
        <v>SVEUČILIŠTE J. J. STROSSMAYERA U OSIJEKU - FAKULTET ZA DENTALNU MEDICINU I ZDRAVSTVO (49796)</v>
      </c>
      <c r="E158" s="255" t="s">
        <v>301</v>
      </c>
      <c r="F158" s="245" t="s">
        <v>278</v>
      </c>
      <c r="G158" s="246">
        <v>4748875</v>
      </c>
      <c r="H158" s="247" t="s">
        <v>302</v>
      </c>
    </row>
    <row r="159" spans="1:10" ht="24">
      <c r="A159" s="243">
        <f t="shared" si="4"/>
        <v>156</v>
      </c>
      <c r="B159" s="244">
        <v>22486</v>
      </c>
      <c r="C159" s="245" t="s">
        <v>1756</v>
      </c>
      <c r="D159" s="245" t="str">
        <f t="shared" si="5"/>
        <v>SVEUČILIŠTE J. J. STROSSMAYERA U OSIJEKU - FAKULTET ZA ODGOJNE I OBRAZOVNE ZNANOSTI (22486)</v>
      </c>
      <c r="E159" s="245" t="s">
        <v>296</v>
      </c>
      <c r="F159" s="245" t="s">
        <v>278</v>
      </c>
      <c r="G159" s="246">
        <v>1404881</v>
      </c>
      <c r="H159" s="247" t="s">
        <v>297</v>
      </c>
      <c r="J159" s="236"/>
    </row>
    <row r="160" spans="1:10" ht="15" customHeight="1">
      <c r="A160" s="243">
        <f t="shared" si="4"/>
        <v>157</v>
      </c>
      <c r="B160" s="244">
        <v>2321</v>
      </c>
      <c r="C160" s="245" t="s">
        <v>1757</v>
      </c>
      <c r="D160" s="245" t="str">
        <f t="shared" si="5"/>
        <v>SVEUČILIŠTE J. J. STROSSMAYERA U OSIJEKU - FILOZOFSKI FAKULTET (2321)</v>
      </c>
      <c r="E160" s="245" t="s">
        <v>284</v>
      </c>
      <c r="F160" s="245" t="s">
        <v>278</v>
      </c>
      <c r="G160" s="246">
        <v>3014185</v>
      </c>
      <c r="H160" s="247" t="s">
        <v>285</v>
      </c>
      <c r="J160" s="236"/>
    </row>
    <row r="161" spans="1:10" ht="15" customHeight="1">
      <c r="A161" s="243">
        <f t="shared" si="4"/>
        <v>158</v>
      </c>
      <c r="B161" s="244">
        <v>2508</v>
      </c>
      <c r="C161" s="259" t="s">
        <v>1758</v>
      </c>
      <c r="D161" s="245" t="str">
        <f t="shared" si="5"/>
        <v>SVEUČILIŠTE J. J. STROSSMAYERA U OSIJEKU - GRADSKA I SVEUČILIŠNA KNJIŽNICA (2508)</v>
      </c>
      <c r="E161" s="259" t="s">
        <v>286</v>
      </c>
      <c r="F161" s="259" t="s">
        <v>278</v>
      </c>
      <c r="G161" s="260">
        <v>3014347</v>
      </c>
      <c r="H161" s="247" t="s">
        <v>287</v>
      </c>
      <c r="J161" s="236"/>
    </row>
    <row r="162" spans="1:10" ht="24">
      <c r="A162" s="243">
        <f t="shared" si="4"/>
        <v>159</v>
      </c>
      <c r="B162" s="244">
        <v>2250</v>
      </c>
      <c r="C162" s="245" t="s">
        <v>1759</v>
      </c>
      <c r="D162" s="245" t="str">
        <f t="shared" si="5"/>
        <v>SVEUČILIŠTE J. J. STROSSMAYERA U OSIJEKU - GRAĐEVINSKI I ARHITEKTONSKI FAKULTET OSIJEK (2250)</v>
      </c>
      <c r="E162" s="245" t="s">
        <v>1709</v>
      </c>
      <c r="F162" s="245" t="s">
        <v>278</v>
      </c>
      <c r="G162" s="246">
        <v>3397335</v>
      </c>
      <c r="H162" s="247" t="s">
        <v>288</v>
      </c>
      <c r="J162" s="236"/>
    </row>
    <row r="163" spans="1:10" s="236" customFormat="1" ht="15" customHeight="1">
      <c r="A163" s="243">
        <f t="shared" si="4"/>
        <v>160</v>
      </c>
      <c r="B163" s="244">
        <v>38479</v>
      </c>
      <c r="C163" s="245" t="s">
        <v>4000</v>
      </c>
      <c r="D163" s="245" t="str">
        <f t="shared" si="5"/>
        <v>KATOLIČKI BOGOSLOVNI FAKULTET U ĐAKOVU (38479)</v>
      </c>
      <c r="E163" s="255" t="s">
        <v>298</v>
      </c>
      <c r="F163" s="245" t="s">
        <v>299</v>
      </c>
      <c r="G163" s="246">
        <v>1986490</v>
      </c>
      <c r="H163" s="247" t="s">
        <v>300</v>
      </c>
    </row>
    <row r="164" spans="1:10" ht="15" customHeight="1">
      <c r="A164" s="243">
        <f t="shared" si="4"/>
        <v>161</v>
      </c>
      <c r="B164" s="244">
        <v>51450</v>
      </c>
      <c r="C164" s="245" t="s">
        <v>1761</v>
      </c>
      <c r="D164" s="245" t="str">
        <f t="shared" si="5"/>
        <v>SVEUČILIŠTE J. J. STROSSMAYERA U OSIJEKU - KINEZIOLOŠKI FAKULTET OSIJEK (51450)</v>
      </c>
      <c r="E164" s="245" t="s">
        <v>1762</v>
      </c>
      <c r="F164" s="245" t="s">
        <v>278</v>
      </c>
      <c r="G164" s="246">
        <v>5302099</v>
      </c>
      <c r="H164" s="247" t="s">
        <v>1763</v>
      </c>
      <c r="J164" s="236"/>
    </row>
    <row r="165" spans="1:10" ht="15" customHeight="1">
      <c r="A165" s="243">
        <f t="shared" si="4"/>
        <v>162</v>
      </c>
      <c r="B165" s="244">
        <v>22849</v>
      </c>
      <c r="C165" s="245" t="s">
        <v>1764</v>
      </c>
      <c r="D165" s="245" t="str">
        <f t="shared" si="5"/>
        <v>SVEUČILIŠTE J. J. STROSSMAYERA U OSIJEKU - MEDICINSKI FAKULTET (22849)</v>
      </c>
      <c r="E165" s="245" t="s">
        <v>289</v>
      </c>
      <c r="F165" s="245" t="s">
        <v>278</v>
      </c>
      <c r="G165" s="246">
        <v>1388142</v>
      </c>
      <c r="H165" s="247" t="s">
        <v>290</v>
      </c>
      <c r="J165" s="236"/>
    </row>
    <row r="166" spans="1:10" s="236" customFormat="1" ht="15" customHeight="1">
      <c r="A166" s="243">
        <f t="shared" si="4"/>
        <v>163</v>
      </c>
      <c r="B166" s="244">
        <v>2292</v>
      </c>
      <c r="C166" s="245" t="s">
        <v>1765</v>
      </c>
      <c r="D166" s="245" t="str">
        <f t="shared" si="5"/>
        <v>SVEUČILIŠTE J. J. STROSSMAYERA U OSIJEKU - PRAVNI FAKULTET (2292)</v>
      </c>
      <c r="E166" s="245" t="s">
        <v>293</v>
      </c>
      <c r="F166" s="245" t="s">
        <v>278</v>
      </c>
      <c r="G166" s="246">
        <v>3014193</v>
      </c>
      <c r="H166" s="247" t="s">
        <v>294</v>
      </c>
    </row>
    <row r="167" spans="1:10" ht="15" customHeight="1">
      <c r="A167" s="243">
        <f t="shared" si="4"/>
        <v>164</v>
      </c>
      <c r="B167" s="244">
        <v>2276</v>
      </c>
      <c r="C167" s="245" t="s">
        <v>1766</v>
      </c>
      <c r="D167" s="245" t="str">
        <f t="shared" si="5"/>
        <v>SVEUČILIŠTE J. J. STROSSMAYERA U OSIJEKU - PREHRAMBENO TEHNOLOŠKI FAKULTET (2276)</v>
      </c>
      <c r="E167" s="245" t="s">
        <v>1767</v>
      </c>
      <c r="F167" s="245" t="s">
        <v>278</v>
      </c>
      <c r="G167" s="246">
        <v>3058204</v>
      </c>
      <c r="H167" s="247" t="s">
        <v>295</v>
      </c>
      <c r="J167" s="236"/>
    </row>
    <row r="168" spans="1:10" s="236" customFormat="1" ht="15" customHeight="1">
      <c r="A168" s="243">
        <f t="shared" si="4"/>
        <v>165</v>
      </c>
      <c r="B168" s="244">
        <v>42024</v>
      </c>
      <c r="C168" s="245" t="s">
        <v>304</v>
      </c>
      <c r="D168" s="245" t="str">
        <f t="shared" si="5"/>
        <v>SVEUČILIŠTE JURJA DOBRILE U PULI (42024)</v>
      </c>
      <c r="E168" s="245" t="s">
        <v>305</v>
      </c>
      <c r="F168" s="245" t="s">
        <v>306</v>
      </c>
      <c r="G168" s="246">
        <v>2161753</v>
      </c>
      <c r="H168" s="247" t="s">
        <v>307</v>
      </c>
    </row>
    <row r="169" spans="1:10" s="236" customFormat="1" ht="15" customHeight="1">
      <c r="A169" s="243">
        <f t="shared" si="4"/>
        <v>166</v>
      </c>
      <c r="B169" s="244">
        <v>48267</v>
      </c>
      <c r="C169" s="245" t="s">
        <v>308</v>
      </c>
      <c r="D169" s="245" t="str">
        <f t="shared" si="5"/>
        <v>SVEUČILIŠTE SJEVER (48267)</v>
      </c>
      <c r="E169" s="245" t="s">
        <v>1712</v>
      </c>
      <c r="F169" s="245" t="s">
        <v>309</v>
      </c>
      <c r="G169" s="246">
        <v>2752298</v>
      </c>
      <c r="H169" s="247" t="s">
        <v>310</v>
      </c>
    </row>
    <row r="170" spans="1:10" s="261" customFormat="1" ht="15" customHeight="1">
      <c r="A170" s="243">
        <f t="shared" si="4"/>
        <v>167</v>
      </c>
      <c r="B170" s="244">
        <v>24141</v>
      </c>
      <c r="C170" s="245" t="s">
        <v>311</v>
      </c>
      <c r="D170" s="245" t="str">
        <f t="shared" si="5"/>
        <v>SVEUČILIŠTE U DUBROVNIKU (24141)</v>
      </c>
      <c r="E170" s="245" t="s">
        <v>312</v>
      </c>
      <c r="F170" s="245" t="s">
        <v>313</v>
      </c>
      <c r="G170" s="246">
        <v>1787578</v>
      </c>
      <c r="H170" s="247" t="s">
        <v>314</v>
      </c>
      <c r="J170" s="236"/>
    </row>
    <row r="171" spans="1:10" s="236" customFormat="1" ht="15" customHeight="1">
      <c r="A171" s="243">
        <f t="shared" si="4"/>
        <v>168</v>
      </c>
      <c r="B171" s="244">
        <v>2444</v>
      </c>
      <c r="C171" s="245" t="s">
        <v>318</v>
      </c>
      <c r="D171" s="245" t="str">
        <f t="shared" si="5"/>
        <v>SVEUČILIŠTE U RIJECI (2444)</v>
      </c>
      <c r="E171" s="245" t="s">
        <v>319</v>
      </c>
      <c r="F171" s="245" t="s">
        <v>320</v>
      </c>
      <c r="G171" s="246">
        <v>3337413</v>
      </c>
      <c r="H171" s="247" t="s">
        <v>321</v>
      </c>
    </row>
    <row r="172" spans="1:10" ht="15" customHeight="1">
      <c r="A172" s="243">
        <f t="shared" si="4"/>
        <v>169</v>
      </c>
      <c r="B172" s="244">
        <v>38454</v>
      </c>
      <c r="C172" s="245" t="s">
        <v>322</v>
      </c>
      <c r="D172" s="245" t="str">
        <f t="shared" si="5"/>
        <v>SVEUČILIŠTE U RIJECI - AKADEMIJA PRIMJENJENIH UMJETNOSTI (38454)</v>
      </c>
      <c r="E172" s="245" t="s">
        <v>323</v>
      </c>
      <c r="F172" s="245" t="s">
        <v>320</v>
      </c>
      <c r="G172" s="253">
        <v>1954253</v>
      </c>
      <c r="H172" s="247" t="s">
        <v>324</v>
      </c>
      <c r="J172" s="236"/>
    </row>
    <row r="173" spans="1:10" ht="15" customHeight="1">
      <c r="A173" s="243">
        <f t="shared" si="4"/>
        <v>170</v>
      </c>
      <c r="B173" s="244">
        <v>2186</v>
      </c>
      <c r="C173" s="245" t="s">
        <v>325</v>
      </c>
      <c r="D173" s="245" t="str">
        <f t="shared" si="5"/>
        <v>SVEUČILIŠTE U RIJECI - EKONOMSKI FAKULTET (2186)</v>
      </c>
      <c r="E173" s="245" t="s">
        <v>326</v>
      </c>
      <c r="F173" s="245" t="s">
        <v>320</v>
      </c>
      <c r="G173" s="246">
        <v>3328627</v>
      </c>
      <c r="H173" s="247" t="s">
        <v>327</v>
      </c>
      <c r="J173" s="236"/>
    </row>
    <row r="174" spans="1:10" ht="15" customHeight="1">
      <c r="A174" s="243">
        <f t="shared" si="4"/>
        <v>171</v>
      </c>
      <c r="B174" s="244">
        <v>2194</v>
      </c>
      <c r="C174" s="245" t="s">
        <v>328</v>
      </c>
      <c r="D174" s="245" t="str">
        <f t="shared" si="5"/>
        <v>SVEUČILIŠTE U RIJECI - FAKULTET ZA MENADŽMENT U TURIZMU I UGOSTITELJSTVU (2194)</v>
      </c>
      <c r="E174" s="245" t="s">
        <v>329</v>
      </c>
      <c r="F174" s="245" t="s">
        <v>330</v>
      </c>
      <c r="G174" s="246">
        <v>3091732</v>
      </c>
      <c r="H174" s="247" t="s">
        <v>331</v>
      </c>
      <c r="J174" s="236"/>
    </row>
    <row r="175" spans="1:10" ht="15" customHeight="1">
      <c r="A175" s="243">
        <f t="shared" si="4"/>
        <v>172</v>
      </c>
      <c r="B175" s="244">
        <v>48023</v>
      </c>
      <c r="C175" s="245" t="s">
        <v>355</v>
      </c>
      <c r="D175" s="245" t="str">
        <f t="shared" si="5"/>
        <v>SVEUČILIŠTE U RIJECI - FAKULTET ZDRAVSTVENIH STUDIJA U RIJECI (48023)</v>
      </c>
      <c r="E175" s="245" t="s">
        <v>356</v>
      </c>
      <c r="F175" s="245" t="s">
        <v>320</v>
      </c>
      <c r="G175" s="248" t="s">
        <v>357</v>
      </c>
      <c r="H175" s="247" t="s">
        <v>358</v>
      </c>
      <c r="J175" s="236"/>
    </row>
    <row r="176" spans="1:10" s="236" customFormat="1" ht="15" customHeight="1">
      <c r="A176" s="243">
        <f t="shared" si="4"/>
        <v>173</v>
      </c>
      <c r="B176" s="244">
        <v>22857</v>
      </c>
      <c r="C176" s="245" t="s">
        <v>332</v>
      </c>
      <c r="D176" s="245" t="str">
        <f t="shared" si="5"/>
        <v>SVEUČILIŠTE U RIJECI - FILOZOFSKI FAKULTET (22857)</v>
      </c>
      <c r="E176" s="245" t="s">
        <v>333</v>
      </c>
      <c r="F176" s="245" t="s">
        <v>320</v>
      </c>
      <c r="G176" s="246">
        <v>3368491</v>
      </c>
      <c r="H176" s="247" t="s">
        <v>334</v>
      </c>
    </row>
    <row r="177" spans="1:10" ht="15" customHeight="1">
      <c r="A177" s="243">
        <f t="shared" si="4"/>
        <v>174</v>
      </c>
      <c r="B177" s="244">
        <v>2160</v>
      </c>
      <c r="C177" s="245" t="s">
        <v>1713</v>
      </c>
      <c r="D177" s="245" t="str">
        <f t="shared" si="5"/>
        <v>SVEUČILIŠTE U RIJECI - GRAĐEVINSKI FAKULTET (2160)</v>
      </c>
      <c r="E177" s="245" t="s">
        <v>335</v>
      </c>
      <c r="F177" s="245" t="s">
        <v>320</v>
      </c>
      <c r="G177" s="246">
        <v>3395855</v>
      </c>
      <c r="H177" s="247" t="s">
        <v>336</v>
      </c>
      <c r="J177" s="236"/>
    </row>
    <row r="178" spans="1:10" ht="15" customHeight="1">
      <c r="A178" s="243">
        <f t="shared" si="4"/>
        <v>175</v>
      </c>
      <c r="B178" s="244">
        <v>2225</v>
      </c>
      <c r="C178" s="245" t="s">
        <v>337</v>
      </c>
      <c r="D178" s="245" t="str">
        <f t="shared" si="5"/>
        <v>SVEUČILIŠTE U RIJECI - MEDICINSKI FAKULTET (2225)</v>
      </c>
      <c r="E178" s="245" t="s">
        <v>338</v>
      </c>
      <c r="F178" s="245" t="s">
        <v>320</v>
      </c>
      <c r="G178" s="246">
        <v>3328554</v>
      </c>
      <c r="H178" s="247" t="s">
        <v>339</v>
      </c>
      <c r="J178" s="236"/>
    </row>
    <row r="179" spans="1:10" s="236" customFormat="1" ht="15" customHeight="1">
      <c r="A179" s="243">
        <f t="shared" si="4"/>
        <v>176</v>
      </c>
      <c r="B179" s="244">
        <v>22568</v>
      </c>
      <c r="C179" s="245" t="s">
        <v>4001</v>
      </c>
      <c r="D179" s="245" t="str">
        <f t="shared" si="5"/>
        <v>SVEUČILIŠTE U RIJECI, POMORSKI FAKULTET (22568)</v>
      </c>
      <c r="E179" s="245" t="s">
        <v>341</v>
      </c>
      <c r="F179" s="245" t="s">
        <v>320</v>
      </c>
      <c r="G179" s="246">
        <v>1580485</v>
      </c>
      <c r="H179" s="247" t="s">
        <v>342</v>
      </c>
    </row>
    <row r="180" spans="1:10" s="242" customFormat="1" ht="15" customHeight="1">
      <c r="A180" s="243">
        <f t="shared" si="4"/>
        <v>177</v>
      </c>
      <c r="B180" s="244">
        <v>2217</v>
      </c>
      <c r="C180" s="245" t="s">
        <v>343</v>
      </c>
      <c r="D180" s="245" t="str">
        <f t="shared" si="5"/>
        <v>SVEUČILIŠTE U RIJECI - PRAVNI FAKULTET (2217)</v>
      </c>
      <c r="E180" s="245" t="s">
        <v>344</v>
      </c>
      <c r="F180" s="245" t="s">
        <v>320</v>
      </c>
      <c r="G180" s="246">
        <v>3328562</v>
      </c>
      <c r="H180" s="247" t="s">
        <v>345</v>
      </c>
      <c r="J180" s="236"/>
    </row>
    <row r="181" spans="1:10" s="242" customFormat="1" ht="15" customHeight="1">
      <c r="A181" s="243">
        <f t="shared" si="4"/>
        <v>178</v>
      </c>
      <c r="B181" s="244">
        <v>2493</v>
      </c>
      <c r="C181" s="245" t="s">
        <v>346</v>
      </c>
      <c r="D181" s="245" t="str">
        <f t="shared" si="5"/>
        <v>SVEUČILIŠTE U RIJECI - SVEUČILIŠNA KNJIŽNICA (2493)</v>
      </c>
      <c r="E181" s="245" t="s">
        <v>347</v>
      </c>
      <c r="F181" s="245" t="s">
        <v>320</v>
      </c>
      <c r="G181" s="246">
        <v>3328686</v>
      </c>
      <c r="H181" s="247" t="s">
        <v>348</v>
      </c>
      <c r="J181" s="236"/>
    </row>
    <row r="182" spans="1:10" ht="15" customHeight="1">
      <c r="A182" s="243">
        <f t="shared" si="4"/>
        <v>179</v>
      </c>
      <c r="B182" s="244">
        <v>2151</v>
      </c>
      <c r="C182" s="245" t="s">
        <v>349</v>
      </c>
      <c r="D182" s="245" t="str">
        <f t="shared" si="5"/>
        <v>SVEUČILIŠTE U RIJECI - TEHNIČKI FAKULTET (2151)</v>
      </c>
      <c r="E182" s="245" t="s">
        <v>350</v>
      </c>
      <c r="F182" s="245" t="s">
        <v>320</v>
      </c>
      <c r="G182" s="246">
        <v>3334317</v>
      </c>
      <c r="H182" s="247" t="s">
        <v>351</v>
      </c>
      <c r="J182" s="236"/>
    </row>
    <row r="183" spans="1:10" ht="15" customHeight="1">
      <c r="A183" s="243">
        <f t="shared" si="4"/>
        <v>180</v>
      </c>
      <c r="B183" s="244">
        <v>40947</v>
      </c>
      <c r="C183" s="245" t="s">
        <v>352</v>
      </c>
      <c r="D183" s="245" t="str">
        <f t="shared" si="5"/>
        <v>SVEUČILIŠTE U RIJECI - UČITELJSKI FAKULTET (40947)</v>
      </c>
      <c r="E183" s="245" t="s">
        <v>353</v>
      </c>
      <c r="F183" s="245" t="s">
        <v>320</v>
      </c>
      <c r="G183" s="246">
        <v>2116073</v>
      </c>
      <c r="H183" s="247" t="s">
        <v>354</v>
      </c>
      <c r="J183" s="236"/>
    </row>
    <row r="184" spans="1:10" s="236" customFormat="1" ht="15" customHeight="1">
      <c r="A184" s="243">
        <f t="shared" si="4"/>
        <v>181</v>
      </c>
      <c r="B184" s="244">
        <v>51360</v>
      </c>
      <c r="C184" s="245" t="s">
        <v>1711</v>
      </c>
      <c r="D184" s="245" t="str">
        <f t="shared" si="5"/>
        <v>SVEUČILIŠTE U SLAVONSKOM BRODU (51360)</v>
      </c>
      <c r="E184" s="255" t="s">
        <v>1768</v>
      </c>
      <c r="F184" s="245" t="s">
        <v>1769</v>
      </c>
      <c r="G184" s="246">
        <v>5290538</v>
      </c>
      <c r="H184" s="247" t="s">
        <v>1770</v>
      </c>
    </row>
    <row r="185" spans="1:10" ht="15" customHeight="1">
      <c r="A185" s="243">
        <f t="shared" si="4"/>
        <v>182</v>
      </c>
      <c r="B185" s="244">
        <v>2469</v>
      </c>
      <c r="C185" s="245" t="s">
        <v>359</v>
      </c>
      <c r="D185" s="245" t="str">
        <f t="shared" si="5"/>
        <v>SVEUČILIŠTE U SPLITU (2469)</v>
      </c>
      <c r="E185" s="245" t="s">
        <v>369</v>
      </c>
      <c r="F185" s="245" t="s">
        <v>360</v>
      </c>
      <c r="G185" s="246">
        <v>3129306</v>
      </c>
      <c r="H185" s="247" t="s">
        <v>361</v>
      </c>
      <c r="J185" s="236"/>
    </row>
    <row r="186" spans="1:10" ht="15" customHeight="1">
      <c r="A186" s="243">
        <f t="shared" si="4"/>
        <v>183</v>
      </c>
      <c r="B186" s="244">
        <v>2372</v>
      </c>
      <c r="C186" s="245" t="s">
        <v>362</v>
      </c>
      <c r="D186" s="245" t="str">
        <f t="shared" si="5"/>
        <v>SVEUČILIŠTE U SPLITU - EKONOMSKI FAKULTET (2372)</v>
      </c>
      <c r="E186" s="245" t="s">
        <v>363</v>
      </c>
      <c r="F186" s="245" t="s">
        <v>360</v>
      </c>
      <c r="G186" s="246">
        <v>3119076</v>
      </c>
      <c r="H186" s="247" t="s">
        <v>364</v>
      </c>
      <c r="J186" s="236"/>
    </row>
    <row r="187" spans="1:10" ht="15" customHeight="1">
      <c r="A187" s="243">
        <f t="shared" ref="A187:A250" si="6">+A186+1</f>
        <v>184</v>
      </c>
      <c r="B187" s="244">
        <v>2330</v>
      </c>
      <c r="C187" s="245" t="s">
        <v>365</v>
      </c>
      <c r="D187" s="245" t="str">
        <f t="shared" si="5"/>
        <v>SVEUČILIŠTE U SPLITU - FAKULTET ELEKTROTEHNIKE, STROJARSTVA I BRODOGRADNJE (2330)</v>
      </c>
      <c r="E187" s="245" t="s">
        <v>366</v>
      </c>
      <c r="F187" s="245" t="s">
        <v>360</v>
      </c>
      <c r="G187" s="246">
        <v>3118339</v>
      </c>
      <c r="H187" s="247" t="s">
        <v>367</v>
      </c>
      <c r="J187" s="236"/>
    </row>
    <row r="188" spans="1:10" ht="15" customHeight="1">
      <c r="A188" s="243">
        <f t="shared" si="6"/>
        <v>185</v>
      </c>
      <c r="B188" s="244">
        <v>2348</v>
      </c>
      <c r="C188" s="245" t="s">
        <v>371</v>
      </c>
      <c r="D188" s="245" t="str">
        <f t="shared" si="5"/>
        <v>SVEUČILIŠTE U SPLITU - FAKULTET GRAĐEVINARSTVA, ARHITEKTURE I GEODEZIJE (2348)</v>
      </c>
      <c r="E188" s="245" t="s">
        <v>372</v>
      </c>
      <c r="F188" s="245" t="s">
        <v>360</v>
      </c>
      <c r="G188" s="246">
        <v>3149463</v>
      </c>
      <c r="H188" s="247" t="s">
        <v>373</v>
      </c>
      <c r="J188" s="236"/>
    </row>
    <row r="189" spans="1:10" ht="15" customHeight="1">
      <c r="A189" s="243">
        <f t="shared" si="6"/>
        <v>186</v>
      </c>
      <c r="B189" s="244">
        <v>22435</v>
      </c>
      <c r="C189" s="245" t="s">
        <v>368</v>
      </c>
      <c r="D189" s="245" t="str">
        <f t="shared" si="5"/>
        <v>SVEUČILIŠTE U SPLITU - FILOZOFSKI FAKULTET (22435)</v>
      </c>
      <c r="E189" s="245" t="s">
        <v>369</v>
      </c>
      <c r="F189" s="245" t="s">
        <v>360</v>
      </c>
      <c r="G189" s="246">
        <v>1413236</v>
      </c>
      <c r="H189" s="247" t="s">
        <v>370</v>
      </c>
      <c r="J189" s="236"/>
    </row>
    <row r="190" spans="1:10" ht="15" customHeight="1">
      <c r="A190" s="243">
        <f t="shared" si="6"/>
        <v>187</v>
      </c>
      <c r="B190" s="244">
        <v>23368</v>
      </c>
      <c r="C190" s="245" t="s">
        <v>379</v>
      </c>
      <c r="D190" s="245" t="str">
        <f t="shared" si="5"/>
        <v>SVEUČILIŠTE U SPLITU - KATOLIČKI BOGOSLOVNI FAKULTET (23368)</v>
      </c>
      <c r="E190" s="245" t="s">
        <v>380</v>
      </c>
      <c r="F190" s="245" t="s">
        <v>360</v>
      </c>
      <c r="G190" s="253">
        <v>1465643</v>
      </c>
      <c r="H190" s="247">
        <v>36149548625</v>
      </c>
      <c r="J190" s="236"/>
    </row>
    <row r="191" spans="1:10" ht="15" customHeight="1">
      <c r="A191" s="243">
        <f t="shared" si="6"/>
        <v>188</v>
      </c>
      <c r="B191" s="244">
        <v>2356</v>
      </c>
      <c r="C191" s="245" t="s">
        <v>374</v>
      </c>
      <c r="D191" s="245" t="str">
        <f t="shared" si="5"/>
        <v>SVEUČILIŠTE U SPLITU - KEMIJSKO-TEHNOLOŠKI FAKULTET (2356)</v>
      </c>
      <c r="E191" s="245" t="s">
        <v>1714</v>
      </c>
      <c r="F191" s="245" t="s">
        <v>360</v>
      </c>
      <c r="G191" s="246">
        <v>3119068</v>
      </c>
      <c r="H191" s="247" t="s">
        <v>375</v>
      </c>
      <c r="J191" s="236"/>
    </row>
    <row r="192" spans="1:10" ht="15" customHeight="1">
      <c r="A192" s="243">
        <f t="shared" si="6"/>
        <v>189</v>
      </c>
      <c r="B192" s="244">
        <v>43773</v>
      </c>
      <c r="C192" s="245" t="s">
        <v>376</v>
      </c>
      <c r="D192" s="245" t="str">
        <f t="shared" si="5"/>
        <v>SVEUČILIŠTE U SPLITU - KINEZIOLOŠKI FAKULTET (43773)</v>
      </c>
      <c r="E192" s="245" t="s">
        <v>377</v>
      </c>
      <c r="F192" s="245" t="s">
        <v>360</v>
      </c>
      <c r="G192" s="253">
        <v>2393255</v>
      </c>
      <c r="H192" s="247" t="s">
        <v>378</v>
      </c>
      <c r="J192" s="236"/>
    </row>
    <row r="193" spans="1:10" ht="15" customHeight="1">
      <c r="A193" s="243">
        <f t="shared" si="6"/>
        <v>190</v>
      </c>
      <c r="B193" s="244">
        <v>22451</v>
      </c>
      <c r="C193" s="245" t="s">
        <v>381</v>
      </c>
      <c r="D193" s="245" t="str">
        <f t="shared" si="5"/>
        <v>SVEUČILIŠTE U SPLITU - MEDICINSKI FAKULTET (22451)</v>
      </c>
      <c r="E193" s="245" t="s">
        <v>382</v>
      </c>
      <c r="F193" s="245" t="s">
        <v>360</v>
      </c>
      <c r="G193" s="246">
        <v>1315366</v>
      </c>
      <c r="H193" s="247" t="s">
        <v>383</v>
      </c>
      <c r="J193" s="236"/>
    </row>
    <row r="194" spans="1:10" ht="15" customHeight="1">
      <c r="A194" s="243">
        <f t="shared" si="6"/>
        <v>191</v>
      </c>
      <c r="B194" s="244">
        <v>22460</v>
      </c>
      <c r="C194" s="245" t="s">
        <v>384</v>
      </c>
      <c r="D194" s="245" t="str">
        <f t="shared" si="5"/>
        <v>SVEUČILIŠTE U SPLITU - POMORSKI FAKULTET (22460)</v>
      </c>
      <c r="E194" s="245" t="s">
        <v>1715</v>
      </c>
      <c r="F194" s="245" t="s">
        <v>360</v>
      </c>
      <c r="G194" s="246">
        <v>1406043</v>
      </c>
      <c r="H194" s="247" t="s">
        <v>385</v>
      </c>
      <c r="J194" s="236"/>
    </row>
    <row r="195" spans="1:10" ht="15" customHeight="1">
      <c r="A195" s="243">
        <f t="shared" si="6"/>
        <v>192</v>
      </c>
      <c r="B195" s="244">
        <v>2397</v>
      </c>
      <c r="C195" s="245" t="s">
        <v>386</v>
      </c>
      <c r="D195" s="245" t="str">
        <f t="shared" si="5"/>
        <v>SVEUČILIŠTE U SPLITU - PRAVNI FAKULTET (2397)</v>
      </c>
      <c r="E195" s="245" t="s">
        <v>387</v>
      </c>
      <c r="F195" s="245" t="s">
        <v>360</v>
      </c>
      <c r="G195" s="246">
        <v>3118347</v>
      </c>
      <c r="H195" s="247" t="s">
        <v>388</v>
      </c>
      <c r="J195" s="236"/>
    </row>
    <row r="196" spans="1:10" ht="15" customHeight="1">
      <c r="A196" s="243">
        <f t="shared" si="6"/>
        <v>193</v>
      </c>
      <c r="B196" s="244">
        <v>2410</v>
      </c>
      <c r="C196" s="245" t="s">
        <v>389</v>
      </c>
      <c r="D196" s="245" t="str">
        <f t="shared" ref="D196:D259" si="7">C196&amp;" ("&amp;B196&amp;")"</f>
        <v>SVEUČILIŠTE U SPLITU - PRIRODOSLOVNO - MATEMATIČKI FAKULTET (2410)</v>
      </c>
      <c r="E196" s="245" t="s">
        <v>1716</v>
      </c>
      <c r="F196" s="245" t="s">
        <v>360</v>
      </c>
      <c r="G196" s="246">
        <v>3199622</v>
      </c>
      <c r="H196" s="247" t="s">
        <v>390</v>
      </c>
      <c r="J196" s="236"/>
    </row>
    <row r="197" spans="1:10" ht="15" customHeight="1">
      <c r="A197" s="243">
        <f t="shared" si="6"/>
        <v>194</v>
      </c>
      <c r="B197" s="244">
        <v>2524</v>
      </c>
      <c r="C197" s="245" t="s">
        <v>391</v>
      </c>
      <c r="D197" s="245" t="str">
        <f t="shared" si="7"/>
        <v>SVEUČILIŠTE U SPLITU - SVEUČILIŠNA KNJIŽNICA (2524)</v>
      </c>
      <c r="E197" s="245" t="s">
        <v>392</v>
      </c>
      <c r="F197" s="245" t="s">
        <v>360</v>
      </c>
      <c r="G197" s="246">
        <v>3118436</v>
      </c>
      <c r="H197" s="247" t="s">
        <v>393</v>
      </c>
      <c r="J197" s="236"/>
    </row>
    <row r="198" spans="1:10" ht="15" customHeight="1">
      <c r="A198" s="243">
        <f t="shared" si="6"/>
        <v>195</v>
      </c>
      <c r="B198" s="244">
        <v>22478</v>
      </c>
      <c r="C198" s="245" t="s">
        <v>394</v>
      </c>
      <c r="D198" s="245" t="str">
        <f t="shared" si="7"/>
        <v>SVEUČILIŠTE U SPLITU - UMJETNIČKA AKADEMIJA (22478)</v>
      </c>
      <c r="E198" s="245" t="s">
        <v>395</v>
      </c>
      <c r="F198" s="245" t="s">
        <v>360</v>
      </c>
      <c r="G198" s="246">
        <v>1321358</v>
      </c>
      <c r="H198" s="247" t="s">
        <v>396</v>
      </c>
      <c r="J198" s="236"/>
    </row>
    <row r="199" spans="1:10" ht="15" customHeight="1">
      <c r="A199" s="243">
        <f t="shared" si="6"/>
        <v>196</v>
      </c>
      <c r="B199" s="244">
        <v>23815</v>
      </c>
      <c r="C199" s="245" t="s">
        <v>315</v>
      </c>
      <c r="D199" s="245" t="str">
        <f t="shared" si="7"/>
        <v>SVEUČILIŠTE U ZADRU (23815)</v>
      </c>
      <c r="E199" s="245" t="s">
        <v>1717</v>
      </c>
      <c r="F199" s="245" t="s">
        <v>316</v>
      </c>
      <c r="G199" s="246">
        <v>1695525</v>
      </c>
      <c r="H199" s="247" t="s">
        <v>317</v>
      </c>
      <c r="J199" s="236"/>
    </row>
    <row r="200" spans="1:10" ht="15" customHeight="1">
      <c r="A200" s="243">
        <f t="shared" si="6"/>
        <v>197</v>
      </c>
      <c r="B200" s="244">
        <v>2436</v>
      </c>
      <c r="C200" s="245" t="s">
        <v>397</v>
      </c>
      <c r="D200" s="245" t="str">
        <f t="shared" si="7"/>
        <v>SVEUČILIŠTE U ZAGREBU (2436)</v>
      </c>
      <c r="E200" s="245" t="s">
        <v>465</v>
      </c>
      <c r="F200" s="245" t="s">
        <v>275</v>
      </c>
      <c r="G200" s="246">
        <v>3211592</v>
      </c>
      <c r="H200" s="247" t="s">
        <v>398</v>
      </c>
      <c r="J200" s="236"/>
    </row>
    <row r="201" spans="1:10" ht="15" customHeight="1">
      <c r="A201" s="243">
        <f t="shared" si="6"/>
        <v>198</v>
      </c>
      <c r="B201" s="244">
        <v>1923</v>
      </c>
      <c r="C201" s="245" t="s">
        <v>399</v>
      </c>
      <c r="D201" s="245" t="str">
        <f t="shared" si="7"/>
        <v>SVEUČILIŠTE U ZAGREBU - AGRONOMSKI FAKULTET (1923)</v>
      </c>
      <c r="E201" s="245" t="s">
        <v>400</v>
      </c>
      <c r="F201" s="245" t="s">
        <v>275</v>
      </c>
      <c r="G201" s="246">
        <v>3283097</v>
      </c>
      <c r="H201" s="247" t="s">
        <v>401</v>
      </c>
      <c r="J201" s="236"/>
    </row>
    <row r="202" spans="1:10" ht="15" customHeight="1">
      <c r="A202" s="243">
        <f t="shared" si="6"/>
        <v>199</v>
      </c>
      <c r="B202" s="244">
        <v>1974</v>
      </c>
      <c r="C202" s="245" t="s">
        <v>402</v>
      </c>
      <c r="D202" s="245" t="str">
        <f t="shared" si="7"/>
        <v>SVEUČILIŠTE U ZAGREBU - AKADEMIJA DRAMSKE UMJETNOSTI (1974)</v>
      </c>
      <c r="E202" s="245" t="s">
        <v>403</v>
      </c>
      <c r="F202" s="245" t="s">
        <v>275</v>
      </c>
      <c r="G202" s="246">
        <v>3205029</v>
      </c>
      <c r="H202" s="247" t="s">
        <v>404</v>
      </c>
      <c r="J202" s="236"/>
    </row>
    <row r="203" spans="1:10" ht="15" customHeight="1">
      <c r="A203" s="243">
        <f t="shared" si="6"/>
        <v>200</v>
      </c>
      <c r="B203" s="244">
        <v>1982</v>
      </c>
      <c r="C203" s="245" t="s">
        <v>405</v>
      </c>
      <c r="D203" s="245" t="str">
        <f t="shared" si="7"/>
        <v>SVEUČILIŠTE U ZAGREBU - AKADEMIJA LIKOVNIH UMJETNOSTI (1982)</v>
      </c>
      <c r="E203" s="245" t="s">
        <v>406</v>
      </c>
      <c r="F203" s="245" t="s">
        <v>275</v>
      </c>
      <c r="G203" s="246">
        <v>3207919</v>
      </c>
      <c r="H203" s="247" t="s">
        <v>407</v>
      </c>
      <c r="J203" s="236"/>
    </row>
    <row r="204" spans="1:10" ht="15" customHeight="1">
      <c r="A204" s="243">
        <f t="shared" si="6"/>
        <v>201</v>
      </c>
      <c r="B204" s="244">
        <v>1861</v>
      </c>
      <c r="C204" s="245" t="s">
        <v>408</v>
      </c>
      <c r="D204" s="245" t="str">
        <f t="shared" si="7"/>
        <v>SVEUČILIŠTE U ZAGREBU - ARHITEKTONSKI FAKULTET  (1861)</v>
      </c>
      <c r="E204" s="245" t="s">
        <v>409</v>
      </c>
      <c r="F204" s="245" t="s">
        <v>275</v>
      </c>
      <c r="G204" s="246">
        <v>3204952</v>
      </c>
      <c r="H204" s="247" t="s">
        <v>410</v>
      </c>
      <c r="J204" s="236"/>
    </row>
    <row r="205" spans="1:10" ht="15" customHeight="1">
      <c r="A205" s="243">
        <f t="shared" si="6"/>
        <v>202</v>
      </c>
      <c r="B205" s="244">
        <v>1966</v>
      </c>
      <c r="C205" s="245" t="s">
        <v>411</v>
      </c>
      <c r="D205" s="245" t="str">
        <f t="shared" si="7"/>
        <v>SVEUČILIŠTE U ZAGREBU - EDUKACIJSKO-REHABILITACIJSKI FAKULTET  (1966)</v>
      </c>
      <c r="E205" s="245" t="s">
        <v>412</v>
      </c>
      <c r="F205" s="245" t="s">
        <v>275</v>
      </c>
      <c r="G205" s="246">
        <v>3219780</v>
      </c>
      <c r="H205" s="247" t="s">
        <v>413</v>
      </c>
      <c r="J205" s="236"/>
    </row>
    <row r="206" spans="1:10" ht="15" customHeight="1">
      <c r="A206" s="243">
        <f t="shared" si="6"/>
        <v>203</v>
      </c>
      <c r="B206" s="244">
        <v>1931</v>
      </c>
      <c r="C206" s="245" t="s">
        <v>414</v>
      </c>
      <c r="D206" s="245" t="str">
        <f t="shared" si="7"/>
        <v>SVEUČILIŠTE U ZAGREBU - EKONOMSKI FAKULTET (1931)</v>
      </c>
      <c r="E206" s="245" t="s">
        <v>4002</v>
      </c>
      <c r="F206" s="245" t="s">
        <v>275</v>
      </c>
      <c r="G206" s="246">
        <v>3272079</v>
      </c>
      <c r="H206" s="247" t="s">
        <v>415</v>
      </c>
      <c r="J206" s="236"/>
    </row>
    <row r="207" spans="1:10" ht="15" customHeight="1">
      <c r="A207" s="243">
        <f t="shared" si="6"/>
        <v>204</v>
      </c>
      <c r="B207" s="244">
        <v>1757</v>
      </c>
      <c r="C207" s="245" t="s">
        <v>416</v>
      </c>
      <c r="D207" s="245" t="str">
        <f t="shared" si="7"/>
        <v>SVEUČILIŠTE U ZAGREBU - FAKULTET ELEKTROTEHNIKE I RAČUNARSTVA (1757)</v>
      </c>
      <c r="E207" s="245" t="s">
        <v>417</v>
      </c>
      <c r="F207" s="245" t="s">
        <v>275</v>
      </c>
      <c r="G207" s="246">
        <v>3276643</v>
      </c>
      <c r="H207" s="247" t="s">
        <v>418</v>
      </c>
      <c r="J207" s="236"/>
    </row>
    <row r="208" spans="1:10" ht="15" customHeight="1">
      <c r="A208" s="243">
        <f t="shared" si="6"/>
        <v>205</v>
      </c>
      <c r="B208" s="244">
        <v>6154</v>
      </c>
      <c r="C208" s="245" t="s">
        <v>1719</v>
      </c>
      <c r="D208" s="245" t="str">
        <f t="shared" si="7"/>
        <v>SVEUČILIŠTE U ZAGREBU - FAKULTET FILOZOFIJE I RELIGIJSKIH ZNANOSTI (6154)</v>
      </c>
      <c r="E208" s="245" t="s">
        <v>419</v>
      </c>
      <c r="F208" s="245" t="s">
        <v>275</v>
      </c>
      <c r="G208" s="246">
        <v>1235664</v>
      </c>
      <c r="H208" s="247" t="s">
        <v>420</v>
      </c>
      <c r="J208" s="236"/>
    </row>
    <row r="209" spans="1:10" ht="15" customHeight="1">
      <c r="A209" s="243">
        <f t="shared" si="6"/>
        <v>206</v>
      </c>
      <c r="B209" s="244">
        <v>51191</v>
      </c>
      <c r="C209" s="245" t="s">
        <v>1720</v>
      </c>
      <c r="D209" s="245" t="str">
        <f t="shared" si="7"/>
        <v>SVEUČILIŠTE U ZAGREBU - FAKULTET HRVATSKIH STUDIJA (51191)</v>
      </c>
      <c r="E209" s="245" t="s">
        <v>1721</v>
      </c>
      <c r="F209" s="245" t="s">
        <v>275</v>
      </c>
      <c r="G209" s="246">
        <v>5214068</v>
      </c>
      <c r="H209" s="247" t="s">
        <v>1722</v>
      </c>
      <c r="J209" s="236"/>
    </row>
    <row r="210" spans="1:10" ht="15" customHeight="1">
      <c r="A210" s="243">
        <f t="shared" si="6"/>
        <v>207</v>
      </c>
      <c r="B210" s="244">
        <v>1790</v>
      </c>
      <c r="C210" s="245" t="s">
        <v>423</v>
      </c>
      <c r="D210" s="245" t="str">
        <f t="shared" si="7"/>
        <v>SVEUČILIŠTE U ZAGREBU - FAKULTET KEMIJSKOG INŽENJERSTVA I TEHNOLOGIJE (1790)</v>
      </c>
      <c r="E210" s="245" t="s">
        <v>424</v>
      </c>
      <c r="F210" s="245" t="s">
        <v>275</v>
      </c>
      <c r="G210" s="246">
        <v>3250270</v>
      </c>
      <c r="H210" s="247" t="s">
        <v>425</v>
      </c>
      <c r="J210" s="236"/>
    </row>
    <row r="211" spans="1:10" ht="15" customHeight="1">
      <c r="A211" s="243">
        <f t="shared" si="6"/>
        <v>208</v>
      </c>
      <c r="B211" s="244">
        <v>1907</v>
      </c>
      <c r="C211" s="245" t="s">
        <v>426</v>
      </c>
      <c r="D211" s="245" t="str">
        <f t="shared" si="7"/>
        <v>SVEUČILIŠTE U ZAGREBU - FAKULTET POLITIČKIH ZNANOSTI (1907)</v>
      </c>
      <c r="E211" s="245" t="s">
        <v>427</v>
      </c>
      <c r="F211" s="245" t="s">
        <v>275</v>
      </c>
      <c r="G211" s="246">
        <v>3270262</v>
      </c>
      <c r="H211" s="247" t="s">
        <v>428</v>
      </c>
      <c r="J211" s="236"/>
    </row>
    <row r="212" spans="1:10" ht="15" customHeight="1">
      <c r="A212" s="243">
        <f t="shared" si="6"/>
        <v>209</v>
      </c>
      <c r="B212" s="244">
        <v>1812</v>
      </c>
      <c r="C212" s="245" t="s">
        <v>429</v>
      </c>
      <c r="D212" s="245" t="str">
        <f t="shared" si="7"/>
        <v>SVEUČILIŠTE U ZAGREBU - FAKULTET PROMETNIH ZNANOSTI (1812)</v>
      </c>
      <c r="E212" s="245" t="s">
        <v>430</v>
      </c>
      <c r="F212" s="245" t="s">
        <v>275</v>
      </c>
      <c r="G212" s="246">
        <v>3260771</v>
      </c>
      <c r="H212" s="247" t="s">
        <v>431</v>
      </c>
      <c r="J212" s="236"/>
    </row>
    <row r="213" spans="1:10" ht="15" customHeight="1">
      <c r="A213" s="243">
        <f t="shared" si="6"/>
        <v>210</v>
      </c>
      <c r="B213" s="244">
        <v>1829</v>
      </c>
      <c r="C213" s="245" t="s">
        <v>432</v>
      </c>
      <c r="D213" s="245" t="str">
        <f t="shared" si="7"/>
        <v>SVEUČILIŠTE U ZAGREBU - FAKULTET STROJARSTVA I BRODOGRADNJE (1829)</v>
      </c>
      <c r="E213" s="245" t="s">
        <v>433</v>
      </c>
      <c r="F213" s="245" t="s">
        <v>275</v>
      </c>
      <c r="G213" s="246">
        <v>3276546</v>
      </c>
      <c r="H213" s="247" t="s">
        <v>434</v>
      </c>
      <c r="J213" s="236"/>
    </row>
    <row r="214" spans="1:10" ht="15" customHeight="1">
      <c r="A214" s="243">
        <f t="shared" si="6"/>
        <v>211</v>
      </c>
      <c r="B214" s="244">
        <v>2014</v>
      </c>
      <c r="C214" s="245" t="s">
        <v>435</v>
      </c>
      <c r="D214" s="245" t="str">
        <f t="shared" si="7"/>
        <v>SVEUČILIŠTE U ZAGREBU - FARMACEUTSKO-BIOKEMIJSKI FAKULTET  (2014)</v>
      </c>
      <c r="E214" s="245" t="s">
        <v>436</v>
      </c>
      <c r="F214" s="245" t="s">
        <v>275</v>
      </c>
      <c r="G214" s="246">
        <v>3205037</v>
      </c>
      <c r="H214" s="247" t="s">
        <v>437</v>
      </c>
      <c r="J214" s="236"/>
    </row>
    <row r="215" spans="1:10" ht="15" customHeight="1">
      <c r="A215" s="243">
        <f t="shared" si="6"/>
        <v>212</v>
      </c>
      <c r="B215" s="244">
        <v>1958</v>
      </c>
      <c r="C215" s="245" t="s">
        <v>438</v>
      </c>
      <c r="D215" s="245" t="str">
        <f t="shared" si="7"/>
        <v>SVEUČILIŠTE U ZAGREBU - FILOZOFSKI FAKULTET (1958)</v>
      </c>
      <c r="E215" s="245" t="s">
        <v>439</v>
      </c>
      <c r="F215" s="245" t="s">
        <v>275</v>
      </c>
      <c r="G215" s="246">
        <v>3254852</v>
      </c>
      <c r="H215" s="247" t="s">
        <v>440</v>
      </c>
      <c r="J215" s="236"/>
    </row>
    <row r="216" spans="1:10" ht="15" customHeight="1">
      <c r="A216" s="243">
        <f t="shared" si="6"/>
        <v>213</v>
      </c>
      <c r="B216" s="244">
        <v>1853</v>
      </c>
      <c r="C216" s="245" t="s">
        <v>441</v>
      </c>
      <c r="D216" s="245" t="str">
        <f t="shared" si="7"/>
        <v>SVEUČILIŠTE U ZAGREBU - GEODETSKI FAKULTET (1853)</v>
      </c>
      <c r="E216" s="245" t="s">
        <v>4003</v>
      </c>
      <c r="F216" s="245" t="s">
        <v>275</v>
      </c>
      <c r="G216" s="246">
        <v>3204987</v>
      </c>
      <c r="H216" s="247" t="s">
        <v>442</v>
      </c>
      <c r="J216" s="236"/>
    </row>
    <row r="217" spans="1:10" ht="15" customHeight="1">
      <c r="A217" s="243">
        <f t="shared" si="6"/>
        <v>214</v>
      </c>
      <c r="B217" s="244">
        <v>2102</v>
      </c>
      <c r="C217" s="245" t="s">
        <v>443</v>
      </c>
      <c r="D217" s="245" t="str">
        <f t="shared" si="7"/>
        <v>SVEUČILIŠTE U ZAGREBU - GEOTEHNIČKI FAKULTET (2102)</v>
      </c>
      <c r="E217" s="245" t="s">
        <v>444</v>
      </c>
      <c r="F217" s="245" t="s">
        <v>445</v>
      </c>
      <c r="G217" s="246">
        <v>3042316</v>
      </c>
      <c r="H217" s="247" t="s">
        <v>446</v>
      </c>
      <c r="J217" s="236"/>
    </row>
    <row r="218" spans="1:10" ht="15" customHeight="1">
      <c r="A218" s="243">
        <f t="shared" si="6"/>
        <v>215</v>
      </c>
      <c r="B218" s="244">
        <v>1837</v>
      </c>
      <c r="C218" s="245" t="s">
        <v>447</v>
      </c>
      <c r="D218" s="245" t="str">
        <f t="shared" si="7"/>
        <v>SVEUČILIŠTE U ZAGREBU - GRAĐEVINSKI FAKULTET (1837)</v>
      </c>
      <c r="E218" s="245" t="s">
        <v>448</v>
      </c>
      <c r="F218" s="245" t="s">
        <v>275</v>
      </c>
      <c r="G218" s="246">
        <v>3227120</v>
      </c>
      <c r="H218" s="247" t="s">
        <v>449</v>
      </c>
      <c r="J218" s="236"/>
    </row>
    <row r="219" spans="1:10" ht="15" customHeight="1">
      <c r="A219" s="243">
        <f t="shared" si="6"/>
        <v>216</v>
      </c>
      <c r="B219" s="244">
        <v>2080</v>
      </c>
      <c r="C219" s="245" t="s">
        <v>450</v>
      </c>
      <c r="D219" s="245" t="str">
        <f t="shared" si="7"/>
        <v>SVEUČILIŠTE U ZAGREBU - GRAFIČKI FAKULTET (2080)</v>
      </c>
      <c r="E219" s="245" t="s">
        <v>451</v>
      </c>
      <c r="F219" s="245" t="s">
        <v>275</v>
      </c>
      <c r="G219" s="246">
        <v>3219763</v>
      </c>
      <c r="H219" s="247" t="s">
        <v>452</v>
      </c>
      <c r="J219" s="236"/>
    </row>
    <row r="220" spans="1:10" ht="15" customHeight="1">
      <c r="A220" s="243">
        <f t="shared" si="6"/>
        <v>217</v>
      </c>
      <c r="B220" s="244">
        <v>2135</v>
      </c>
      <c r="C220" s="245" t="s">
        <v>421</v>
      </c>
      <c r="D220" s="245" t="str">
        <f t="shared" si="7"/>
        <v>SVEUČILIŠTE U ZAGREBU - KATOLIČKI BOGOSLOVNI FAKULTET  (2135)</v>
      </c>
      <c r="E220" s="245" t="s">
        <v>422</v>
      </c>
      <c r="F220" s="245" t="s">
        <v>275</v>
      </c>
      <c r="G220" s="246">
        <v>3703088</v>
      </c>
      <c r="H220" s="247">
        <v>48987767944</v>
      </c>
      <c r="J220" s="236"/>
    </row>
    <row r="221" spans="1:10" ht="15" customHeight="1">
      <c r="A221" s="243">
        <f t="shared" si="6"/>
        <v>218</v>
      </c>
      <c r="B221" s="244">
        <v>2006</v>
      </c>
      <c r="C221" s="245" t="s">
        <v>453</v>
      </c>
      <c r="D221" s="245" t="str">
        <f t="shared" si="7"/>
        <v>SVEUČILIŠTE U ZAGREBU - KINEZIOLOŠKI FAKULTET (2006)</v>
      </c>
      <c r="E221" s="245" t="s">
        <v>454</v>
      </c>
      <c r="F221" s="245" t="s">
        <v>275</v>
      </c>
      <c r="G221" s="246">
        <v>3274080</v>
      </c>
      <c r="H221" s="247" t="s">
        <v>455</v>
      </c>
      <c r="J221" s="236"/>
    </row>
    <row r="222" spans="1:10" ht="15" customHeight="1">
      <c r="A222" s="243">
        <f t="shared" si="6"/>
        <v>219</v>
      </c>
      <c r="B222" s="244">
        <v>1888</v>
      </c>
      <c r="C222" s="245" t="s">
        <v>456</v>
      </c>
      <c r="D222" s="245" t="str">
        <f t="shared" si="7"/>
        <v>SVEUČILIŠTE U ZAGREBU - MEDICINSKI FAKULTET (1888)</v>
      </c>
      <c r="E222" s="245" t="s">
        <v>457</v>
      </c>
      <c r="F222" s="245" t="s">
        <v>275</v>
      </c>
      <c r="G222" s="246">
        <v>3270211</v>
      </c>
      <c r="H222" s="247" t="s">
        <v>458</v>
      </c>
      <c r="J222" s="236"/>
    </row>
    <row r="223" spans="1:10" ht="15" customHeight="1">
      <c r="A223" s="243">
        <f t="shared" si="6"/>
        <v>220</v>
      </c>
      <c r="B223" s="244">
        <v>2071</v>
      </c>
      <c r="C223" s="245" t="s">
        <v>459</v>
      </c>
      <c r="D223" s="245" t="str">
        <f t="shared" si="7"/>
        <v>SVEUČILIŠTE U ZAGREBU - METALURŠKI FAKULTET SISAK (2071)</v>
      </c>
      <c r="E223" s="245" t="s">
        <v>460</v>
      </c>
      <c r="F223" s="245" t="s">
        <v>1724</v>
      </c>
      <c r="G223" s="246">
        <v>3313786</v>
      </c>
      <c r="H223" s="247" t="s">
        <v>461</v>
      </c>
      <c r="J223" s="236"/>
    </row>
    <row r="224" spans="1:10" ht="15" customHeight="1">
      <c r="A224" s="243">
        <f t="shared" si="6"/>
        <v>221</v>
      </c>
      <c r="B224" s="244">
        <v>1999</v>
      </c>
      <c r="C224" s="245" t="s">
        <v>462</v>
      </c>
      <c r="D224" s="245" t="str">
        <f t="shared" si="7"/>
        <v>SVEUČILIŠTE U ZAGREBU - MUZIČKA AKADEMIJA (1999)</v>
      </c>
      <c r="E224" s="245" t="s">
        <v>1725</v>
      </c>
      <c r="F224" s="245" t="s">
        <v>275</v>
      </c>
      <c r="G224" s="246">
        <v>3205002</v>
      </c>
      <c r="H224" s="247" t="s">
        <v>463</v>
      </c>
      <c r="J224" s="236"/>
    </row>
    <row r="225" spans="1:10" ht="15" customHeight="1">
      <c r="A225" s="243">
        <f t="shared" si="6"/>
        <v>222</v>
      </c>
      <c r="B225" s="244">
        <v>1915</v>
      </c>
      <c r="C225" s="245" t="s">
        <v>464</v>
      </c>
      <c r="D225" s="245" t="str">
        <f t="shared" si="7"/>
        <v>SVEUČILIŠTE U ZAGREBU - PRAVNI FAKULTET (1915)</v>
      </c>
      <c r="E225" s="245" t="s">
        <v>465</v>
      </c>
      <c r="F225" s="245" t="s">
        <v>275</v>
      </c>
      <c r="G225" s="246">
        <v>3225909</v>
      </c>
      <c r="H225" s="247" t="s">
        <v>466</v>
      </c>
      <c r="J225" s="236"/>
    </row>
    <row r="226" spans="1:10" ht="15" customHeight="1">
      <c r="A226" s="243">
        <f t="shared" si="6"/>
        <v>223</v>
      </c>
      <c r="B226" s="244">
        <v>1845</v>
      </c>
      <c r="C226" s="245" t="s">
        <v>467</v>
      </c>
      <c r="D226" s="245" t="str">
        <f t="shared" si="7"/>
        <v>SVEUČILIŠTE U ZAGREBU - PREHRAMBENO BIOTEHNOLOŠKI FAKULTET (1845)</v>
      </c>
      <c r="E226" s="245" t="s">
        <v>473</v>
      </c>
      <c r="F226" s="245" t="s">
        <v>275</v>
      </c>
      <c r="G226" s="246">
        <v>3207102</v>
      </c>
      <c r="H226" s="247" t="s">
        <v>468</v>
      </c>
      <c r="J226" s="236"/>
    </row>
    <row r="227" spans="1:10" ht="15" customHeight="1">
      <c r="A227" s="243">
        <f t="shared" si="6"/>
        <v>224</v>
      </c>
      <c r="B227" s="244">
        <v>1781</v>
      </c>
      <c r="C227" s="245" t="s">
        <v>469</v>
      </c>
      <c r="D227" s="245" t="str">
        <f t="shared" si="7"/>
        <v>SVEUČILIŠTE U ZAGREBU - PRIRODOSLOVNO-MATEMATIČKI FAKULTET (1781)</v>
      </c>
      <c r="E227" s="245" t="s">
        <v>470</v>
      </c>
      <c r="F227" s="245" t="s">
        <v>275</v>
      </c>
      <c r="G227" s="246">
        <v>3270149</v>
      </c>
      <c r="H227" s="247" t="s">
        <v>471</v>
      </c>
      <c r="J227" s="236"/>
    </row>
    <row r="228" spans="1:10" ht="15" customHeight="1">
      <c r="A228" s="243">
        <f t="shared" si="6"/>
        <v>225</v>
      </c>
      <c r="B228" s="244">
        <v>2047</v>
      </c>
      <c r="C228" s="245" t="s">
        <v>472</v>
      </c>
      <c r="D228" s="245" t="str">
        <f t="shared" si="7"/>
        <v>SVEUČILIŠTE U ZAGREBU - RUDARSKO-GEOLOŠKO-NAFTNI FAKULTET (2047)</v>
      </c>
      <c r="E228" s="245" t="s">
        <v>473</v>
      </c>
      <c r="F228" s="245" t="s">
        <v>275</v>
      </c>
      <c r="G228" s="246">
        <v>3207005</v>
      </c>
      <c r="H228" s="247" t="s">
        <v>474</v>
      </c>
      <c r="J228" s="236"/>
    </row>
    <row r="229" spans="1:10" ht="15" customHeight="1">
      <c r="A229" s="243">
        <f t="shared" si="6"/>
        <v>226</v>
      </c>
      <c r="B229" s="244">
        <v>1870</v>
      </c>
      <c r="C229" s="245" t="s">
        <v>475</v>
      </c>
      <c r="D229" s="245" t="str">
        <f t="shared" si="7"/>
        <v>SVEUČILIŠTE U ZAGREBU - STOMATOLOŠKI FAKULTET (1870)</v>
      </c>
      <c r="E229" s="245" t="s">
        <v>476</v>
      </c>
      <c r="F229" s="245" t="s">
        <v>275</v>
      </c>
      <c r="G229" s="246">
        <v>3204995</v>
      </c>
      <c r="H229" s="247" t="s">
        <v>477</v>
      </c>
      <c r="J229" s="236"/>
    </row>
    <row r="230" spans="1:10" ht="15" customHeight="1">
      <c r="A230" s="243">
        <f t="shared" si="6"/>
        <v>227</v>
      </c>
      <c r="B230" s="244">
        <v>1896</v>
      </c>
      <c r="C230" s="245" t="s">
        <v>1771</v>
      </c>
      <c r="D230" s="245" t="str">
        <f t="shared" si="7"/>
        <v>SVEUČILIŠTE U ZAGREBU - FAKULTET ŠUMARSTVA I DRVNE TEHNOLOGIJE (1896)</v>
      </c>
      <c r="E230" s="245" t="s">
        <v>400</v>
      </c>
      <c r="F230" s="245" t="s">
        <v>275</v>
      </c>
      <c r="G230" s="246">
        <v>3281485</v>
      </c>
      <c r="H230" s="247" t="s">
        <v>478</v>
      </c>
      <c r="J230" s="236"/>
    </row>
    <row r="231" spans="1:10" ht="15" customHeight="1">
      <c r="A231" s="243">
        <f t="shared" si="6"/>
        <v>228</v>
      </c>
      <c r="B231" s="244">
        <v>1804</v>
      </c>
      <c r="C231" s="245" t="s">
        <v>479</v>
      </c>
      <c r="D231" s="245" t="str">
        <f t="shared" si="7"/>
        <v>SVEUČILIŠTE U ZAGREBU - TEKSTILNO TEHNOLOŠKI FAKULTET (1804)</v>
      </c>
      <c r="E231" s="245" t="s">
        <v>480</v>
      </c>
      <c r="F231" s="245" t="s">
        <v>275</v>
      </c>
      <c r="G231" s="246">
        <v>3207064</v>
      </c>
      <c r="H231" s="247" t="s">
        <v>481</v>
      </c>
      <c r="J231" s="236"/>
    </row>
    <row r="232" spans="1:10" ht="15" customHeight="1">
      <c r="A232" s="243">
        <f t="shared" si="6"/>
        <v>229</v>
      </c>
      <c r="B232" s="244">
        <v>1940</v>
      </c>
      <c r="C232" s="245" t="s">
        <v>482</v>
      </c>
      <c r="D232" s="245" t="str">
        <f t="shared" si="7"/>
        <v>SVEUČILIŠTE U ZAGREBU - UČITELJSKI FAKULTET (1940)</v>
      </c>
      <c r="E232" s="245" t="s">
        <v>483</v>
      </c>
      <c r="F232" s="245" t="s">
        <v>275</v>
      </c>
      <c r="G232" s="246">
        <v>1422545</v>
      </c>
      <c r="H232" s="247" t="s">
        <v>484</v>
      </c>
      <c r="J232" s="236"/>
    </row>
    <row r="233" spans="1:10" ht="15" customHeight="1">
      <c r="A233" s="243">
        <f t="shared" si="6"/>
        <v>230</v>
      </c>
      <c r="B233" s="244">
        <v>2022</v>
      </c>
      <c r="C233" s="245" t="s">
        <v>485</v>
      </c>
      <c r="D233" s="245" t="str">
        <f t="shared" si="7"/>
        <v>SVEUČILIŠTE U ZAGREBU - VETERINARSKI FAKULTET (2022)</v>
      </c>
      <c r="E233" s="245" t="s">
        <v>486</v>
      </c>
      <c r="F233" s="245" t="s">
        <v>275</v>
      </c>
      <c r="G233" s="246">
        <v>3225755</v>
      </c>
      <c r="H233" s="247" t="s">
        <v>487</v>
      </c>
      <c r="J233" s="236"/>
    </row>
    <row r="234" spans="1:10" ht="15" customHeight="1">
      <c r="A234" s="243">
        <f t="shared" si="6"/>
        <v>231</v>
      </c>
      <c r="B234" s="244">
        <v>22427</v>
      </c>
      <c r="C234" s="245" t="s">
        <v>496</v>
      </c>
      <c r="D234" s="245" t="str">
        <f t="shared" si="7"/>
        <v>TEHNIČKO VELEUČILIŠTE U ZAGREBU (22427)</v>
      </c>
      <c r="E234" s="245" t="s">
        <v>497</v>
      </c>
      <c r="F234" s="245" t="s">
        <v>275</v>
      </c>
      <c r="G234" s="246">
        <v>1398270</v>
      </c>
      <c r="H234" s="247" t="s">
        <v>498</v>
      </c>
      <c r="J234" s="236"/>
    </row>
    <row r="235" spans="1:10" ht="24">
      <c r="A235" s="243">
        <f t="shared" si="6"/>
        <v>232</v>
      </c>
      <c r="B235" s="244">
        <v>50848</v>
      </c>
      <c r="C235" s="245" t="s">
        <v>1726</v>
      </c>
      <c r="D235" s="245" t="str">
        <f t="shared" si="7"/>
        <v>VELEUČILIŠTE HRVATSKO ZAGORJE KRAPINA (50848)</v>
      </c>
      <c r="E235" s="245" t="s">
        <v>1727</v>
      </c>
      <c r="F235" s="245" t="s">
        <v>1728</v>
      </c>
      <c r="G235" s="246">
        <v>2271354</v>
      </c>
      <c r="H235" s="247" t="s">
        <v>1729</v>
      </c>
      <c r="J235" s="236"/>
    </row>
    <row r="236" spans="1:10" ht="15" customHeight="1">
      <c r="A236" s="243">
        <f t="shared" si="6"/>
        <v>233</v>
      </c>
      <c r="B236" s="244">
        <v>38446</v>
      </c>
      <c r="C236" s="245" t="s">
        <v>499</v>
      </c>
      <c r="D236" s="245" t="str">
        <f t="shared" si="7"/>
        <v>VELEUČILIŠTE LAVOSLAV RUŽIČKA U VUKOVARU (38446)</v>
      </c>
      <c r="E236" s="255" t="s">
        <v>500</v>
      </c>
      <c r="F236" s="255" t="s">
        <v>501</v>
      </c>
      <c r="G236" s="246">
        <v>1970828</v>
      </c>
      <c r="H236" s="247" t="s">
        <v>502</v>
      </c>
      <c r="J236" s="236"/>
    </row>
    <row r="237" spans="1:10" ht="15" customHeight="1">
      <c r="A237" s="243">
        <f t="shared" si="6"/>
        <v>234</v>
      </c>
      <c r="B237" s="244">
        <v>38438</v>
      </c>
      <c r="C237" s="245" t="s">
        <v>503</v>
      </c>
      <c r="D237" s="245" t="str">
        <f t="shared" si="7"/>
        <v>VELEUČILIŠTE MARKO MARULIĆ U KNINU (38438)</v>
      </c>
      <c r="E237" s="254" t="s">
        <v>4004</v>
      </c>
      <c r="F237" s="254" t="s">
        <v>505</v>
      </c>
      <c r="G237" s="253">
        <v>1963813</v>
      </c>
      <c r="H237" s="247" t="s">
        <v>506</v>
      </c>
      <c r="J237" s="236"/>
    </row>
    <row r="238" spans="1:10" ht="15" customHeight="1">
      <c r="A238" s="243">
        <f t="shared" si="6"/>
        <v>235</v>
      </c>
      <c r="B238" s="244">
        <v>41185</v>
      </c>
      <c r="C238" s="245" t="s">
        <v>507</v>
      </c>
      <c r="D238" s="245" t="str">
        <f t="shared" si="7"/>
        <v>VELEUČILIŠTE NIKOLA TESLA U GOSPIĆU (41185)</v>
      </c>
      <c r="E238" s="245" t="s">
        <v>508</v>
      </c>
      <c r="F238" s="245" t="s">
        <v>509</v>
      </c>
      <c r="G238" s="246">
        <v>2103133</v>
      </c>
      <c r="H238" s="247" t="s">
        <v>510</v>
      </c>
      <c r="J238" s="236"/>
    </row>
    <row r="239" spans="1:10" ht="15" customHeight="1">
      <c r="A239" s="243">
        <f t="shared" si="6"/>
        <v>236</v>
      </c>
      <c r="B239" s="244">
        <v>21053</v>
      </c>
      <c r="C239" s="245" t="s">
        <v>511</v>
      </c>
      <c r="D239" s="245" t="str">
        <f t="shared" si="7"/>
        <v>VELEUČILIŠTE U KARLOVCU (21053)</v>
      </c>
      <c r="E239" s="245" t="s">
        <v>512</v>
      </c>
      <c r="F239" s="245" t="s">
        <v>513</v>
      </c>
      <c r="G239" s="246">
        <v>1286030</v>
      </c>
      <c r="H239" s="247" t="s">
        <v>514</v>
      </c>
      <c r="J239" s="236"/>
    </row>
    <row r="240" spans="1:10" ht="15" customHeight="1">
      <c r="A240" s="243">
        <f t="shared" si="6"/>
        <v>237</v>
      </c>
      <c r="B240" s="244">
        <v>22398</v>
      </c>
      <c r="C240" s="245" t="s">
        <v>515</v>
      </c>
      <c r="D240" s="245" t="str">
        <f t="shared" si="7"/>
        <v>VELEUČILIŠTE U POŽEGI (22398)</v>
      </c>
      <c r="E240" s="245" t="s">
        <v>516</v>
      </c>
      <c r="F240" s="245" t="s">
        <v>517</v>
      </c>
      <c r="G240" s="246">
        <v>1395521</v>
      </c>
      <c r="H240" s="247" t="s">
        <v>518</v>
      </c>
      <c r="J240" s="236"/>
    </row>
    <row r="241" spans="1:10" ht="15" customHeight="1">
      <c r="A241" s="243">
        <f t="shared" si="6"/>
        <v>238</v>
      </c>
      <c r="B241" s="244">
        <v>22494</v>
      </c>
      <c r="C241" s="245" t="s">
        <v>519</v>
      </c>
      <c r="D241" s="245" t="str">
        <f t="shared" si="7"/>
        <v>VELEUČILIŠTE U RIJECI (22494)</v>
      </c>
      <c r="E241" s="245" t="s">
        <v>520</v>
      </c>
      <c r="F241" s="245" t="s">
        <v>320</v>
      </c>
      <c r="G241" s="246">
        <v>1387332</v>
      </c>
      <c r="H241" s="247" t="s">
        <v>521</v>
      </c>
      <c r="J241" s="236"/>
    </row>
    <row r="242" spans="1:10" ht="15" customHeight="1">
      <c r="A242" s="243">
        <f t="shared" si="6"/>
        <v>239</v>
      </c>
      <c r="B242" s="244">
        <v>22824</v>
      </c>
      <c r="C242" s="245" t="s">
        <v>522</v>
      </c>
      <c r="D242" s="245" t="str">
        <f t="shared" si="7"/>
        <v>VELEUČILIŠTE U ŠIBENIKU (22824)</v>
      </c>
      <c r="E242" s="245" t="s">
        <v>4005</v>
      </c>
      <c r="F242" s="245" t="s">
        <v>524</v>
      </c>
      <c r="G242" s="246">
        <v>2100673</v>
      </c>
      <c r="H242" s="247" t="s">
        <v>525</v>
      </c>
      <c r="J242" s="236"/>
    </row>
    <row r="243" spans="1:10" ht="15" customHeight="1">
      <c r="A243" s="243">
        <f t="shared" si="6"/>
        <v>240</v>
      </c>
      <c r="B243" s="244">
        <v>42993</v>
      </c>
      <c r="C243" s="245" t="s">
        <v>1772</v>
      </c>
      <c r="D243" s="245" t="str">
        <f t="shared" si="7"/>
        <v>VELEUČILIŠTE U VIROVITICI (42993)</v>
      </c>
      <c r="E243" s="245" t="s">
        <v>526</v>
      </c>
      <c r="F243" s="245" t="s">
        <v>527</v>
      </c>
      <c r="G243" s="246">
        <v>2282208</v>
      </c>
      <c r="H243" s="247" t="s">
        <v>528</v>
      </c>
      <c r="J243" s="236"/>
    </row>
    <row r="244" spans="1:10" ht="15" customHeight="1">
      <c r="A244" s="243">
        <f t="shared" si="6"/>
        <v>241</v>
      </c>
      <c r="B244" s="244">
        <v>22371</v>
      </c>
      <c r="C244" s="245" t="s">
        <v>529</v>
      </c>
      <c r="D244" s="245" t="str">
        <f t="shared" si="7"/>
        <v>VISOKO GOSPODARSKO UČILIŠTE U KRIŽEVCIMA (22371)</v>
      </c>
      <c r="E244" s="245" t="s">
        <v>530</v>
      </c>
      <c r="F244" s="245" t="s">
        <v>531</v>
      </c>
      <c r="G244" s="246">
        <v>1411942</v>
      </c>
      <c r="H244" s="247" t="s">
        <v>532</v>
      </c>
      <c r="J244" s="236"/>
    </row>
    <row r="245" spans="1:10" ht="15" customHeight="1">
      <c r="A245" s="243">
        <f t="shared" si="6"/>
        <v>242</v>
      </c>
      <c r="B245" s="244">
        <v>22832</v>
      </c>
      <c r="C245" s="245" t="s">
        <v>533</v>
      </c>
      <c r="D245" s="245" t="str">
        <f t="shared" si="7"/>
        <v>ZDRAVSTVENO VELEUČILIŠTE (22832)</v>
      </c>
      <c r="E245" s="245" t="s">
        <v>534</v>
      </c>
      <c r="F245" s="245" t="s">
        <v>275</v>
      </c>
      <c r="G245" s="246">
        <v>1274597</v>
      </c>
      <c r="H245" s="247" t="s">
        <v>535</v>
      </c>
      <c r="J245" s="236"/>
    </row>
    <row r="246" spans="1:10" ht="15" customHeight="1">
      <c r="A246" s="243">
        <f t="shared" si="6"/>
        <v>243</v>
      </c>
      <c r="B246" s="244">
        <v>2918</v>
      </c>
      <c r="C246" s="245" t="s">
        <v>4006</v>
      </c>
      <c r="D246" s="245" t="str">
        <f t="shared" si="7"/>
        <v>EKONOMSKI INSTITUT, ZAGREB (2918)</v>
      </c>
      <c r="E246" s="245" t="s">
        <v>4007</v>
      </c>
      <c r="F246" s="245" t="s">
        <v>275</v>
      </c>
      <c r="G246" s="246">
        <v>3219925</v>
      </c>
      <c r="H246" s="247" t="s">
        <v>539</v>
      </c>
      <c r="J246" s="236"/>
    </row>
    <row r="247" spans="1:10" ht="15" customHeight="1">
      <c r="A247" s="243">
        <f t="shared" si="6"/>
        <v>244</v>
      </c>
      <c r="B247" s="244">
        <v>22525</v>
      </c>
      <c r="C247" s="245" t="s">
        <v>567</v>
      </c>
      <c r="D247" s="245" t="str">
        <f t="shared" si="7"/>
        <v>HRVATSKI GEOLOŠKI INSTITUT  (22525)</v>
      </c>
      <c r="E247" s="245" t="s">
        <v>568</v>
      </c>
      <c r="F247" s="245" t="s">
        <v>275</v>
      </c>
      <c r="G247" s="246">
        <v>3219518</v>
      </c>
      <c r="H247" s="247" t="s">
        <v>569</v>
      </c>
      <c r="J247" s="236"/>
    </row>
    <row r="248" spans="1:10" ht="15" customHeight="1">
      <c r="A248" s="243">
        <f t="shared" si="6"/>
        <v>245</v>
      </c>
      <c r="B248" s="244">
        <v>2934</v>
      </c>
      <c r="C248" s="245" t="s">
        <v>540</v>
      </c>
      <c r="D248" s="245" t="str">
        <f t="shared" si="7"/>
        <v>HRVATSKI INSTITUT ZA POVIJEST (2934)</v>
      </c>
      <c r="E248" s="245" t="s">
        <v>541</v>
      </c>
      <c r="F248" s="245" t="s">
        <v>275</v>
      </c>
      <c r="G248" s="246">
        <v>3207153</v>
      </c>
      <c r="H248" s="247" t="s">
        <v>542</v>
      </c>
      <c r="J248" s="236"/>
    </row>
    <row r="249" spans="1:10" ht="15" customHeight="1">
      <c r="A249" s="243">
        <f t="shared" si="6"/>
        <v>246</v>
      </c>
      <c r="B249" s="244">
        <v>2967</v>
      </c>
      <c r="C249" s="245" t="s">
        <v>602</v>
      </c>
      <c r="D249" s="245" t="str">
        <f t="shared" si="7"/>
        <v>HRVATSKI ŠUMARSKI INSTITUT (2967)</v>
      </c>
      <c r="E249" s="245" t="s">
        <v>603</v>
      </c>
      <c r="F249" s="245" t="s">
        <v>604</v>
      </c>
      <c r="G249" s="246">
        <v>3115879</v>
      </c>
      <c r="H249" s="247" t="s">
        <v>605</v>
      </c>
      <c r="J249" s="236"/>
    </row>
    <row r="250" spans="1:10" ht="15" customHeight="1">
      <c r="A250" s="243">
        <f t="shared" si="6"/>
        <v>247</v>
      </c>
      <c r="B250" s="244">
        <v>2983</v>
      </c>
      <c r="C250" s="245" t="s">
        <v>543</v>
      </c>
      <c r="D250" s="245" t="str">
        <f t="shared" si="7"/>
        <v>HRVATSKI VETERINARSKI INSTITUT (2983)</v>
      </c>
      <c r="E250" s="245" t="s">
        <v>544</v>
      </c>
      <c r="F250" s="245" t="s">
        <v>275</v>
      </c>
      <c r="G250" s="246">
        <v>3274098</v>
      </c>
      <c r="H250" s="247" t="s">
        <v>545</v>
      </c>
      <c r="J250" s="236"/>
    </row>
    <row r="251" spans="1:10" ht="15" customHeight="1">
      <c r="A251" s="243">
        <f t="shared" ref="A251:A314" si="8">+A250+1</f>
        <v>248</v>
      </c>
      <c r="B251" s="244">
        <v>3105</v>
      </c>
      <c r="C251" s="245" t="s">
        <v>546</v>
      </c>
      <c r="D251" s="245" t="str">
        <f t="shared" si="7"/>
        <v>INSTITUT DRUŠTVENIH ZNANOSTI IVO PILAR (3105)</v>
      </c>
      <c r="E251" s="245" t="s">
        <v>547</v>
      </c>
      <c r="F251" s="245" t="s">
        <v>275</v>
      </c>
      <c r="G251" s="246">
        <v>3793028</v>
      </c>
      <c r="H251" s="247" t="s">
        <v>548</v>
      </c>
      <c r="J251" s="236"/>
    </row>
    <row r="252" spans="1:10" ht="15" customHeight="1">
      <c r="A252" s="243">
        <f t="shared" si="8"/>
        <v>249</v>
      </c>
      <c r="B252" s="244">
        <v>3041</v>
      </c>
      <c r="C252" s="245" t="s">
        <v>549</v>
      </c>
      <c r="D252" s="245" t="str">
        <f t="shared" si="7"/>
        <v>INSTITUT RUĐER BOŠKOVIĆ (3041)</v>
      </c>
      <c r="E252" s="245" t="s">
        <v>550</v>
      </c>
      <c r="F252" s="245" t="s">
        <v>275</v>
      </c>
      <c r="G252" s="246">
        <v>3270289</v>
      </c>
      <c r="H252" s="247" t="s">
        <v>551</v>
      </c>
      <c r="J252" s="236"/>
    </row>
    <row r="253" spans="1:10" ht="15" customHeight="1">
      <c r="A253" s="243">
        <f t="shared" si="8"/>
        <v>250</v>
      </c>
      <c r="B253" s="244">
        <v>3113</v>
      </c>
      <c r="C253" s="245" t="s">
        <v>552</v>
      </c>
      <c r="D253" s="245" t="str">
        <f t="shared" si="7"/>
        <v>INSTITUT ZA ANTROPOLOGIJU (3113)</v>
      </c>
      <c r="E253" s="245" t="s">
        <v>553</v>
      </c>
      <c r="F253" s="245" t="s">
        <v>275</v>
      </c>
      <c r="G253" s="246">
        <v>3817121</v>
      </c>
      <c r="H253" s="247" t="s">
        <v>554</v>
      </c>
      <c r="J253" s="236"/>
    </row>
    <row r="254" spans="1:10" ht="15" customHeight="1">
      <c r="A254" s="243">
        <f t="shared" si="8"/>
        <v>251</v>
      </c>
      <c r="B254" s="244">
        <v>3121</v>
      </c>
      <c r="C254" s="245" t="s">
        <v>555</v>
      </c>
      <c r="D254" s="245" t="str">
        <f t="shared" si="7"/>
        <v>INSTITUT ZA ARHEOLOGIJU (3121)</v>
      </c>
      <c r="E254" s="245" t="s">
        <v>553</v>
      </c>
      <c r="F254" s="245" t="s">
        <v>275</v>
      </c>
      <c r="G254" s="246">
        <v>3937658</v>
      </c>
      <c r="H254" s="247" t="s">
        <v>556</v>
      </c>
      <c r="J254" s="236"/>
    </row>
    <row r="255" spans="1:10" ht="15" customHeight="1">
      <c r="A255" s="243">
        <f t="shared" si="8"/>
        <v>252</v>
      </c>
      <c r="B255" s="244">
        <v>3050</v>
      </c>
      <c r="C255" s="245" t="s">
        <v>4008</v>
      </c>
      <c r="D255" s="245" t="str">
        <f t="shared" si="7"/>
        <v>INSTITUT ZA DRUŠTVENA ISTRAŽIVANJA U ZAGREBU (3050)</v>
      </c>
      <c r="E255" s="245" t="s">
        <v>558</v>
      </c>
      <c r="F255" s="245" t="s">
        <v>275</v>
      </c>
      <c r="G255" s="246">
        <v>3205118</v>
      </c>
      <c r="H255" s="247" t="s">
        <v>559</v>
      </c>
      <c r="J255" s="236"/>
    </row>
    <row r="256" spans="1:10" ht="15" customHeight="1">
      <c r="A256" s="243">
        <f t="shared" si="8"/>
        <v>253</v>
      </c>
      <c r="B256" s="244">
        <v>3084</v>
      </c>
      <c r="C256" s="245" t="s">
        <v>560</v>
      </c>
      <c r="D256" s="245" t="str">
        <f t="shared" si="7"/>
        <v>INSTITUT ZA ETNOLOGIJU I FOLKLORISTIKU (3084)</v>
      </c>
      <c r="E256" s="245" t="s">
        <v>561</v>
      </c>
      <c r="F256" s="245" t="s">
        <v>275</v>
      </c>
      <c r="G256" s="246">
        <v>3724042</v>
      </c>
      <c r="H256" s="247" t="s">
        <v>562</v>
      </c>
      <c r="J256" s="236"/>
    </row>
    <row r="257" spans="1:10" ht="15" customHeight="1">
      <c r="A257" s="243">
        <f t="shared" si="8"/>
        <v>254</v>
      </c>
      <c r="B257" s="244">
        <v>3092</v>
      </c>
      <c r="C257" s="245" t="s">
        <v>563</v>
      </c>
      <c r="D257" s="245" t="str">
        <f t="shared" si="7"/>
        <v>INSTITUT ZA FILOZOFIJU (3092)</v>
      </c>
      <c r="E257" s="245" t="s">
        <v>1730</v>
      </c>
      <c r="F257" s="245" t="s">
        <v>275</v>
      </c>
      <c r="G257" s="246">
        <v>3772047</v>
      </c>
      <c r="H257" s="247" t="s">
        <v>564</v>
      </c>
      <c r="J257" s="236"/>
    </row>
    <row r="258" spans="1:10" ht="15" customHeight="1">
      <c r="A258" s="243">
        <f t="shared" si="8"/>
        <v>255</v>
      </c>
      <c r="B258" s="244">
        <v>2975</v>
      </c>
      <c r="C258" s="245" t="s">
        <v>565</v>
      </c>
      <c r="D258" s="245" t="str">
        <f t="shared" si="7"/>
        <v>INSTITUT ZA FIZIKU (2975)</v>
      </c>
      <c r="E258" s="245" t="s">
        <v>550</v>
      </c>
      <c r="F258" s="245" t="s">
        <v>275</v>
      </c>
      <c r="G258" s="246">
        <v>3270424</v>
      </c>
      <c r="H258" s="247" t="s">
        <v>566</v>
      </c>
      <c r="J258" s="236"/>
    </row>
    <row r="259" spans="1:10" ht="15" customHeight="1">
      <c r="A259" s="243">
        <f t="shared" si="8"/>
        <v>256</v>
      </c>
      <c r="B259" s="244">
        <v>21061</v>
      </c>
      <c r="C259" s="245" t="s">
        <v>570</v>
      </c>
      <c r="D259" s="245" t="str">
        <f t="shared" si="7"/>
        <v>INSTITUT ZA HRVATSKI JEZIK I JEZIKOSLOVLJE (21061)</v>
      </c>
      <c r="E259" s="245" t="s">
        <v>571</v>
      </c>
      <c r="F259" s="245" t="s">
        <v>275</v>
      </c>
      <c r="G259" s="246">
        <v>1259571</v>
      </c>
      <c r="H259" s="247" t="s">
        <v>572</v>
      </c>
      <c r="J259" s="236"/>
    </row>
    <row r="260" spans="1:10" ht="15" customHeight="1">
      <c r="A260" s="243">
        <f t="shared" si="8"/>
        <v>257</v>
      </c>
      <c r="B260" s="244">
        <v>3025</v>
      </c>
      <c r="C260" s="245" t="s">
        <v>573</v>
      </c>
      <c r="D260" s="245" t="str">
        <f t="shared" ref="D260:D323" si="9">C260&amp;" ("&amp;B260&amp;")"</f>
        <v>INSTITUT ZA JADRANSKE KULTURE I MELIORACIJU KRŠA (3025)</v>
      </c>
      <c r="E260" s="245" t="s">
        <v>574</v>
      </c>
      <c r="F260" s="245" t="s">
        <v>360</v>
      </c>
      <c r="G260" s="246">
        <v>3140792</v>
      </c>
      <c r="H260" s="247" t="s">
        <v>575</v>
      </c>
      <c r="J260" s="236"/>
    </row>
    <row r="261" spans="1:10" ht="15" customHeight="1">
      <c r="A261" s="243">
        <f t="shared" si="8"/>
        <v>258</v>
      </c>
      <c r="B261" s="244">
        <v>23286</v>
      </c>
      <c r="C261" s="245" t="s">
        <v>576</v>
      </c>
      <c r="D261" s="245" t="str">
        <f t="shared" si="9"/>
        <v>INSTITUT ZA JAVNE FINANCIJE (23286)</v>
      </c>
      <c r="E261" s="245" t="s">
        <v>577</v>
      </c>
      <c r="F261" s="245" t="s">
        <v>275</v>
      </c>
      <c r="G261" s="246">
        <v>3226344</v>
      </c>
      <c r="H261" s="247" t="s">
        <v>578</v>
      </c>
      <c r="J261" s="236"/>
    </row>
    <row r="262" spans="1:10" ht="15" customHeight="1">
      <c r="A262" s="243">
        <f t="shared" si="8"/>
        <v>259</v>
      </c>
      <c r="B262" s="244">
        <v>2959</v>
      </c>
      <c r="C262" s="245" t="s">
        <v>579</v>
      </c>
      <c r="D262" s="245" t="str">
        <f t="shared" si="9"/>
        <v>INSTITUT ZA MEDICINSKA ISTRAŽIVANJA I MEDICINU RADA (2959)</v>
      </c>
      <c r="E262" s="245" t="s">
        <v>580</v>
      </c>
      <c r="F262" s="245" t="s">
        <v>275</v>
      </c>
      <c r="G262" s="246">
        <v>3270475</v>
      </c>
      <c r="H262" s="247" t="s">
        <v>581</v>
      </c>
      <c r="J262" s="236"/>
    </row>
    <row r="263" spans="1:10" ht="15" customHeight="1">
      <c r="A263" s="243">
        <f t="shared" si="8"/>
        <v>260</v>
      </c>
      <c r="B263" s="244">
        <v>3009</v>
      </c>
      <c r="C263" s="245" t="s">
        <v>584</v>
      </c>
      <c r="D263" s="245" t="str">
        <f t="shared" si="9"/>
        <v>INSTITUT ZA MIGRACIJE I NARODNOSTI (3009)</v>
      </c>
      <c r="E263" s="245" t="s">
        <v>585</v>
      </c>
      <c r="F263" s="245" t="s">
        <v>275</v>
      </c>
      <c r="G263" s="246">
        <v>3287572</v>
      </c>
      <c r="H263" s="247" t="s">
        <v>586</v>
      </c>
      <c r="J263" s="236"/>
    </row>
    <row r="264" spans="1:10" ht="15" customHeight="1">
      <c r="A264" s="243">
        <f t="shared" si="8"/>
        <v>261</v>
      </c>
      <c r="B264" s="244">
        <v>2900</v>
      </c>
      <c r="C264" s="245" t="s">
        <v>587</v>
      </c>
      <c r="D264" s="245" t="str">
        <f t="shared" si="9"/>
        <v>INSTITUT ZA OCEANOGRAFIJU I RIBARSTVO (2900)</v>
      </c>
      <c r="E264" s="245" t="s">
        <v>4009</v>
      </c>
      <c r="F264" s="245" t="s">
        <v>360</v>
      </c>
      <c r="G264" s="246">
        <v>3118355</v>
      </c>
      <c r="H264" s="247" t="s">
        <v>588</v>
      </c>
      <c r="J264" s="236"/>
    </row>
    <row r="265" spans="1:10" ht="15" customHeight="1">
      <c r="A265" s="243">
        <f t="shared" si="8"/>
        <v>262</v>
      </c>
      <c r="B265" s="244">
        <v>3076</v>
      </c>
      <c r="C265" s="245" t="s">
        <v>589</v>
      </c>
      <c r="D265" s="245" t="str">
        <f t="shared" si="9"/>
        <v>INSTITUT ZA POLJOPRIVREDU I TURIZAM (3076)</v>
      </c>
      <c r="E265" s="245" t="s">
        <v>590</v>
      </c>
      <c r="F265" s="245" t="s">
        <v>591</v>
      </c>
      <c r="G265" s="246">
        <v>3421031</v>
      </c>
      <c r="H265" s="247" t="s">
        <v>592</v>
      </c>
      <c r="J265" s="236"/>
    </row>
    <row r="266" spans="1:10" ht="15" customHeight="1">
      <c r="A266" s="243">
        <f t="shared" si="8"/>
        <v>263</v>
      </c>
      <c r="B266" s="244">
        <v>2942</v>
      </c>
      <c r="C266" s="245" t="s">
        <v>593</v>
      </c>
      <c r="D266" s="245" t="str">
        <f t="shared" si="9"/>
        <v>INSTITUT ZA POVIJEST UMJETNOSTI (2942)</v>
      </c>
      <c r="E266" s="245" t="s">
        <v>594</v>
      </c>
      <c r="F266" s="245" t="s">
        <v>275</v>
      </c>
      <c r="G266" s="246">
        <v>1339958</v>
      </c>
      <c r="H266" s="247" t="s">
        <v>595</v>
      </c>
      <c r="J266" s="236"/>
    </row>
    <row r="267" spans="1:10" ht="15" customHeight="1">
      <c r="A267" s="243">
        <f t="shared" si="8"/>
        <v>264</v>
      </c>
      <c r="B267" s="244">
        <v>22621</v>
      </c>
      <c r="C267" s="245" t="s">
        <v>582</v>
      </c>
      <c r="D267" s="245" t="str">
        <f t="shared" si="9"/>
        <v>INSTITUT ZA RAZVOJ I MEĐUNARODNE ODNOSE (22621)</v>
      </c>
      <c r="E267" s="245" t="s">
        <v>1731</v>
      </c>
      <c r="F267" s="245" t="s">
        <v>275</v>
      </c>
      <c r="G267" s="246">
        <v>3205177</v>
      </c>
      <c r="H267" s="247" t="s">
        <v>583</v>
      </c>
      <c r="J267" s="236"/>
    </row>
    <row r="268" spans="1:10" ht="15" customHeight="1">
      <c r="A268" s="243">
        <f t="shared" si="8"/>
        <v>265</v>
      </c>
      <c r="B268" s="244">
        <v>3068</v>
      </c>
      <c r="C268" s="245" t="s">
        <v>596</v>
      </c>
      <c r="D268" s="245" t="str">
        <f t="shared" si="9"/>
        <v>INSTITUT ZA TURIZAM (3068)</v>
      </c>
      <c r="E268" s="245" t="s">
        <v>597</v>
      </c>
      <c r="F268" s="245" t="s">
        <v>275</v>
      </c>
      <c r="G268" s="246">
        <v>3208001</v>
      </c>
      <c r="H268" s="247" t="s">
        <v>598</v>
      </c>
      <c r="J268" s="236"/>
    </row>
    <row r="269" spans="1:10" ht="15" customHeight="1">
      <c r="A269" s="243">
        <f t="shared" si="8"/>
        <v>266</v>
      </c>
      <c r="B269" s="244">
        <v>2991</v>
      </c>
      <c r="C269" s="245" t="s">
        <v>1733</v>
      </c>
      <c r="D269" s="245" t="str">
        <f t="shared" si="9"/>
        <v>POLJOPRIVREDNI INSTITUT OSIJEK (2991)</v>
      </c>
      <c r="E269" s="245" t="s">
        <v>1734</v>
      </c>
      <c r="F269" s="245" t="s">
        <v>278</v>
      </c>
      <c r="G269" s="246">
        <v>3058239</v>
      </c>
      <c r="H269" s="247" t="s">
        <v>1735</v>
      </c>
      <c r="J269" s="236"/>
    </row>
    <row r="270" spans="1:10" ht="15" customHeight="1">
      <c r="A270" s="243">
        <f t="shared" si="8"/>
        <v>267</v>
      </c>
      <c r="B270" s="244">
        <v>21070</v>
      </c>
      <c r="C270" s="245" t="s">
        <v>599</v>
      </c>
      <c r="D270" s="245" t="str">
        <f t="shared" si="9"/>
        <v>STAROSLAVENSKI INSTITUT (21070)</v>
      </c>
      <c r="E270" s="245" t="s">
        <v>600</v>
      </c>
      <c r="F270" s="245" t="s">
        <v>275</v>
      </c>
      <c r="G270" s="246">
        <v>1259563</v>
      </c>
      <c r="H270" s="247" t="s">
        <v>601</v>
      </c>
      <c r="J270" s="236"/>
    </row>
    <row r="271" spans="1:10" ht="15" customHeight="1">
      <c r="A271" s="243">
        <f t="shared" si="8"/>
        <v>268</v>
      </c>
      <c r="B271" s="244">
        <v>6179</v>
      </c>
      <c r="C271" s="245" t="s">
        <v>607</v>
      </c>
      <c r="D271" s="245" t="str">
        <f t="shared" si="9"/>
        <v>DRŽAVNI ZAVOD ZA INTELEKTUALNO VLASNIŠTVO (6179)</v>
      </c>
      <c r="E271" s="245" t="s">
        <v>608</v>
      </c>
      <c r="F271" s="245" t="s">
        <v>275</v>
      </c>
      <c r="G271" s="246">
        <v>3899772</v>
      </c>
      <c r="H271" s="247" t="s">
        <v>609</v>
      </c>
      <c r="J271" s="236"/>
    </row>
    <row r="272" spans="1:10" ht="15" customHeight="1">
      <c r="A272" s="243">
        <f t="shared" si="8"/>
        <v>269</v>
      </c>
      <c r="B272" s="244">
        <v>43335</v>
      </c>
      <c r="C272" s="245" t="s">
        <v>628</v>
      </c>
      <c r="D272" s="245" t="str">
        <f t="shared" si="9"/>
        <v>AGENCIJA ZA MOBILNOST I PROGRAME EUROPSKE UNIJE (43335)</v>
      </c>
      <c r="E272" s="254" t="s">
        <v>617</v>
      </c>
      <c r="F272" s="245" t="s">
        <v>275</v>
      </c>
      <c r="G272" s="253">
        <v>2298007</v>
      </c>
      <c r="H272" s="247" t="s">
        <v>629</v>
      </c>
      <c r="J272" s="236"/>
    </row>
    <row r="273" spans="1:10" ht="15" customHeight="1">
      <c r="A273" s="243">
        <f t="shared" si="8"/>
        <v>270</v>
      </c>
      <c r="B273" s="244">
        <v>23962</v>
      </c>
      <c r="C273" s="245" t="s">
        <v>621</v>
      </c>
      <c r="D273" s="245" t="str">
        <f t="shared" si="9"/>
        <v>AGENCIJA ZA ODGOJ I OBRAZOVANJE (23962)</v>
      </c>
      <c r="E273" s="245" t="s">
        <v>624</v>
      </c>
      <c r="F273" s="245" t="s">
        <v>275</v>
      </c>
      <c r="G273" s="246">
        <v>1778129</v>
      </c>
      <c r="H273" s="247" t="s">
        <v>622</v>
      </c>
      <c r="J273" s="236"/>
    </row>
    <row r="274" spans="1:10" ht="15" customHeight="1">
      <c r="A274" s="243">
        <f t="shared" si="8"/>
        <v>271</v>
      </c>
      <c r="B274" s="244">
        <v>46173</v>
      </c>
      <c r="C274" s="245" t="s">
        <v>630</v>
      </c>
      <c r="D274" s="245" t="str">
        <f t="shared" si="9"/>
        <v>AGENCIJA ZA STRUKOVNO OBRAZOVANJE I OBRAZOVANJE ODRASLIH (46173)</v>
      </c>
      <c r="E274" s="254" t="s">
        <v>1773</v>
      </c>
      <c r="F274" s="245" t="s">
        <v>275</v>
      </c>
      <c r="G274" s="253">
        <v>2650029</v>
      </c>
      <c r="H274" s="247" t="s">
        <v>631</v>
      </c>
      <c r="J274" s="236"/>
    </row>
    <row r="275" spans="1:10" ht="15" customHeight="1">
      <c r="A275" s="243">
        <f t="shared" si="8"/>
        <v>272</v>
      </c>
      <c r="B275" s="244">
        <v>38487</v>
      </c>
      <c r="C275" s="245" t="s">
        <v>623</v>
      </c>
      <c r="D275" s="245" t="str">
        <f t="shared" si="9"/>
        <v>AGENCIJA ZA ZNANOST I VISOKO OBRAZOVANJE (38487)</v>
      </c>
      <c r="E275" s="254" t="s">
        <v>624</v>
      </c>
      <c r="F275" s="245" t="s">
        <v>275</v>
      </c>
      <c r="G275" s="253">
        <v>1922548</v>
      </c>
      <c r="H275" s="247" t="s">
        <v>625</v>
      </c>
      <c r="J275" s="236"/>
    </row>
    <row r="276" spans="1:10" ht="15" customHeight="1">
      <c r="A276" s="243">
        <f t="shared" si="8"/>
        <v>273</v>
      </c>
      <c r="B276" s="244">
        <v>21852</v>
      </c>
      <c r="C276" s="245" t="s">
        <v>613</v>
      </c>
      <c r="D276" s="245" t="str">
        <f t="shared" si="9"/>
        <v>HRVATSKA AKADEMSKA I ISTRAŽIVAČKA MREŽA - CARNET (21852)</v>
      </c>
      <c r="E276" s="254" t="s">
        <v>614</v>
      </c>
      <c r="F276" s="245" t="s">
        <v>275</v>
      </c>
      <c r="G276" s="253">
        <v>1147820</v>
      </c>
      <c r="H276" s="247" t="s">
        <v>615</v>
      </c>
      <c r="J276" s="236"/>
    </row>
    <row r="277" spans="1:10" ht="15" customHeight="1">
      <c r="A277" s="243">
        <f t="shared" si="8"/>
        <v>274</v>
      </c>
      <c r="B277" s="244">
        <v>52209</v>
      </c>
      <c r="C277" s="245" t="s">
        <v>3530</v>
      </c>
      <c r="D277" s="245" t="str">
        <f t="shared" si="9"/>
        <v>HRVATSKA ZAKLADA ZA ZNANOST (52209)</v>
      </c>
      <c r="E277" s="254" t="s">
        <v>3531</v>
      </c>
      <c r="F277" s="245" t="s">
        <v>275</v>
      </c>
      <c r="G277" s="253">
        <v>1626841</v>
      </c>
      <c r="H277" s="247">
        <v>88776522763</v>
      </c>
      <c r="J277" s="236"/>
    </row>
    <row r="278" spans="1:10" ht="15" customHeight="1">
      <c r="A278" s="243">
        <f t="shared" si="8"/>
        <v>275</v>
      </c>
      <c r="B278" s="244">
        <v>21869</v>
      </c>
      <c r="C278" s="245" t="s">
        <v>616</v>
      </c>
      <c r="D278" s="245" t="str">
        <f t="shared" si="9"/>
        <v>LEKSIKOGRAFSKI ZAVOD MIROSLAV KRLEŽA (21869)</v>
      </c>
      <c r="E278" s="254" t="s">
        <v>617</v>
      </c>
      <c r="F278" s="245" t="s">
        <v>275</v>
      </c>
      <c r="G278" s="253">
        <v>3211622</v>
      </c>
      <c r="H278" s="247" t="s">
        <v>618</v>
      </c>
      <c r="J278" s="236"/>
    </row>
    <row r="279" spans="1:10" ht="15" customHeight="1">
      <c r="A279" s="243">
        <f t="shared" si="8"/>
        <v>276</v>
      </c>
      <c r="B279" s="244">
        <v>21836</v>
      </c>
      <c r="C279" s="245" t="s">
        <v>610</v>
      </c>
      <c r="D279" s="245" t="str">
        <f t="shared" si="9"/>
        <v>NACIONALNA I SVEUČILIŠNA KNJIŽNICA U ZAGREBU (21836)</v>
      </c>
      <c r="E279" s="254" t="s">
        <v>4010</v>
      </c>
      <c r="F279" s="245" t="s">
        <v>275</v>
      </c>
      <c r="G279" s="253">
        <v>3205363</v>
      </c>
      <c r="H279" s="247" t="s">
        <v>612</v>
      </c>
      <c r="J279" s="236"/>
    </row>
    <row r="280" spans="1:10" ht="15" customHeight="1">
      <c r="A280" s="243">
        <f t="shared" si="8"/>
        <v>277</v>
      </c>
      <c r="B280" s="244">
        <v>40883</v>
      </c>
      <c r="C280" s="245" t="s">
        <v>626</v>
      </c>
      <c r="D280" s="245" t="str">
        <f t="shared" si="9"/>
        <v>NACIONALNI CENTAR ZA VANJSKO VREDNOVANJE OBRAZOVANJA (40883)</v>
      </c>
      <c r="E280" s="254" t="s">
        <v>1774</v>
      </c>
      <c r="F280" s="245" t="s">
        <v>1775</v>
      </c>
      <c r="G280" s="253">
        <v>1943430</v>
      </c>
      <c r="H280" s="247" t="s">
        <v>627</v>
      </c>
      <c r="J280" s="236"/>
    </row>
    <row r="281" spans="1:10" ht="15" customHeight="1">
      <c r="A281" s="243">
        <f t="shared" si="8"/>
        <v>278</v>
      </c>
      <c r="B281" s="244">
        <v>23665</v>
      </c>
      <c r="C281" s="245" t="s">
        <v>619</v>
      </c>
      <c r="D281" s="245" t="str">
        <f t="shared" si="9"/>
        <v>SVEUČILIŠTE U ZAGREBU - SVEUČILIŠNI RAČUNSKI CENTAR - SRCE (23665)</v>
      </c>
      <c r="E281" s="254" t="s">
        <v>614</v>
      </c>
      <c r="F281" s="245" t="s">
        <v>275</v>
      </c>
      <c r="G281" s="246">
        <v>3283020</v>
      </c>
      <c r="H281" s="247" t="s">
        <v>620</v>
      </c>
      <c r="J281" s="236"/>
    </row>
    <row r="282" spans="1:10" s="236" customFormat="1" ht="15" customHeight="1">
      <c r="A282" s="231">
        <f t="shared" si="8"/>
        <v>279</v>
      </c>
      <c r="B282" s="238">
        <v>47096</v>
      </c>
      <c r="C282" s="239" t="s">
        <v>4011</v>
      </c>
      <c r="D282" s="245" t="str">
        <f t="shared" si="9"/>
        <v>MINISTARSTVO RADA, MIROVINSKOG SUSTAVA, OBITELJI I SOCIJALNE POLITIKE (47096)</v>
      </c>
      <c r="E282" s="239" t="s">
        <v>608</v>
      </c>
      <c r="F282" s="239" t="s">
        <v>275</v>
      </c>
      <c r="G282" s="240">
        <v>2830949</v>
      </c>
      <c r="H282" s="241" t="s">
        <v>4012</v>
      </c>
    </row>
    <row r="283" spans="1:10" s="236" customFormat="1" ht="15" customHeight="1">
      <c r="A283" s="243">
        <f t="shared" si="8"/>
        <v>280</v>
      </c>
      <c r="B283" s="244">
        <v>25843</v>
      </c>
      <c r="C283" s="245" t="s">
        <v>4013</v>
      </c>
      <c r="D283" s="245" t="str">
        <f t="shared" si="9"/>
        <v>HRVATSKI ZAVOD ZA ZAPOŠLJAVANJE* (25843)</v>
      </c>
      <c r="E283" s="245" t="s">
        <v>4014</v>
      </c>
      <c r="F283" s="245" t="s">
        <v>275</v>
      </c>
      <c r="G283" s="246">
        <v>1369741</v>
      </c>
      <c r="H283" s="247" t="s">
        <v>4015</v>
      </c>
    </row>
    <row r="284" spans="1:10" ht="24">
      <c r="A284" s="243">
        <f t="shared" si="8"/>
        <v>281</v>
      </c>
      <c r="B284" s="244">
        <v>48242</v>
      </c>
      <c r="C284" s="245" t="s">
        <v>4016</v>
      </c>
      <c r="D284" s="245" t="str">
        <f t="shared" si="9"/>
        <v>ZAVOD ZA VJEŠTAČENJE, PROFESIONALNU REHABILITACIJU I ZAPOŠLJAVANJE OSOBA S INVALIDITETOM (48242)</v>
      </c>
      <c r="E284" s="245" t="s">
        <v>4017</v>
      </c>
      <c r="F284" s="245" t="s">
        <v>275</v>
      </c>
      <c r="G284" s="246">
        <v>4166159</v>
      </c>
      <c r="H284" s="247" t="s">
        <v>4018</v>
      </c>
      <c r="J284" s="236"/>
    </row>
    <row r="285" spans="1:10" ht="15" customHeight="1">
      <c r="A285" s="243">
        <f t="shared" si="8"/>
        <v>282</v>
      </c>
      <c r="B285" s="244">
        <v>24168</v>
      </c>
      <c r="C285" s="245" t="s">
        <v>4019</v>
      </c>
      <c r="D285" s="245" t="str">
        <f t="shared" si="9"/>
        <v>SREDIŠNJI REGISTAR OSIGURANIKA (24168)</v>
      </c>
      <c r="E285" s="245" t="s">
        <v>4020</v>
      </c>
      <c r="F285" s="245" t="s">
        <v>275</v>
      </c>
      <c r="G285" s="246">
        <v>1469819</v>
      </c>
      <c r="H285" s="241" t="s">
        <v>4021</v>
      </c>
      <c r="J285" s="236"/>
    </row>
    <row r="286" spans="1:10" ht="15" customHeight="1">
      <c r="A286" s="243">
        <f t="shared" si="8"/>
        <v>283</v>
      </c>
      <c r="B286" s="244">
        <v>44508</v>
      </c>
      <c r="C286" s="245" t="s">
        <v>4022</v>
      </c>
      <c r="D286" s="245" t="str">
        <f t="shared" si="9"/>
        <v>AGENCIJA ZA OSIGURANJE RADNIČKIH TRAŽBINA (44508)</v>
      </c>
      <c r="E286" s="245" t="s">
        <v>4023</v>
      </c>
      <c r="F286" s="245" t="s">
        <v>275</v>
      </c>
      <c r="G286" s="246">
        <v>2456257</v>
      </c>
      <c r="H286" s="247" t="s">
        <v>4024</v>
      </c>
      <c r="J286" s="236"/>
    </row>
    <row r="287" spans="1:10" ht="15" customHeight="1">
      <c r="A287" s="243">
        <f t="shared" si="8"/>
        <v>284</v>
      </c>
      <c r="B287" s="244">
        <v>33634</v>
      </c>
      <c r="C287" s="262" t="s">
        <v>4025</v>
      </c>
      <c r="D287" s="245" t="str">
        <f t="shared" si="9"/>
        <v>CENTAR ZA PROFESIONALNU REHABILITACIJU OSIJEK (33634)</v>
      </c>
      <c r="E287" s="262" t="s">
        <v>4026</v>
      </c>
      <c r="F287" s="262" t="s">
        <v>278</v>
      </c>
      <c r="G287" s="257" t="s">
        <v>4027</v>
      </c>
      <c r="H287" s="263">
        <v>57200304958</v>
      </c>
      <c r="J287" s="236"/>
    </row>
    <row r="288" spans="1:10" ht="15" customHeight="1">
      <c r="A288" s="243">
        <f t="shared" si="8"/>
        <v>285</v>
      </c>
      <c r="B288" s="244">
        <v>49059</v>
      </c>
      <c r="C288" s="262" t="s">
        <v>4028</v>
      </c>
      <c r="D288" s="245" t="str">
        <f t="shared" si="9"/>
        <v>CENTAR ZA PROFESIONALNU REHABILITACIJU RIJEKA (49059)</v>
      </c>
      <c r="E288" s="262" t="s">
        <v>4029</v>
      </c>
      <c r="F288" s="262" t="s">
        <v>320</v>
      </c>
      <c r="G288" s="264" t="s">
        <v>4030</v>
      </c>
      <c r="H288" s="263">
        <v>99737296287</v>
      </c>
      <c r="J288" s="236"/>
    </row>
    <row r="289" spans="1:10" ht="15" customHeight="1">
      <c r="A289" s="243">
        <f t="shared" si="8"/>
        <v>286</v>
      </c>
      <c r="B289" s="244">
        <v>49729</v>
      </c>
      <c r="C289" s="262" t="s">
        <v>4031</v>
      </c>
      <c r="D289" s="245" t="str">
        <f t="shared" si="9"/>
        <v>CENTAR ZA PROFESIONALNU REHABILITACIJU SPLIT (49729)</v>
      </c>
      <c r="E289" s="262" t="s">
        <v>4032</v>
      </c>
      <c r="F289" s="262" t="s">
        <v>360</v>
      </c>
      <c r="G289" s="257" t="s">
        <v>4033</v>
      </c>
      <c r="H289" s="263">
        <v>60142045282</v>
      </c>
      <c r="J289" s="236"/>
    </row>
    <row r="290" spans="1:10" ht="15" customHeight="1">
      <c r="A290" s="243">
        <f t="shared" si="8"/>
        <v>287</v>
      </c>
      <c r="B290" s="244">
        <v>48865</v>
      </c>
      <c r="C290" s="262" t="s">
        <v>4034</v>
      </c>
      <c r="D290" s="245" t="str">
        <f t="shared" si="9"/>
        <v>CENTAR ZA PROFESIONALNU REHABILITACIJU ZAGREB (48865)</v>
      </c>
      <c r="E290" s="262" t="s">
        <v>4035</v>
      </c>
      <c r="F290" s="262" t="s">
        <v>275</v>
      </c>
      <c r="G290" s="257" t="s">
        <v>4036</v>
      </c>
      <c r="H290" s="263">
        <v>69410598395</v>
      </c>
      <c r="J290" s="236"/>
    </row>
    <row r="291" spans="1:10" ht="15" customHeight="1">
      <c r="A291" s="243">
        <f t="shared" si="8"/>
        <v>288</v>
      </c>
      <c r="B291" s="244">
        <v>7333</v>
      </c>
      <c r="C291" s="245" t="s">
        <v>4037</v>
      </c>
      <c r="D291" s="245" t="str">
        <f t="shared" si="9"/>
        <v>CENTAR RUDOLF STEINER DARUVAR (7333)</v>
      </c>
      <c r="E291" s="245" t="s">
        <v>4038</v>
      </c>
      <c r="F291" s="245" t="s">
        <v>4039</v>
      </c>
      <c r="G291" s="246">
        <v>3099598</v>
      </c>
      <c r="H291" s="247" t="s">
        <v>4040</v>
      </c>
      <c r="J291" s="236"/>
    </row>
    <row r="292" spans="1:10" ht="15" customHeight="1">
      <c r="A292" s="243">
        <f t="shared" si="8"/>
        <v>289</v>
      </c>
      <c r="B292" s="244">
        <v>7472</v>
      </c>
      <c r="C292" s="245" t="s">
        <v>4041</v>
      </c>
      <c r="D292" s="245" t="str">
        <f t="shared" si="9"/>
        <v>CENTAR ZA ODGOJ I OBRAZOVANJE DUBRAVA  (7472)</v>
      </c>
      <c r="E292" s="245" t="s">
        <v>4042</v>
      </c>
      <c r="F292" s="245" t="s">
        <v>275</v>
      </c>
      <c r="G292" s="246">
        <v>3217191</v>
      </c>
      <c r="H292" s="247" t="s">
        <v>4043</v>
      </c>
      <c r="J292" s="236"/>
    </row>
    <row r="293" spans="1:10" ht="15" customHeight="1">
      <c r="A293" s="243">
        <f t="shared" si="8"/>
        <v>290</v>
      </c>
      <c r="B293" s="244">
        <v>7405</v>
      </c>
      <c r="C293" s="245" t="s">
        <v>4044</v>
      </c>
      <c r="D293" s="245" t="str">
        <f t="shared" si="9"/>
        <v>CENTAR ZA ODGOJ I OBRAZOVANJE JURAJ BONAČI (7405)</v>
      </c>
      <c r="E293" s="245" t="s">
        <v>4045</v>
      </c>
      <c r="F293" s="245" t="s">
        <v>360</v>
      </c>
      <c r="G293" s="246">
        <v>3133737</v>
      </c>
      <c r="H293" s="247" t="s">
        <v>4046</v>
      </c>
      <c r="J293" s="236"/>
    </row>
    <row r="294" spans="1:10" ht="15" customHeight="1">
      <c r="A294" s="243">
        <f t="shared" si="8"/>
        <v>291</v>
      </c>
      <c r="B294" s="244">
        <v>7456</v>
      </c>
      <c r="C294" s="245" t="s">
        <v>4047</v>
      </c>
      <c r="D294" s="245" t="str">
        <f t="shared" si="9"/>
        <v>CENTAR ZA ODGOJ I OBRAZOVANJE LUG (7456)</v>
      </c>
      <c r="E294" s="245" t="s">
        <v>4048</v>
      </c>
      <c r="F294" s="245" t="s">
        <v>4049</v>
      </c>
      <c r="G294" s="246">
        <v>3102947</v>
      </c>
      <c r="H294" s="247" t="s">
        <v>4050</v>
      </c>
      <c r="J294" s="236"/>
    </row>
    <row r="295" spans="1:10" ht="15" customHeight="1">
      <c r="A295" s="243">
        <f t="shared" si="8"/>
        <v>292</v>
      </c>
      <c r="B295" s="244">
        <v>7392</v>
      </c>
      <c r="C295" s="245" t="s">
        <v>4051</v>
      </c>
      <c r="D295" s="245" t="str">
        <f t="shared" si="9"/>
        <v>CENTAR ZA ODGOJ I OBRAZOVANJE SLAVA RAŠKAJ SPLIT  (7392)</v>
      </c>
      <c r="E295" s="245" t="s">
        <v>4052</v>
      </c>
      <c r="F295" s="245" t="s">
        <v>360</v>
      </c>
      <c r="G295" s="246">
        <v>3120104</v>
      </c>
      <c r="H295" s="247" t="s">
        <v>4053</v>
      </c>
      <c r="J295" s="236"/>
    </row>
    <row r="296" spans="1:10" ht="15" customHeight="1">
      <c r="A296" s="243">
        <f t="shared" si="8"/>
        <v>293</v>
      </c>
      <c r="B296" s="244">
        <v>7489</v>
      </c>
      <c r="C296" s="245" t="s">
        <v>4054</v>
      </c>
      <c r="D296" s="245" t="str">
        <f t="shared" si="9"/>
        <v>CENTAR ZA ODGOJ I OBRAZOVANJE SLAVA RAŠKAJ ZAGREB (7489)</v>
      </c>
      <c r="E296" s="245" t="s">
        <v>4055</v>
      </c>
      <c r="F296" s="245" t="s">
        <v>275</v>
      </c>
      <c r="G296" s="246">
        <v>3205835</v>
      </c>
      <c r="H296" s="247" t="s">
        <v>4056</v>
      </c>
      <c r="J296" s="236"/>
    </row>
    <row r="297" spans="1:10" ht="15" customHeight="1">
      <c r="A297" s="243">
        <f t="shared" si="8"/>
        <v>294</v>
      </c>
      <c r="B297" s="244">
        <v>7421</v>
      </c>
      <c r="C297" s="245" t="s">
        <v>4057</v>
      </c>
      <c r="D297" s="245" t="str">
        <f t="shared" si="9"/>
        <v>CENTAR ZA ODGOJ I OBRAZOVANJE ŠUBIĆEVAC (7421)</v>
      </c>
      <c r="E297" s="245" t="s">
        <v>4058</v>
      </c>
      <c r="F297" s="245" t="s">
        <v>524</v>
      </c>
      <c r="G297" s="246">
        <v>3019683</v>
      </c>
      <c r="H297" s="247" t="s">
        <v>4059</v>
      </c>
      <c r="J297" s="236"/>
    </row>
    <row r="298" spans="1:10" ht="15" customHeight="1">
      <c r="A298" s="243">
        <f t="shared" si="8"/>
        <v>295</v>
      </c>
      <c r="B298" s="244">
        <v>7528</v>
      </c>
      <c r="C298" s="245" t="s">
        <v>4060</v>
      </c>
      <c r="D298" s="245" t="str">
        <f t="shared" si="9"/>
        <v>CENTAR ZA ODGOJ I OBRAZOVANJE TUŠKANAC (7528)</v>
      </c>
      <c r="E298" s="245" t="s">
        <v>4061</v>
      </c>
      <c r="F298" s="245" t="s">
        <v>275</v>
      </c>
      <c r="G298" s="246">
        <v>3205827</v>
      </c>
      <c r="H298" s="247" t="s">
        <v>4062</v>
      </c>
      <c r="J298" s="236"/>
    </row>
    <row r="299" spans="1:10" ht="15" customHeight="1">
      <c r="A299" s="243">
        <f t="shared" si="8"/>
        <v>296</v>
      </c>
      <c r="B299" s="244">
        <v>7501</v>
      </c>
      <c r="C299" s="245" t="s">
        <v>4063</v>
      </c>
      <c r="D299" s="245" t="str">
        <f t="shared" si="9"/>
        <v>CENTAR ZA ODGOJ I OBRAZOVANJE VELIKA GORICA  (7501)</v>
      </c>
      <c r="E299" s="245" t="s">
        <v>4064</v>
      </c>
      <c r="F299" s="245" t="s">
        <v>3584</v>
      </c>
      <c r="G299" s="246">
        <v>3216284</v>
      </c>
      <c r="H299" s="247" t="s">
        <v>4065</v>
      </c>
      <c r="J299" s="236"/>
    </row>
    <row r="300" spans="1:10" ht="15" customHeight="1">
      <c r="A300" s="243">
        <f t="shared" si="8"/>
        <v>297</v>
      </c>
      <c r="B300" s="244">
        <v>7497</v>
      </c>
      <c r="C300" s="245" t="s">
        <v>4066</v>
      </c>
      <c r="D300" s="245" t="str">
        <f t="shared" si="9"/>
        <v>CENTAR ZA ODGOJ I OBRAZOVANJE VINKO BEK (7497)</v>
      </c>
      <c r="E300" s="245" t="s">
        <v>4067</v>
      </c>
      <c r="F300" s="245" t="s">
        <v>275</v>
      </c>
      <c r="G300" s="246">
        <v>3205819</v>
      </c>
      <c r="H300" s="247" t="s">
        <v>4068</v>
      </c>
      <c r="J300" s="236"/>
    </row>
    <row r="301" spans="1:10" ht="15" customHeight="1">
      <c r="A301" s="243">
        <f t="shared" si="8"/>
        <v>298</v>
      </c>
      <c r="B301" s="244">
        <v>7536</v>
      </c>
      <c r="C301" s="245" t="s">
        <v>4069</v>
      </c>
      <c r="D301" s="245" t="str">
        <f t="shared" si="9"/>
        <v>CENTAR ZA ODGOJ I OBRAZOVANJE ZAJEZDA (7536)</v>
      </c>
      <c r="E301" s="245" t="s">
        <v>4070</v>
      </c>
      <c r="F301" s="245" t="s">
        <v>4071</v>
      </c>
      <c r="G301" s="246">
        <v>3126862</v>
      </c>
      <c r="H301" s="247" t="s">
        <v>4072</v>
      </c>
      <c r="J301" s="236"/>
    </row>
    <row r="302" spans="1:10" ht="15" customHeight="1">
      <c r="A302" s="243">
        <f t="shared" si="8"/>
        <v>299</v>
      </c>
      <c r="B302" s="244">
        <v>48402</v>
      </c>
      <c r="C302" s="245" t="s">
        <v>4073</v>
      </c>
      <c r="D302" s="245" t="str">
        <f t="shared" si="9"/>
        <v>CENTAR ZA POSEBNO SKRBNIŠTVO (48402)</v>
      </c>
      <c r="E302" s="245" t="s">
        <v>4074</v>
      </c>
      <c r="F302" s="245" t="s">
        <v>275</v>
      </c>
      <c r="G302" s="246">
        <v>4250257</v>
      </c>
      <c r="H302" s="247" t="s">
        <v>4075</v>
      </c>
      <c r="J302" s="236"/>
    </row>
    <row r="303" spans="1:10" ht="15" customHeight="1">
      <c r="A303" s="243">
        <f t="shared" si="8"/>
        <v>300</v>
      </c>
      <c r="B303" s="244">
        <v>7163</v>
      </c>
      <c r="C303" s="245" t="s">
        <v>4076</v>
      </c>
      <c r="D303" s="245" t="str">
        <f t="shared" si="9"/>
        <v>CENTAR ZA PRUŽANJE USLUGA U ZAJEDNICI IZVOR, SELCE (7163)</v>
      </c>
      <c r="E303" s="245" t="s">
        <v>4077</v>
      </c>
      <c r="F303" s="245" t="s">
        <v>4078</v>
      </c>
      <c r="G303" s="246">
        <v>3148637</v>
      </c>
      <c r="H303" s="247" t="s">
        <v>4079</v>
      </c>
      <c r="J303" s="236"/>
    </row>
    <row r="304" spans="1:10" ht="15" customHeight="1">
      <c r="A304" s="243">
        <f t="shared" si="8"/>
        <v>301</v>
      </c>
      <c r="B304" s="244">
        <v>7147</v>
      </c>
      <c r="C304" s="245" t="s">
        <v>4080</v>
      </c>
      <c r="D304" s="245" t="str">
        <f t="shared" si="9"/>
        <v>CENTAR ZA PRUŽANJE USLUGA U ZAJEDNICI KLASJE OSIJEK (7147)</v>
      </c>
      <c r="E304" s="245" t="s">
        <v>4081</v>
      </c>
      <c r="F304" s="245" t="s">
        <v>278</v>
      </c>
      <c r="G304" s="246">
        <v>3014410</v>
      </c>
      <c r="H304" s="247" t="s">
        <v>4082</v>
      </c>
      <c r="J304" s="236"/>
    </row>
    <row r="305" spans="1:10" ht="15" customHeight="1">
      <c r="A305" s="243">
        <f t="shared" si="8"/>
        <v>302</v>
      </c>
      <c r="B305" s="244">
        <v>7180</v>
      </c>
      <c r="C305" s="245" t="s">
        <v>4083</v>
      </c>
      <c r="D305" s="245" t="str">
        <f t="shared" si="9"/>
        <v>CENTAR ZA PRUŽANJE USLUGA U ZAJEDNICI KUĆA SRETNIH CIGLICA, SLAVONSKI BROD (7180)</v>
      </c>
      <c r="E305" s="255" t="s">
        <v>4084</v>
      </c>
      <c r="F305" s="255" t="s">
        <v>1769</v>
      </c>
      <c r="G305" s="246">
        <v>3071332</v>
      </c>
      <c r="H305" s="247" t="s">
        <v>4085</v>
      </c>
      <c r="J305" s="236"/>
    </row>
    <row r="306" spans="1:10" ht="15" customHeight="1">
      <c r="A306" s="243">
        <f t="shared" si="8"/>
        <v>303</v>
      </c>
      <c r="B306" s="244">
        <v>7114</v>
      </c>
      <c r="C306" s="245" t="s">
        <v>4086</v>
      </c>
      <c r="D306" s="245" t="str">
        <f t="shared" si="9"/>
        <v>CENTAR ZA PRUŽANJE USLUGA U ZAJEDNICI LIPIK (7114)</v>
      </c>
      <c r="E306" s="245" t="s">
        <v>4087</v>
      </c>
      <c r="F306" s="245" t="s">
        <v>4088</v>
      </c>
      <c r="G306" s="246">
        <v>3084981</v>
      </c>
      <c r="H306" s="247" t="s">
        <v>4089</v>
      </c>
      <c r="J306" s="236"/>
    </row>
    <row r="307" spans="1:10" ht="15" customHeight="1">
      <c r="A307" s="243">
        <f t="shared" si="8"/>
        <v>304</v>
      </c>
      <c r="B307" s="244">
        <v>52305</v>
      </c>
      <c r="C307" s="245" t="s">
        <v>4090</v>
      </c>
      <c r="D307" s="245" t="str">
        <f t="shared" si="9"/>
        <v>CENTAR ZA PRUŽANJE USLUGA U ZAJEDNICI MOCIRE (52305)</v>
      </c>
      <c r="E307" s="245" t="s">
        <v>4091</v>
      </c>
      <c r="F307" s="245" t="s">
        <v>316</v>
      </c>
      <c r="G307" s="246">
        <v>5343020</v>
      </c>
      <c r="H307" s="247" t="s">
        <v>4092</v>
      </c>
      <c r="J307" s="236"/>
    </row>
    <row r="308" spans="1:10" ht="15" customHeight="1">
      <c r="A308" s="243">
        <f t="shared" si="8"/>
        <v>305</v>
      </c>
      <c r="B308" s="244">
        <v>7761</v>
      </c>
      <c r="C308" s="245" t="s">
        <v>4093</v>
      </c>
      <c r="D308" s="245" t="str">
        <f t="shared" si="9"/>
        <v>CENTAR ZA PRUŽANJE USLUGA U ZAJEDNICI OSIJEK - JA KAO I TI (7761)</v>
      </c>
      <c r="E308" s="245" t="s">
        <v>4094</v>
      </c>
      <c r="F308" s="245" t="s">
        <v>278</v>
      </c>
      <c r="G308" s="246">
        <v>3014452</v>
      </c>
      <c r="H308" s="247" t="s">
        <v>4095</v>
      </c>
      <c r="J308" s="236"/>
    </row>
    <row r="309" spans="1:10" ht="15" customHeight="1">
      <c r="A309" s="243">
        <f t="shared" si="8"/>
        <v>306</v>
      </c>
      <c r="B309" s="244">
        <v>7350</v>
      </c>
      <c r="C309" s="245" t="s">
        <v>4096</v>
      </c>
      <c r="D309" s="245" t="str">
        <f t="shared" si="9"/>
        <v>CENTAR ZA PRUŽANJE USLUGA U ZAJEDNICI OZALJ (7350)</v>
      </c>
      <c r="E309" s="245" t="s">
        <v>4097</v>
      </c>
      <c r="F309" s="245" t="s">
        <v>4098</v>
      </c>
      <c r="G309" s="246">
        <v>3187381</v>
      </c>
      <c r="H309" s="247" t="s">
        <v>4099</v>
      </c>
      <c r="J309" s="236"/>
    </row>
    <row r="310" spans="1:10" ht="15" customHeight="1">
      <c r="A310" s="243">
        <f t="shared" si="8"/>
        <v>307</v>
      </c>
      <c r="B310" s="244">
        <v>7309</v>
      </c>
      <c r="C310" s="245" t="s">
        <v>4100</v>
      </c>
      <c r="D310" s="245" t="str">
        <f t="shared" si="9"/>
        <v>CENTAR ZA PRUŽANJE USLUGA U ZAJEDNICI SPLIT (7309)</v>
      </c>
      <c r="E310" s="245" t="s">
        <v>4101</v>
      </c>
      <c r="F310" s="245" t="s">
        <v>360</v>
      </c>
      <c r="G310" s="246">
        <v>3133745</v>
      </c>
      <c r="H310" s="247" t="s">
        <v>4102</v>
      </c>
      <c r="J310" s="236"/>
    </row>
    <row r="311" spans="1:10" ht="15" customHeight="1">
      <c r="A311" s="243">
        <f t="shared" si="8"/>
        <v>308</v>
      </c>
      <c r="B311" s="244">
        <v>7106</v>
      </c>
      <c r="C311" s="245" t="s">
        <v>4103</v>
      </c>
      <c r="D311" s="245" t="str">
        <f t="shared" si="9"/>
        <v>CENTAR ZA PRUŽANJE USLUGA U ZAJEDNICI SVITANJE (7106)</v>
      </c>
      <c r="E311" s="245" t="s">
        <v>4104</v>
      </c>
      <c r="F311" s="245" t="s">
        <v>309</v>
      </c>
      <c r="G311" s="246">
        <v>3009971</v>
      </c>
      <c r="H311" s="247" t="s">
        <v>4105</v>
      </c>
      <c r="J311" s="236"/>
    </row>
    <row r="312" spans="1:10" ht="15" customHeight="1">
      <c r="A312" s="243">
        <f t="shared" si="8"/>
        <v>309</v>
      </c>
      <c r="B312" s="244">
        <v>7091</v>
      </c>
      <c r="C312" s="245" t="s">
        <v>4106</v>
      </c>
      <c r="D312" s="245" t="str">
        <f t="shared" si="9"/>
        <v>CENTAR ZA PRUŽANJE USLUGA U ZAJEDNICI VLADIMIR NAZOR (7091)</v>
      </c>
      <c r="E312" s="245" t="s">
        <v>4107</v>
      </c>
      <c r="F312" s="245" t="s">
        <v>513</v>
      </c>
      <c r="G312" s="246">
        <v>3123464</v>
      </c>
      <c r="H312" s="247" t="s">
        <v>4108</v>
      </c>
      <c r="J312" s="236"/>
    </row>
    <row r="313" spans="1:10" ht="15" customHeight="1">
      <c r="A313" s="243">
        <f t="shared" si="8"/>
        <v>310</v>
      </c>
      <c r="B313" s="244">
        <v>21801</v>
      </c>
      <c r="C313" s="245" t="s">
        <v>4109</v>
      </c>
      <c r="D313" s="245" t="str">
        <f t="shared" si="9"/>
        <v>CENTAR ZA REHABILITACIJU FRA ANTE SEKELEZ (21801)</v>
      </c>
      <c r="E313" s="245" t="s">
        <v>4110</v>
      </c>
      <c r="F313" s="245" t="s">
        <v>4111</v>
      </c>
      <c r="G313" s="246">
        <v>1284797</v>
      </c>
      <c r="H313" s="247" t="s">
        <v>4112</v>
      </c>
      <c r="J313" s="236"/>
    </row>
    <row r="314" spans="1:10" ht="15" customHeight="1">
      <c r="A314" s="243">
        <f t="shared" si="8"/>
        <v>311</v>
      </c>
      <c r="B314" s="244">
        <v>21797</v>
      </c>
      <c r="C314" s="245" t="s">
        <v>4113</v>
      </c>
      <c r="D314" s="245" t="str">
        <f t="shared" si="9"/>
        <v>CENTAR ZA REHABILITACIJU JOSIPOVAC (21797)</v>
      </c>
      <c r="E314" s="245" t="s">
        <v>4114</v>
      </c>
      <c r="F314" s="245" t="s">
        <v>4115</v>
      </c>
      <c r="G314" s="246">
        <v>1151703</v>
      </c>
      <c r="H314" s="247" t="s">
        <v>4116</v>
      </c>
      <c r="J314" s="236"/>
    </row>
    <row r="315" spans="1:10" ht="24">
      <c r="A315" s="243">
        <f t="shared" ref="A315:A378" si="10">+A314+1</f>
        <v>312</v>
      </c>
      <c r="B315" s="244">
        <v>45986</v>
      </c>
      <c r="C315" s="245" t="s">
        <v>4117</v>
      </c>
      <c r="D315" s="245" t="str">
        <f t="shared" si="9"/>
        <v>CENTAR ZA REHABILITACIJU KOMAREVO (45986)</v>
      </c>
      <c r="E315" s="245" t="s">
        <v>4118</v>
      </c>
      <c r="F315" s="245" t="s">
        <v>4119</v>
      </c>
      <c r="G315" s="246">
        <v>2506327</v>
      </c>
      <c r="H315" s="247" t="s">
        <v>4120</v>
      </c>
      <c r="J315" s="236"/>
    </row>
    <row r="316" spans="1:10" ht="15" customHeight="1">
      <c r="A316" s="243">
        <f t="shared" si="10"/>
        <v>313</v>
      </c>
      <c r="B316" s="244">
        <v>26555</v>
      </c>
      <c r="C316" s="245" t="s">
        <v>4121</v>
      </c>
      <c r="D316" s="245" t="str">
        <f t="shared" si="9"/>
        <v>CENTAR ZA REHABILITACIJU MALA TEREZIJA (26555)</v>
      </c>
      <c r="E316" s="245" t="s">
        <v>4122</v>
      </c>
      <c r="F316" s="245" t="s">
        <v>4123</v>
      </c>
      <c r="G316" s="246">
        <v>1738925</v>
      </c>
      <c r="H316" s="247" t="s">
        <v>4124</v>
      </c>
      <c r="J316" s="236"/>
    </row>
    <row r="317" spans="1:10" ht="15" customHeight="1">
      <c r="A317" s="243">
        <f t="shared" si="10"/>
        <v>314</v>
      </c>
      <c r="B317" s="244">
        <v>21810</v>
      </c>
      <c r="C317" s="245" t="s">
        <v>4125</v>
      </c>
      <c r="D317" s="245" t="str">
        <f t="shared" si="9"/>
        <v>CENTAR ZA REHABILITACIJU MIR (21810)</v>
      </c>
      <c r="E317" s="245" t="s">
        <v>4126</v>
      </c>
      <c r="F317" s="245" t="s">
        <v>4127</v>
      </c>
      <c r="G317" s="246">
        <v>1284789</v>
      </c>
      <c r="H317" s="247" t="s">
        <v>4128</v>
      </c>
      <c r="J317" s="236"/>
    </row>
    <row r="318" spans="1:10" ht="15" customHeight="1">
      <c r="A318" s="243">
        <f t="shared" si="10"/>
        <v>315</v>
      </c>
      <c r="B318" s="244">
        <v>7430</v>
      </c>
      <c r="C318" s="245" t="s">
        <v>4129</v>
      </c>
      <c r="D318" s="245" t="str">
        <f t="shared" si="9"/>
        <v>CENTAR ZA REHABILITACIJU PULA  (7430)</v>
      </c>
      <c r="E318" s="245" t="s">
        <v>4130</v>
      </c>
      <c r="F318" s="245" t="s">
        <v>306</v>
      </c>
      <c r="G318" s="246">
        <v>3549496</v>
      </c>
      <c r="H318" s="247" t="s">
        <v>4131</v>
      </c>
      <c r="J318" s="236"/>
    </row>
    <row r="319" spans="1:10" ht="15" customHeight="1">
      <c r="A319" s="243">
        <f t="shared" si="10"/>
        <v>316</v>
      </c>
      <c r="B319" s="244">
        <v>7384</v>
      </c>
      <c r="C319" s="245" t="s">
        <v>4132</v>
      </c>
      <c r="D319" s="245" t="str">
        <f t="shared" si="9"/>
        <v>CENTAR ZA REHABILITACIJU RIJEKA (7384)</v>
      </c>
      <c r="E319" s="245" t="s">
        <v>4133</v>
      </c>
      <c r="F319" s="245" t="s">
        <v>320</v>
      </c>
      <c r="G319" s="246">
        <v>3417778</v>
      </c>
      <c r="H319" s="247" t="s">
        <v>4134</v>
      </c>
      <c r="J319" s="236"/>
    </row>
    <row r="320" spans="1:10" ht="15" customHeight="1">
      <c r="A320" s="243">
        <f t="shared" si="10"/>
        <v>317</v>
      </c>
      <c r="B320" s="244">
        <v>21789</v>
      </c>
      <c r="C320" s="245" t="s">
        <v>4135</v>
      </c>
      <c r="D320" s="245" t="str">
        <f t="shared" si="9"/>
        <v>CENTAR ZA REHABILITACIJU SAMARITANAC SPLIT (21789)</v>
      </c>
      <c r="E320" s="245" t="s">
        <v>4136</v>
      </c>
      <c r="F320" s="245" t="s">
        <v>360</v>
      </c>
      <c r="G320" s="246">
        <v>1140370</v>
      </c>
      <c r="H320" s="247" t="s">
        <v>4137</v>
      </c>
      <c r="J320" s="236"/>
    </row>
    <row r="321" spans="1:10" ht="15" customHeight="1">
      <c r="A321" s="243">
        <f t="shared" si="10"/>
        <v>318</v>
      </c>
      <c r="B321" s="244">
        <v>7413</v>
      </c>
      <c r="C321" s="245" t="s">
        <v>4138</v>
      </c>
      <c r="D321" s="245" t="str">
        <f t="shared" si="9"/>
        <v>CENTAR ZA REHABILITACIJU STANČIĆ (7413)</v>
      </c>
      <c r="E321" s="245" t="s">
        <v>4139</v>
      </c>
      <c r="F321" s="245" t="s">
        <v>4140</v>
      </c>
      <c r="G321" s="246">
        <v>3348431</v>
      </c>
      <c r="H321" s="247" t="s">
        <v>4141</v>
      </c>
      <c r="J321" s="236"/>
    </row>
    <row r="322" spans="1:10" ht="15" customHeight="1">
      <c r="A322" s="243">
        <f t="shared" si="10"/>
        <v>319</v>
      </c>
      <c r="B322" s="244">
        <v>7341</v>
      </c>
      <c r="C322" s="245" t="s">
        <v>4142</v>
      </c>
      <c r="D322" s="245" t="str">
        <f t="shared" si="9"/>
        <v>CENTAR ZA REHABILITACIJU SVETI FILIP I JAKOV (7341)</v>
      </c>
      <c r="E322" s="245" t="s">
        <v>4143</v>
      </c>
      <c r="F322" s="245" t="s">
        <v>4144</v>
      </c>
      <c r="G322" s="246">
        <v>3334392</v>
      </c>
      <c r="H322" s="247" t="s">
        <v>4145</v>
      </c>
      <c r="J322" s="236"/>
    </row>
    <row r="323" spans="1:10" ht="15" customHeight="1">
      <c r="A323" s="243">
        <f t="shared" si="10"/>
        <v>320</v>
      </c>
      <c r="B323" s="244">
        <v>7464</v>
      </c>
      <c r="C323" s="245" t="s">
        <v>4146</v>
      </c>
      <c r="D323" s="245" t="str">
        <f t="shared" si="9"/>
        <v>CENTAR ZA REHABILITACIJU ZAGREB (7464)</v>
      </c>
      <c r="E323" s="245" t="s">
        <v>4147</v>
      </c>
      <c r="F323" s="245" t="s">
        <v>275</v>
      </c>
      <c r="G323" s="246">
        <v>3256251</v>
      </c>
      <c r="H323" s="247" t="s">
        <v>4148</v>
      </c>
      <c r="J323" s="236"/>
    </row>
    <row r="324" spans="1:10" ht="15" customHeight="1">
      <c r="A324" s="243">
        <f t="shared" si="10"/>
        <v>321</v>
      </c>
      <c r="B324" s="244">
        <v>6187</v>
      </c>
      <c r="C324" s="245" t="s">
        <v>4149</v>
      </c>
      <c r="D324" s="245" t="str">
        <f t="shared" ref="D324:D387" si="11">C324&amp;" ("&amp;B324&amp;")"</f>
        <v>CENTAR ZA SOCIJALNU SKRB BELI MANASTIR (6187)</v>
      </c>
      <c r="E324" s="245" t="s">
        <v>4150</v>
      </c>
      <c r="F324" s="245" t="s">
        <v>4151</v>
      </c>
      <c r="G324" s="246">
        <v>2872692</v>
      </c>
      <c r="H324" s="247" t="s">
        <v>4152</v>
      </c>
      <c r="J324" s="236"/>
    </row>
    <row r="325" spans="1:10" ht="15" customHeight="1">
      <c r="A325" s="243">
        <f t="shared" si="10"/>
        <v>322</v>
      </c>
      <c r="B325" s="244">
        <v>6195</v>
      </c>
      <c r="C325" s="245" t="s">
        <v>4153</v>
      </c>
      <c r="D325" s="245" t="str">
        <f t="shared" si="11"/>
        <v>CENTAR ZA SOCIJALNU SKRB BENKOVAC (6195)</v>
      </c>
      <c r="E325" s="245" t="s">
        <v>4154</v>
      </c>
      <c r="F325" s="245" t="s">
        <v>4155</v>
      </c>
      <c r="G325" s="246">
        <v>2884321</v>
      </c>
      <c r="H325" s="247" t="s">
        <v>4156</v>
      </c>
      <c r="J325" s="236"/>
    </row>
    <row r="326" spans="1:10" ht="15" customHeight="1">
      <c r="A326" s="243">
        <f t="shared" si="10"/>
        <v>323</v>
      </c>
      <c r="B326" s="244">
        <v>6200</v>
      </c>
      <c r="C326" s="245" t="s">
        <v>4157</v>
      </c>
      <c r="D326" s="245" t="str">
        <f t="shared" si="11"/>
        <v>CENTAR ZA SOCIJALNU SKRB BIOGRAD NA MORU  (6200)</v>
      </c>
      <c r="E326" s="245" t="s">
        <v>4158</v>
      </c>
      <c r="F326" s="245" t="s">
        <v>4159</v>
      </c>
      <c r="G326" s="246">
        <v>2884330</v>
      </c>
      <c r="H326" s="247" t="s">
        <v>4160</v>
      </c>
      <c r="J326" s="236"/>
    </row>
    <row r="327" spans="1:10" ht="15" customHeight="1">
      <c r="A327" s="243">
        <f t="shared" si="10"/>
        <v>324</v>
      </c>
      <c r="B327" s="244">
        <v>6218</v>
      </c>
      <c r="C327" s="245" t="s">
        <v>4161</v>
      </c>
      <c r="D327" s="245" t="str">
        <f t="shared" si="11"/>
        <v>CENTAR ZA SOCIJALNU SKRB BJELOVAR (6218)</v>
      </c>
      <c r="E327" s="245" t="s">
        <v>4162</v>
      </c>
      <c r="F327" s="245" t="s">
        <v>3654</v>
      </c>
      <c r="G327" s="246">
        <v>2873761</v>
      </c>
      <c r="H327" s="247" t="s">
        <v>4163</v>
      </c>
      <c r="J327" s="236"/>
    </row>
    <row r="328" spans="1:10" ht="15" customHeight="1">
      <c r="A328" s="243">
        <f t="shared" si="10"/>
        <v>325</v>
      </c>
      <c r="B328" s="244">
        <v>6226</v>
      </c>
      <c r="C328" s="245" t="s">
        <v>4164</v>
      </c>
      <c r="D328" s="245" t="str">
        <f t="shared" si="11"/>
        <v>CENTAR ZA SOCIJALNU SKRB BRAČ - SUPETAR (6226)</v>
      </c>
      <c r="E328" s="245" t="s">
        <v>4165</v>
      </c>
      <c r="F328" s="245" t="s">
        <v>4166</v>
      </c>
      <c r="G328" s="246">
        <v>2882736</v>
      </c>
      <c r="H328" s="247" t="s">
        <v>4167</v>
      </c>
      <c r="J328" s="236"/>
    </row>
    <row r="329" spans="1:10" ht="15" customHeight="1">
      <c r="A329" s="243">
        <f t="shared" si="10"/>
        <v>326</v>
      </c>
      <c r="B329" s="244">
        <v>6234</v>
      </c>
      <c r="C329" s="245" t="s">
        <v>4168</v>
      </c>
      <c r="D329" s="245" t="str">
        <f t="shared" si="11"/>
        <v>CENTAR ZA SOCIJALNU SKRB BUJE, CENTRO DI ASSISTENZA SOCIALE DI BUIE (6234)</v>
      </c>
      <c r="E329" s="245" t="s">
        <v>4169</v>
      </c>
      <c r="F329" s="245" t="s">
        <v>4170</v>
      </c>
      <c r="G329" s="246">
        <v>2883341</v>
      </c>
      <c r="H329" s="247" t="s">
        <v>4171</v>
      </c>
      <c r="J329" s="236"/>
    </row>
    <row r="330" spans="1:10" ht="15" customHeight="1">
      <c r="A330" s="243">
        <f t="shared" si="10"/>
        <v>327</v>
      </c>
      <c r="B330" s="244">
        <v>6541</v>
      </c>
      <c r="C330" s="245" t="s">
        <v>4172</v>
      </c>
      <c r="D330" s="245" t="str">
        <f t="shared" si="11"/>
        <v>CENTAR ZA SOCIJALNU SKRB CRES-LOŠINJ (6541)</v>
      </c>
      <c r="E330" s="245" t="s">
        <v>4173</v>
      </c>
      <c r="F330" s="245" t="s">
        <v>4174</v>
      </c>
      <c r="G330" s="246">
        <v>2883708</v>
      </c>
      <c r="H330" s="247" t="s">
        <v>4175</v>
      </c>
      <c r="J330" s="236"/>
    </row>
    <row r="331" spans="1:10" ht="15" customHeight="1">
      <c r="A331" s="243">
        <f t="shared" si="10"/>
        <v>328</v>
      </c>
      <c r="B331" s="244">
        <v>6242</v>
      </c>
      <c r="C331" s="245" t="s">
        <v>4176</v>
      </c>
      <c r="D331" s="245" t="str">
        <f t="shared" si="11"/>
        <v>CENTAR ZA SOCIJALNU SKRB CRIKVENICA (6242)</v>
      </c>
      <c r="E331" s="245" t="s">
        <v>4177</v>
      </c>
      <c r="F331" s="245" t="s">
        <v>4178</v>
      </c>
      <c r="G331" s="246">
        <v>2883694</v>
      </c>
      <c r="H331" s="247" t="s">
        <v>4179</v>
      </c>
      <c r="J331" s="236"/>
    </row>
    <row r="332" spans="1:10" ht="15" customHeight="1">
      <c r="A332" s="243">
        <f t="shared" si="10"/>
        <v>329</v>
      </c>
      <c r="B332" s="244">
        <v>6259</v>
      </c>
      <c r="C332" s="245" t="s">
        <v>4180</v>
      </c>
      <c r="D332" s="245" t="str">
        <f t="shared" si="11"/>
        <v>CENTAR ZA SOCIJALNU SKRB ČAKOVEC  (6259)</v>
      </c>
      <c r="E332" s="245" t="s">
        <v>4181</v>
      </c>
      <c r="F332" s="245" t="s">
        <v>494</v>
      </c>
      <c r="G332" s="246">
        <v>2874687</v>
      </c>
      <c r="H332" s="247" t="s">
        <v>4182</v>
      </c>
      <c r="J332" s="236"/>
    </row>
    <row r="333" spans="1:10" ht="15" customHeight="1">
      <c r="A333" s="243">
        <f t="shared" si="10"/>
        <v>330</v>
      </c>
      <c r="B333" s="244">
        <v>6267</v>
      </c>
      <c r="C333" s="245" t="s">
        <v>4183</v>
      </c>
      <c r="D333" s="245" t="str">
        <f t="shared" si="11"/>
        <v>CENTAR ZA SOCIJALNU SKRB ČAZMA  (6267)</v>
      </c>
      <c r="E333" s="245" t="s">
        <v>4184</v>
      </c>
      <c r="F333" s="245" t="s">
        <v>4185</v>
      </c>
      <c r="G333" s="246">
        <v>2873788</v>
      </c>
      <c r="H333" s="247" t="s">
        <v>4186</v>
      </c>
      <c r="J333" s="236"/>
    </row>
    <row r="334" spans="1:10" ht="15" customHeight="1">
      <c r="A334" s="243">
        <f t="shared" si="10"/>
        <v>331</v>
      </c>
      <c r="B334" s="244">
        <v>6275</v>
      </c>
      <c r="C334" s="245" t="s">
        <v>4187</v>
      </c>
      <c r="D334" s="245" t="str">
        <f t="shared" si="11"/>
        <v>CENTAR ZA SOCIJALNU SKRB DARUVAR  (6275)</v>
      </c>
      <c r="E334" s="245" t="s">
        <v>4188</v>
      </c>
      <c r="F334" s="245" t="s">
        <v>4039</v>
      </c>
      <c r="G334" s="246">
        <v>2873796</v>
      </c>
      <c r="H334" s="247" t="s">
        <v>4189</v>
      </c>
      <c r="J334" s="236"/>
    </row>
    <row r="335" spans="1:10" ht="15" customHeight="1">
      <c r="A335" s="243">
        <f t="shared" si="10"/>
        <v>332</v>
      </c>
      <c r="B335" s="244">
        <v>6291</v>
      </c>
      <c r="C335" s="245" t="s">
        <v>4190</v>
      </c>
      <c r="D335" s="245" t="str">
        <f t="shared" si="11"/>
        <v>CENTAR ZA SOCIJALNU SKRB DONJA STUBICA  (6291)</v>
      </c>
      <c r="E335" s="245" t="s">
        <v>4191</v>
      </c>
      <c r="F335" s="245" t="s">
        <v>4192</v>
      </c>
      <c r="G335" s="246">
        <v>2877457</v>
      </c>
      <c r="H335" s="247" t="s">
        <v>4193</v>
      </c>
      <c r="J335" s="236"/>
    </row>
    <row r="336" spans="1:10" ht="15" customHeight="1">
      <c r="A336" s="243">
        <f t="shared" si="10"/>
        <v>333</v>
      </c>
      <c r="B336" s="244">
        <v>6306</v>
      </c>
      <c r="C336" s="245" t="s">
        <v>4194</v>
      </c>
      <c r="D336" s="245" t="str">
        <f t="shared" si="11"/>
        <v>CENTAR ZA SOCIJALNU SKRB DONJI MIHOLJAC (6306)</v>
      </c>
      <c r="E336" s="245" t="s">
        <v>4195</v>
      </c>
      <c r="F336" s="245" t="s">
        <v>4196</v>
      </c>
      <c r="G336" s="246">
        <v>2872722</v>
      </c>
      <c r="H336" s="247" t="s">
        <v>4197</v>
      </c>
      <c r="J336" s="236"/>
    </row>
    <row r="337" spans="1:10" ht="15" customHeight="1">
      <c r="A337" s="243">
        <f t="shared" si="10"/>
        <v>334</v>
      </c>
      <c r="B337" s="244">
        <v>21692</v>
      </c>
      <c r="C337" s="245" t="s">
        <v>4198</v>
      </c>
      <c r="D337" s="245" t="str">
        <f t="shared" si="11"/>
        <v>CENTAR ZA SOCIJALNU SKRB DRNIŠ (21692)</v>
      </c>
      <c r="E337" s="245" t="s">
        <v>4199</v>
      </c>
      <c r="F337" s="245" t="s">
        <v>4200</v>
      </c>
      <c r="G337" s="246">
        <v>2882027</v>
      </c>
      <c r="H337" s="247" t="s">
        <v>4201</v>
      </c>
      <c r="J337" s="236"/>
    </row>
    <row r="338" spans="1:10" ht="15" customHeight="1">
      <c r="A338" s="243">
        <f t="shared" si="10"/>
        <v>335</v>
      </c>
      <c r="B338" s="244">
        <v>6314</v>
      </c>
      <c r="C338" s="245" t="s">
        <v>4202</v>
      </c>
      <c r="D338" s="245" t="str">
        <f t="shared" si="11"/>
        <v>CENTAR ZA SOCIJALNU SKRB DUBROVNIK (6314)</v>
      </c>
      <c r="E338" s="245" t="s">
        <v>4203</v>
      </c>
      <c r="F338" s="245" t="s">
        <v>313</v>
      </c>
      <c r="G338" s="246">
        <v>2882302</v>
      </c>
      <c r="H338" s="247" t="s">
        <v>4204</v>
      </c>
      <c r="J338" s="236"/>
    </row>
    <row r="339" spans="1:10" ht="15" customHeight="1">
      <c r="A339" s="243">
        <f t="shared" si="10"/>
        <v>336</v>
      </c>
      <c r="B339" s="244">
        <v>6322</v>
      </c>
      <c r="C339" s="245" t="s">
        <v>4205</v>
      </c>
      <c r="D339" s="245" t="str">
        <f t="shared" si="11"/>
        <v>CENTAR ZA SOCIJALNU SKRB DUGA RESA (6322)</v>
      </c>
      <c r="E339" s="245" t="s">
        <v>4206</v>
      </c>
      <c r="F339" s="245" t="s">
        <v>4207</v>
      </c>
      <c r="G339" s="246">
        <v>2883015</v>
      </c>
      <c r="H339" s="247" t="s">
        <v>4208</v>
      </c>
      <c r="J339" s="236"/>
    </row>
    <row r="340" spans="1:10" ht="15" customHeight="1">
      <c r="A340" s="243">
        <f t="shared" si="10"/>
        <v>337</v>
      </c>
      <c r="B340" s="244">
        <v>6339</v>
      </c>
      <c r="C340" s="245" t="s">
        <v>4209</v>
      </c>
      <c r="D340" s="245" t="str">
        <f t="shared" si="11"/>
        <v>CENTAR ZA SOCIJALNU SKRB DUGO SELO (6339)</v>
      </c>
      <c r="E340" s="245" t="s">
        <v>4210</v>
      </c>
      <c r="F340" s="245" t="s">
        <v>4211</v>
      </c>
      <c r="G340" s="246">
        <v>2873125</v>
      </c>
      <c r="H340" s="247" t="s">
        <v>4212</v>
      </c>
      <c r="J340" s="236"/>
    </row>
    <row r="341" spans="1:10" ht="15" customHeight="1">
      <c r="A341" s="243">
        <f t="shared" si="10"/>
        <v>338</v>
      </c>
      <c r="B341" s="244">
        <v>6347</v>
      </c>
      <c r="C341" s="245" t="s">
        <v>4213</v>
      </c>
      <c r="D341" s="245" t="str">
        <f t="shared" si="11"/>
        <v>CENTAR ZA SOCIJALNU SKRB ĐAKOVO (6347)</v>
      </c>
      <c r="E341" s="245" t="s">
        <v>4214</v>
      </c>
      <c r="F341" s="245" t="s">
        <v>299</v>
      </c>
      <c r="G341" s="246">
        <v>2872706</v>
      </c>
      <c r="H341" s="247" t="s">
        <v>4215</v>
      </c>
      <c r="J341" s="236"/>
    </row>
    <row r="342" spans="1:10" ht="15" customHeight="1">
      <c r="A342" s="243">
        <f t="shared" si="10"/>
        <v>339</v>
      </c>
      <c r="B342" s="244">
        <v>6355</v>
      </c>
      <c r="C342" s="245" t="s">
        <v>4216</v>
      </c>
      <c r="D342" s="245" t="str">
        <f t="shared" si="11"/>
        <v>CENTAR ZA SOCIJALNU SKRB ĐURĐEVAC (6355)</v>
      </c>
      <c r="E342" s="245" t="s">
        <v>4217</v>
      </c>
      <c r="F342" s="245" t="s">
        <v>4218</v>
      </c>
      <c r="G342" s="246">
        <v>2873397</v>
      </c>
      <c r="H342" s="247" t="s">
        <v>4219</v>
      </c>
      <c r="J342" s="236"/>
    </row>
    <row r="343" spans="1:10" ht="15" customHeight="1">
      <c r="A343" s="243">
        <f t="shared" si="10"/>
        <v>340</v>
      </c>
      <c r="B343" s="244">
        <v>6363</v>
      </c>
      <c r="C343" s="245" t="s">
        <v>4220</v>
      </c>
      <c r="D343" s="245" t="str">
        <f t="shared" si="11"/>
        <v>CENTAR ZA SOCIJALNU SKRB GAREŠNICA  (6363)</v>
      </c>
      <c r="E343" s="245" t="s">
        <v>4221</v>
      </c>
      <c r="F343" s="245" t="s">
        <v>4222</v>
      </c>
      <c r="G343" s="246">
        <v>2873770</v>
      </c>
      <c r="H343" s="247" t="s">
        <v>4223</v>
      </c>
      <c r="J343" s="236"/>
    </row>
    <row r="344" spans="1:10" ht="15" customHeight="1">
      <c r="A344" s="243">
        <f t="shared" si="10"/>
        <v>341</v>
      </c>
      <c r="B344" s="244">
        <v>21713</v>
      </c>
      <c r="C344" s="245" t="s">
        <v>4224</v>
      </c>
      <c r="D344" s="245" t="str">
        <f t="shared" si="11"/>
        <v>CENTAR ZA SOCIJALNU SKRB GLINA (21713)</v>
      </c>
      <c r="E344" s="245" t="s">
        <v>4225</v>
      </c>
      <c r="F344" s="245" t="s">
        <v>4226</v>
      </c>
      <c r="G344" s="246">
        <v>2883295</v>
      </c>
      <c r="H344" s="247" t="s">
        <v>4227</v>
      </c>
      <c r="J344" s="236"/>
    </row>
    <row r="345" spans="1:10" ht="15" customHeight="1">
      <c r="A345" s="243">
        <f t="shared" si="10"/>
        <v>342</v>
      </c>
      <c r="B345" s="244">
        <v>6371</v>
      </c>
      <c r="C345" s="245" t="s">
        <v>4228</v>
      </c>
      <c r="D345" s="245" t="str">
        <f t="shared" si="11"/>
        <v>CENTAR ZA SOCIJALNU SKRB GOSPIĆ (6371)</v>
      </c>
      <c r="E345" s="245" t="s">
        <v>4229</v>
      </c>
      <c r="F345" s="245" t="s">
        <v>509</v>
      </c>
      <c r="G345" s="246">
        <v>2883643</v>
      </c>
      <c r="H345" s="247" t="s">
        <v>4230</v>
      </c>
      <c r="J345" s="236"/>
    </row>
    <row r="346" spans="1:10" ht="15" customHeight="1">
      <c r="A346" s="243">
        <f t="shared" si="10"/>
        <v>343</v>
      </c>
      <c r="B346" s="244">
        <v>50032</v>
      </c>
      <c r="C346" s="245" t="s">
        <v>4231</v>
      </c>
      <c r="D346" s="245" t="str">
        <f t="shared" si="11"/>
        <v>CENTAR ZA SOCIJALNU SKRB GRUBIŠNO POLJE (50032)</v>
      </c>
      <c r="E346" s="245" t="s">
        <v>4232</v>
      </c>
      <c r="F346" s="245" t="s">
        <v>4233</v>
      </c>
      <c r="G346" s="246">
        <v>4840836</v>
      </c>
      <c r="H346" s="247" t="s">
        <v>4234</v>
      </c>
      <c r="J346" s="236"/>
    </row>
    <row r="347" spans="1:10" ht="24">
      <c r="A347" s="243">
        <f t="shared" si="10"/>
        <v>344</v>
      </c>
      <c r="B347" s="244">
        <v>21748</v>
      </c>
      <c r="C347" s="245" t="s">
        <v>4235</v>
      </c>
      <c r="D347" s="245" t="str">
        <f t="shared" si="11"/>
        <v>CENTAR ZA SOCIJALNU SKRB HRVATSKA KOSTAJNICA (21748)</v>
      </c>
      <c r="E347" s="245" t="s">
        <v>4236</v>
      </c>
      <c r="F347" s="245" t="s">
        <v>4237</v>
      </c>
      <c r="G347" s="246">
        <v>2883287</v>
      </c>
      <c r="H347" s="247" t="s">
        <v>4238</v>
      </c>
      <c r="J347" s="236"/>
    </row>
    <row r="348" spans="1:10" ht="15" customHeight="1">
      <c r="A348" s="243">
        <f t="shared" si="10"/>
        <v>345</v>
      </c>
      <c r="B348" s="244">
        <v>6398</v>
      </c>
      <c r="C348" s="245" t="s">
        <v>4239</v>
      </c>
      <c r="D348" s="245" t="str">
        <f t="shared" si="11"/>
        <v>CENTAR ZA SOCIJALNU SKRB IMOTSKI (6398)</v>
      </c>
      <c r="E348" s="245" t="s">
        <v>4240</v>
      </c>
      <c r="F348" s="245" t="s">
        <v>4241</v>
      </c>
      <c r="G348" s="246">
        <v>2882698</v>
      </c>
      <c r="H348" s="247" t="s">
        <v>4242</v>
      </c>
      <c r="J348" s="236"/>
    </row>
    <row r="349" spans="1:10" ht="15" customHeight="1">
      <c r="A349" s="243">
        <f t="shared" si="10"/>
        <v>346</v>
      </c>
      <c r="B349" s="244">
        <v>6402</v>
      </c>
      <c r="C349" s="245" t="s">
        <v>4243</v>
      </c>
      <c r="D349" s="245" t="str">
        <f t="shared" si="11"/>
        <v>CENTAR ZA SOCIJALNU SKRB IVANEC (6402)</v>
      </c>
      <c r="E349" s="245" t="s">
        <v>4244</v>
      </c>
      <c r="F349" s="245" t="s">
        <v>4245</v>
      </c>
      <c r="G349" s="246">
        <v>2872641</v>
      </c>
      <c r="H349" s="247" t="s">
        <v>4246</v>
      </c>
      <c r="J349" s="236"/>
    </row>
    <row r="350" spans="1:10" ht="15" customHeight="1">
      <c r="A350" s="243">
        <f t="shared" si="10"/>
        <v>347</v>
      </c>
      <c r="B350" s="244">
        <v>6419</v>
      </c>
      <c r="C350" s="245" t="s">
        <v>4247</v>
      </c>
      <c r="D350" s="245" t="str">
        <f t="shared" si="11"/>
        <v>CENTAR ZA SOCIJALNU SKRB IVANIĆ GRAD (6419)</v>
      </c>
      <c r="E350" s="245" t="s">
        <v>4248</v>
      </c>
      <c r="F350" s="245" t="s">
        <v>4249</v>
      </c>
      <c r="G350" s="246">
        <v>2873079</v>
      </c>
      <c r="H350" s="247" t="s">
        <v>4250</v>
      </c>
      <c r="J350" s="236"/>
    </row>
    <row r="351" spans="1:10" ht="15" customHeight="1">
      <c r="A351" s="243">
        <f t="shared" si="10"/>
        <v>348</v>
      </c>
      <c r="B351" s="244">
        <v>6427</v>
      </c>
      <c r="C351" s="245" t="s">
        <v>4251</v>
      </c>
      <c r="D351" s="245" t="str">
        <f t="shared" si="11"/>
        <v>CENTAR ZA SOCIJALNU SKRB JASTREBARSKO (6427)</v>
      </c>
      <c r="E351" s="245" t="s">
        <v>4252</v>
      </c>
      <c r="F351" s="245" t="s">
        <v>604</v>
      </c>
      <c r="G351" s="246">
        <v>2873087</v>
      </c>
      <c r="H351" s="247" t="s">
        <v>4253</v>
      </c>
      <c r="J351" s="236"/>
    </row>
    <row r="352" spans="1:10" ht="15" customHeight="1">
      <c r="A352" s="243">
        <f t="shared" si="10"/>
        <v>349</v>
      </c>
      <c r="B352" s="244">
        <v>6435</v>
      </c>
      <c r="C352" s="245" t="s">
        <v>4254</v>
      </c>
      <c r="D352" s="245" t="str">
        <f t="shared" si="11"/>
        <v>CENTAR ZA SOCIJALNU SKRB KARLOVAC (6435)</v>
      </c>
      <c r="E352" s="245" t="s">
        <v>4255</v>
      </c>
      <c r="F352" s="245" t="s">
        <v>513</v>
      </c>
      <c r="G352" s="246">
        <v>2882981</v>
      </c>
      <c r="H352" s="247" t="s">
        <v>4256</v>
      </c>
      <c r="J352" s="236"/>
    </row>
    <row r="353" spans="1:10" ht="15" customHeight="1">
      <c r="A353" s="243">
        <f t="shared" si="10"/>
        <v>350</v>
      </c>
      <c r="B353" s="244">
        <v>21730</v>
      </c>
      <c r="C353" s="245" t="s">
        <v>4257</v>
      </c>
      <c r="D353" s="245" t="str">
        <f t="shared" si="11"/>
        <v>CENTAR ZA SOCIJALNU SKRB KNIN (21730)</v>
      </c>
      <c r="E353" s="245" t="s">
        <v>4258</v>
      </c>
      <c r="F353" s="245" t="s">
        <v>505</v>
      </c>
      <c r="G353" s="246">
        <v>2882035</v>
      </c>
      <c r="H353" s="247" t="s">
        <v>4259</v>
      </c>
      <c r="J353" s="236"/>
    </row>
    <row r="354" spans="1:10" ht="15" customHeight="1">
      <c r="A354" s="243">
        <f t="shared" si="10"/>
        <v>351</v>
      </c>
      <c r="B354" s="244">
        <v>6451</v>
      </c>
      <c r="C354" s="245" t="s">
        <v>4260</v>
      </c>
      <c r="D354" s="245" t="str">
        <f t="shared" si="11"/>
        <v>CENTAR ZA SOCIJALNU SKRB KOPRIVNICA (6451)</v>
      </c>
      <c r="E354" s="245" t="s">
        <v>4261</v>
      </c>
      <c r="F354" s="245" t="s">
        <v>309</v>
      </c>
      <c r="G354" s="246">
        <v>2873290</v>
      </c>
      <c r="H354" s="247" t="s">
        <v>4262</v>
      </c>
      <c r="J354" s="236"/>
    </row>
    <row r="355" spans="1:10" ht="15" customHeight="1">
      <c r="A355" s="243">
        <f t="shared" si="10"/>
        <v>352</v>
      </c>
      <c r="B355" s="244">
        <v>6460</v>
      </c>
      <c r="C355" s="245" t="s">
        <v>4263</v>
      </c>
      <c r="D355" s="245" t="str">
        <f t="shared" si="11"/>
        <v>CENTAR ZA SOCIJALNU SKRB KORČULA (6460)</v>
      </c>
      <c r="E355" s="245" t="s">
        <v>4264</v>
      </c>
      <c r="F355" s="245" t="s">
        <v>4265</v>
      </c>
      <c r="G355" s="246">
        <v>2882329</v>
      </c>
      <c r="H355" s="247" t="s">
        <v>4266</v>
      </c>
      <c r="J355" s="236"/>
    </row>
    <row r="356" spans="1:10" ht="15" customHeight="1">
      <c r="A356" s="243">
        <f t="shared" si="10"/>
        <v>353</v>
      </c>
      <c r="B356" s="244">
        <v>6478</v>
      </c>
      <c r="C356" s="245" t="s">
        <v>4267</v>
      </c>
      <c r="D356" s="245" t="str">
        <f t="shared" si="11"/>
        <v>CENTAR ZA SOCIJALNU SKRB KRAPINA (6478)</v>
      </c>
      <c r="E356" s="245" t="s">
        <v>4268</v>
      </c>
      <c r="F356" s="245" t="s">
        <v>1728</v>
      </c>
      <c r="G356" s="246">
        <v>2877465</v>
      </c>
      <c r="H356" s="247" t="s">
        <v>4269</v>
      </c>
      <c r="J356" s="236"/>
    </row>
    <row r="357" spans="1:10" ht="15" customHeight="1">
      <c r="A357" s="243">
        <f t="shared" si="10"/>
        <v>354</v>
      </c>
      <c r="B357" s="244">
        <v>6486</v>
      </c>
      <c r="C357" s="245" t="s">
        <v>4270</v>
      </c>
      <c r="D357" s="245" t="str">
        <f t="shared" si="11"/>
        <v>CENTAR ZA SOCIJALNU SKRB KRIŽEVCI (6486)</v>
      </c>
      <c r="E357" s="245" t="s">
        <v>4271</v>
      </c>
      <c r="F357" s="245" t="s">
        <v>531</v>
      </c>
      <c r="G357" s="246">
        <v>2873281</v>
      </c>
      <c r="H357" s="247" t="s">
        <v>4272</v>
      </c>
      <c r="J357" s="236"/>
    </row>
    <row r="358" spans="1:10" ht="15" customHeight="1">
      <c r="A358" s="243">
        <f t="shared" si="10"/>
        <v>355</v>
      </c>
      <c r="B358" s="244">
        <v>6494</v>
      </c>
      <c r="C358" s="245" t="s">
        <v>4273</v>
      </c>
      <c r="D358" s="245" t="str">
        <f t="shared" si="11"/>
        <v>CENTAR ZA SOCIJALNU SKRB KRK (6494)</v>
      </c>
      <c r="E358" s="245" t="s">
        <v>4274</v>
      </c>
      <c r="F358" s="245" t="s">
        <v>4275</v>
      </c>
      <c r="G358" s="246">
        <v>2883724</v>
      </c>
      <c r="H358" s="247" t="s">
        <v>4276</v>
      </c>
      <c r="J358" s="236"/>
    </row>
    <row r="359" spans="1:10" ht="15" customHeight="1">
      <c r="A359" s="243">
        <f t="shared" si="10"/>
        <v>356</v>
      </c>
      <c r="B359" s="244">
        <v>6509</v>
      </c>
      <c r="C359" s="245" t="s">
        <v>4277</v>
      </c>
      <c r="D359" s="245" t="str">
        <f t="shared" si="11"/>
        <v>CENTAR ZA SOCIJALNU SKRB KUTINA (6509)</v>
      </c>
      <c r="E359" s="245" t="s">
        <v>4278</v>
      </c>
      <c r="F359" s="245" t="s">
        <v>4279</v>
      </c>
      <c r="G359" s="246">
        <v>2883252</v>
      </c>
      <c r="H359" s="247" t="s">
        <v>4280</v>
      </c>
      <c r="J359" s="236"/>
    </row>
    <row r="360" spans="1:10" ht="15" customHeight="1">
      <c r="A360" s="243">
        <f t="shared" si="10"/>
        <v>357</v>
      </c>
      <c r="B360" s="244">
        <v>6517</v>
      </c>
      <c r="C360" s="245" t="s">
        <v>4281</v>
      </c>
      <c r="D360" s="245" t="str">
        <f t="shared" si="11"/>
        <v>CENTAR ZA SOCIJALNU SKRB LABIN (6517)</v>
      </c>
      <c r="E360" s="245" t="s">
        <v>4282</v>
      </c>
      <c r="F360" s="245" t="s">
        <v>4283</v>
      </c>
      <c r="G360" s="246">
        <v>2883368</v>
      </c>
      <c r="H360" s="247" t="s">
        <v>4284</v>
      </c>
      <c r="J360" s="236"/>
    </row>
    <row r="361" spans="1:10" ht="15" customHeight="1">
      <c r="A361" s="243">
        <f t="shared" si="10"/>
        <v>358</v>
      </c>
      <c r="B361" s="244">
        <v>6525</v>
      </c>
      <c r="C361" s="245" t="s">
        <v>4285</v>
      </c>
      <c r="D361" s="245" t="str">
        <f t="shared" si="11"/>
        <v>CENTAR ZA SOCIJALNU SKRB LUDBREG (6525)</v>
      </c>
      <c r="E361" s="245" t="s">
        <v>4286</v>
      </c>
      <c r="F361" s="245" t="s">
        <v>4287</v>
      </c>
      <c r="G361" s="246">
        <v>2872633</v>
      </c>
      <c r="H361" s="247" t="s">
        <v>4288</v>
      </c>
      <c r="J361" s="236"/>
    </row>
    <row r="362" spans="1:10" ht="15" customHeight="1">
      <c r="A362" s="243">
        <f t="shared" si="10"/>
        <v>359</v>
      </c>
      <c r="B362" s="244">
        <v>6533</v>
      </c>
      <c r="C362" s="245" t="s">
        <v>4289</v>
      </c>
      <c r="D362" s="245" t="str">
        <f t="shared" si="11"/>
        <v>CENTAR ZA SOCIJALNU SKRB MAKARSKA (6533)</v>
      </c>
      <c r="E362" s="245" t="s">
        <v>4290</v>
      </c>
      <c r="F362" s="245" t="s">
        <v>3937</v>
      </c>
      <c r="G362" s="246">
        <v>2882744</v>
      </c>
      <c r="H362" s="247" t="s">
        <v>4291</v>
      </c>
      <c r="J362" s="236"/>
    </row>
    <row r="363" spans="1:10" ht="15" customHeight="1">
      <c r="A363" s="243">
        <f t="shared" si="10"/>
        <v>360</v>
      </c>
      <c r="B363" s="244">
        <v>6550</v>
      </c>
      <c r="C363" s="245" t="s">
        <v>4292</v>
      </c>
      <c r="D363" s="245" t="str">
        <f t="shared" si="11"/>
        <v>CENTAR ZA SOCIJALNU SKRB METKOVIĆ  (6550)</v>
      </c>
      <c r="E363" s="245" t="s">
        <v>4293</v>
      </c>
      <c r="F363" s="245" t="s">
        <v>4294</v>
      </c>
      <c r="G363" s="246">
        <v>2882337</v>
      </c>
      <c r="H363" s="247" t="s">
        <v>4295</v>
      </c>
      <c r="J363" s="236"/>
    </row>
    <row r="364" spans="1:10" ht="15" customHeight="1">
      <c r="A364" s="243">
        <f t="shared" si="10"/>
        <v>361</v>
      </c>
      <c r="B364" s="244">
        <v>6568</v>
      </c>
      <c r="C364" s="245" t="s">
        <v>4296</v>
      </c>
      <c r="D364" s="245" t="str">
        <f t="shared" si="11"/>
        <v>CENTAR ZA SOCIJALNU SKRB NAŠICE (6568)</v>
      </c>
      <c r="E364" s="245" t="s">
        <v>4017</v>
      </c>
      <c r="F364" s="245" t="s">
        <v>4297</v>
      </c>
      <c r="G364" s="246">
        <v>2872684</v>
      </c>
      <c r="H364" s="247" t="s">
        <v>4298</v>
      </c>
      <c r="J364" s="236"/>
    </row>
    <row r="365" spans="1:10" ht="15" customHeight="1">
      <c r="A365" s="243">
        <f t="shared" si="10"/>
        <v>362</v>
      </c>
      <c r="B365" s="244">
        <v>6576</v>
      </c>
      <c r="C365" s="245" t="s">
        <v>4299</v>
      </c>
      <c r="D365" s="245" t="str">
        <f t="shared" si="11"/>
        <v>CENTAR ZA SOCIJALNU SKRB NOVA GRADIŠKA (6576)</v>
      </c>
      <c r="E365" s="245" t="s">
        <v>4300</v>
      </c>
      <c r="F365" s="245" t="s">
        <v>4301</v>
      </c>
      <c r="G365" s="246">
        <v>2872439</v>
      </c>
      <c r="H365" s="247" t="s">
        <v>4302</v>
      </c>
      <c r="J365" s="236"/>
    </row>
    <row r="366" spans="1:10" ht="15" customHeight="1">
      <c r="A366" s="243">
        <f t="shared" si="10"/>
        <v>363</v>
      </c>
      <c r="B366" s="244">
        <v>6584</v>
      </c>
      <c r="C366" s="245" t="s">
        <v>4303</v>
      </c>
      <c r="D366" s="245" t="str">
        <f t="shared" si="11"/>
        <v>CENTAR ZA SOCIJALNU SKRB NOVI MAROF (6584)</v>
      </c>
      <c r="E366" s="245" t="s">
        <v>4304</v>
      </c>
      <c r="F366" s="245" t="s">
        <v>4305</v>
      </c>
      <c r="G366" s="246">
        <v>2872625</v>
      </c>
      <c r="H366" s="247" t="s">
        <v>4306</v>
      </c>
      <c r="J366" s="236"/>
    </row>
    <row r="367" spans="1:10" ht="15" customHeight="1">
      <c r="A367" s="243">
        <f t="shared" si="10"/>
        <v>364</v>
      </c>
      <c r="B367" s="244">
        <v>6592</v>
      </c>
      <c r="C367" s="245" t="s">
        <v>4307</v>
      </c>
      <c r="D367" s="245" t="str">
        <f t="shared" si="11"/>
        <v>CENTAR ZA SOCIJALNU SKRB NOVSKA (6592)</v>
      </c>
      <c r="E367" s="245" t="s">
        <v>4308</v>
      </c>
      <c r="F367" s="245" t="s">
        <v>4309</v>
      </c>
      <c r="G367" s="246">
        <v>2883279</v>
      </c>
      <c r="H367" s="247" t="s">
        <v>4310</v>
      </c>
      <c r="J367" s="236"/>
    </row>
    <row r="368" spans="1:10" ht="15" customHeight="1">
      <c r="A368" s="243">
        <f t="shared" si="10"/>
        <v>365</v>
      </c>
      <c r="B368" s="244">
        <v>22890</v>
      </c>
      <c r="C368" s="245" t="s">
        <v>4311</v>
      </c>
      <c r="D368" s="245" t="str">
        <f t="shared" si="11"/>
        <v>CENTAR ZA SOCIJALNU SKRB OGULIN (22890)</v>
      </c>
      <c r="E368" s="245" t="s">
        <v>4312</v>
      </c>
      <c r="F368" s="245" t="s">
        <v>4313</v>
      </c>
      <c r="G368" s="246">
        <v>2883007</v>
      </c>
      <c r="H368" s="247" t="s">
        <v>4314</v>
      </c>
      <c r="J368" s="236"/>
    </row>
    <row r="369" spans="1:10" ht="15" customHeight="1">
      <c r="A369" s="243">
        <f t="shared" si="10"/>
        <v>366</v>
      </c>
      <c r="B369" s="244">
        <v>6613</v>
      </c>
      <c r="C369" s="245" t="s">
        <v>4315</v>
      </c>
      <c r="D369" s="245" t="str">
        <f t="shared" si="11"/>
        <v>CENTAR ZA SOCIJALNU SKRB OMIŠ (6613)</v>
      </c>
      <c r="E369" s="245" t="s">
        <v>4316</v>
      </c>
      <c r="F369" s="245" t="s">
        <v>4317</v>
      </c>
      <c r="G369" s="246">
        <v>2882728</v>
      </c>
      <c r="H369" s="247" t="s">
        <v>4318</v>
      </c>
      <c r="J369" s="236"/>
    </row>
    <row r="370" spans="1:10" ht="15" customHeight="1">
      <c r="A370" s="243">
        <f t="shared" si="10"/>
        <v>367</v>
      </c>
      <c r="B370" s="244">
        <v>6621</v>
      </c>
      <c r="C370" s="245" t="s">
        <v>4319</v>
      </c>
      <c r="D370" s="245" t="str">
        <f t="shared" si="11"/>
        <v>CENTAR ZA SOCIJALNU SKRB OPATIJA (6621)</v>
      </c>
      <c r="E370" s="245" t="s">
        <v>4320</v>
      </c>
      <c r="F370" s="245" t="s">
        <v>330</v>
      </c>
      <c r="G370" s="246">
        <v>2883716</v>
      </c>
      <c r="H370" s="247" t="s">
        <v>4321</v>
      </c>
      <c r="J370" s="236"/>
    </row>
    <row r="371" spans="1:10" ht="15" customHeight="1">
      <c r="A371" s="243">
        <f t="shared" si="10"/>
        <v>368</v>
      </c>
      <c r="B371" s="244">
        <v>6630</v>
      </c>
      <c r="C371" s="245" t="s">
        <v>4322</v>
      </c>
      <c r="D371" s="245" t="str">
        <f t="shared" si="11"/>
        <v>CENTAR ZA SOCIJALNU SKRB OSIJEK (6630)</v>
      </c>
      <c r="E371" s="245" t="s">
        <v>4323</v>
      </c>
      <c r="F371" s="245" t="s">
        <v>278</v>
      </c>
      <c r="G371" s="246">
        <v>2872676</v>
      </c>
      <c r="H371" s="247" t="s">
        <v>4324</v>
      </c>
      <c r="J371" s="236"/>
    </row>
    <row r="372" spans="1:10" ht="15" customHeight="1">
      <c r="A372" s="243">
        <f t="shared" si="10"/>
        <v>369</v>
      </c>
      <c r="B372" s="244">
        <v>6656</v>
      </c>
      <c r="C372" s="245" t="s">
        <v>4325</v>
      </c>
      <c r="D372" s="245" t="str">
        <f t="shared" si="11"/>
        <v>CENTAR ZA SOCIJALNU SKRB PAKRAC (6656)</v>
      </c>
      <c r="E372" s="245" t="s">
        <v>4326</v>
      </c>
      <c r="F372" s="245" t="s">
        <v>4327</v>
      </c>
      <c r="G372" s="246">
        <v>2873265</v>
      </c>
      <c r="H372" s="247" t="s">
        <v>4328</v>
      </c>
      <c r="J372" s="236"/>
    </row>
    <row r="373" spans="1:10" ht="15" customHeight="1">
      <c r="A373" s="243">
        <f t="shared" si="10"/>
        <v>370</v>
      </c>
      <c r="B373" s="244">
        <v>22111</v>
      </c>
      <c r="C373" s="245" t="s">
        <v>4329</v>
      </c>
      <c r="D373" s="245" t="str">
        <f t="shared" si="11"/>
        <v>CENTAR ZA SOCIJALNU SKRB PAZIN (22111)</v>
      </c>
      <c r="E373" s="245" t="s">
        <v>4330</v>
      </c>
      <c r="F373" s="245" t="s">
        <v>3670</v>
      </c>
      <c r="G373" s="246">
        <v>2883333</v>
      </c>
      <c r="H373" s="247" t="s">
        <v>4331</v>
      </c>
      <c r="J373" s="236"/>
    </row>
    <row r="374" spans="1:10" ht="15" customHeight="1">
      <c r="A374" s="243">
        <f t="shared" si="10"/>
        <v>371</v>
      </c>
      <c r="B374" s="244">
        <v>6672</v>
      </c>
      <c r="C374" s="245" t="s">
        <v>4332</v>
      </c>
      <c r="D374" s="245" t="str">
        <f t="shared" si="11"/>
        <v>CENTAR ZA SOCIJALNU SKRB PETRINJA (6672)</v>
      </c>
      <c r="E374" s="245" t="s">
        <v>4333</v>
      </c>
      <c r="F374" s="245" t="s">
        <v>4334</v>
      </c>
      <c r="G374" s="246">
        <v>2883244</v>
      </c>
      <c r="H374" s="247" t="s">
        <v>4335</v>
      </c>
      <c r="J374" s="236"/>
    </row>
    <row r="375" spans="1:10" ht="15" customHeight="1">
      <c r="A375" s="243">
        <f t="shared" si="10"/>
        <v>372</v>
      </c>
      <c r="B375" s="244">
        <v>6961</v>
      </c>
      <c r="C375" s="245" t="s">
        <v>4336</v>
      </c>
      <c r="D375" s="245" t="str">
        <f t="shared" si="11"/>
        <v>CENTAR ZA SOCIJALNU SKRB PLOČE (6961)</v>
      </c>
      <c r="E375" s="245" t="s">
        <v>4337</v>
      </c>
      <c r="F375" s="245" t="s">
        <v>3866</v>
      </c>
      <c r="G375" s="246">
        <v>2882345</v>
      </c>
      <c r="H375" s="247" t="s">
        <v>4338</v>
      </c>
      <c r="J375" s="236"/>
    </row>
    <row r="376" spans="1:10" ht="15" customHeight="1">
      <c r="A376" s="243">
        <f t="shared" si="10"/>
        <v>373</v>
      </c>
      <c r="B376" s="244">
        <v>6697</v>
      </c>
      <c r="C376" s="245" t="s">
        <v>4339</v>
      </c>
      <c r="D376" s="245" t="str">
        <f t="shared" si="11"/>
        <v>CENTAR ZA SOCIJALNU SKRB POREČ (6697)</v>
      </c>
      <c r="E376" s="245" t="s">
        <v>4340</v>
      </c>
      <c r="F376" s="245" t="s">
        <v>591</v>
      </c>
      <c r="G376" s="246">
        <v>2883350</v>
      </c>
      <c r="H376" s="247" t="s">
        <v>4341</v>
      </c>
      <c r="J376" s="236"/>
    </row>
    <row r="377" spans="1:10" ht="15" customHeight="1">
      <c r="A377" s="243">
        <f t="shared" si="10"/>
        <v>374</v>
      </c>
      <c r="B377" s="244">
        <v>6777</v>
      </c>
      <c r="C377" s="245" t="s">
        <v>4342</v>
      </c>
      <c r="D377" s="245" t="str">
        <f t="shared" si="11"/>
        <v>CENTAR ZA SOCIJALNU SKRB POŽEGA (6777)</v>
      </c>
      <c r="E377" s="245" t="s">
        <v>4343</v>
      </c>
      <c r="F377" s="245" t="s">
        <v>517</v>
      </c>
      <c r="G377" s="246">
        <v>2873257</v>
      </c>
      <c r="H377" s="247" t="s">
        <v>4344</v>
      </c>
      <c r="J377" s="236"/>
    </row>
    <row r="378" spans="1:10" ht="15" customHeight="1">
      <c r="A378" s="243">
        <f t="shared" si="10"/>
        <v>375</v>
      </c>
      <c r="B378" s="244">
        <v>51749</v>
      </c>
      <c r="C378" s="245" t="s">
        <v>4345</v>
      </c>
      <c r="D378" s="245" t="str">
        <f t="shared" si="11"/>
        <v>CENTAR ZA SOCIJALNU SKRB PRELOG (51749)</v>
      </c>
      <c r="E378" s="245" t="s">
        <v>4346</v>
      </c>
      <c r="F378" s="245" t="s">
        <v>4347</v>
      </c>
      <c r="G378" s="246">
        <v>5344301</v>
      </c>
      <c r="H378" s="247" t="s">
        <v>4348</v>
      </c>
      <c r="J378" s="236"/>
    </row>
    <row r="379" spans="1:10" ht="15" customHeight="1">
      <c r="A379" s="243">
        <f>+A378+1</f>
        <v>376</v>
      </c>
      <c r="B379" s="244">
        <v>6701</v>
      </c>
      <c r="C379" s="245" t="s">
        <v>4349</v>
      </c>
      <c r="D379" s="245" t="str">
        <f t="shared" si="11"/>
        <v>CENTAR ZA SOCIJALNU SKRB PULA-POLA (6701)</v>
      </c>
      <c r="E379" s="245" t="s">
        <v>4350</v>
      </c>
      <c r="F379" s="245" t="s">
        <v>306</v>
      </c>
      <c r="G379" s="246">
        <v>2883384</v>
      </c>
      <c r="H379" s="247" t="s">
        <v>4351</v>
      </c>
      <c r="J379" s="236"/>
    </row>
    <row r="380" spans="1:10" ht="15" customHeight="1">
      <c r="A380" s="243">
        <f t="shared" ref="A380:A443" si="12">+A379+1</f>
        <v>377</v>
      </c>
      <c r="B380" s="244">
        <v>6710</v>
      </c>
      <c r="C380" s="245" t="s">
        <v>4352</v>
      </c>
      <c r="D380" s="245" t="str">
        <f t="shared" si="11"/>
        <v>CENTAR ZA SOCIJALNU SKRB RIJEKA (6710)</v>
      </c>
      <c r="E380" s="245" t="s">
        <v>4353</v>
      </c>
      <c r="F380" s="245" t="s">
        <v>320</v>
      </c>
      <c r="G380" s="246">
        <v>2883686</v>
      </c>
      <c r="H380" s="247" t="s">
        <v>4354</v>
      </c>
      <c r="J380" s="236"/>
    </row>
    <row r="381" spans="1:10" ht="15" customHeight="1">
      <c r="A381" s="243">
        <f t="shared" si="12"/>
        <v>378</v>
      </c>
      <c r="B381" s="244">
        <v>6728</v>
      </c>
      <c r="C381" s="245" t="s">
        <v>4355</v>
      </c>
      <c r="D381" s="245" t="str">
        <f t="shared" si="11"/>
        <v>CENTAR ZA SOCIJALNU SKRB ROVINJ (6728)</v>
      </c>
      <c r="E381" s="245" t="s">
        <v>4356</v>
      </c>
      <c r="F381" s="245" t="s">
        <v>4357</v>
      </c>
      <c r="G381" s="246">
        <v>2883376</v>
      </c>
      <c r="H381" s="247" t="s">
        <v>4358</v>
      </c>
      <c r="J381" s="236"/>
    </row>
    <row r="382" spans="1:10" ht="15" customHeight="1">
      <c r="A382" s="243">
        <f t="shared" si="12"/>
        <v>379</v>
      </c>
      <c r="B382" s="244">
        <v>6736</v>
      </c>
      <c r="C382" s="245" t="s">
        <v>4359</v>
      </c>
      <c r="D382" s="245" t="str">
        <f t="shared" si="11"/>
        <v>CENTAR ZA SOCIJALNU SKRB SAMOBOR (6736)</v>
      </c>
      <c r="E382" s="245" t="s">
        <v>4360</v>
      </c>
      <c r="F382" s="245" t="s">
        <v>4361</v>
      </c>
      <c r="G382" s="246">
        <v>2873109</v>
      </c>
      <c r="H382" s="247" t="s">
        <v>4362</v>
      </c>
      <c r="J382" s="236"/>
    </row>
    <row r="383" spans="1:10" ht="15" customHeight="1">
      <c r="A383" s="243">
        <f t="shared" si="12"/>
        <v>380</v>
      </c>
      <c r="B383" s="244">
        <v>6744</v>
      </c>
      <c r="C383" s="245" t="s">
        <v>4363</v>
      </c>
      <c r="D383" s="245" t="str">
        <f t="shared" si="11"/>
        <v>CENTAR ZA SOCIJALNU SKRB SENJ (6744)</v>
      </c>
      <c r="E383" s="245" t="s">
        <v>4364</v>
      </c>
      <c r="F383" s="245" t="s">
        <v>4365</v>
      </c>
      <c r="G383" s="246">
        <v>2883651</v>
      </c>
      <c r="H383" s="247" t="s">
        <v>4366</v>
      </c>
      <c r="J383" s="236"/>
    </row>
    <row r="384" spans="1:10" ht="15" customHeight="1">
      <c r="A384" s="243">
        <f t="shared" si="12"/>
        <v>381</v>
      </c>
      <c r="B384" s="244">
        <v>6752</v>
      </c>
      <c r="C384" s="245" t="s">
        <v>4367</v>
      </c>
      <c r="D384" s="245" t="str">
        <f t="shared" si="11"/>
        <v>CENTAR ZA SOCIJALNU SKRB SINJ (6752)</v>
      </c>
      <c r="E384" s="245" t="s">
        <v>4368</v>
      </c>
      <c r="F384" s="245" t="s">
        <v>4369</v>
      </c>
      <c r="G384" s="246">
        <v>2882710</v>
      </c>
      <c r="H384" s="247" t="s">
        <v>4370</v>
      </c>
      <c r="J384" s="236"/>
    </row>
    <row r="385" spans="1:10" ht="15" customHeight="1">
      <c r="A385" s="243">
        <f t="shared" si="12"/>
        <v>382</v>
      </c>
      <c r="B385" s="244">
        <v>6769</v>
      </c>
      <c r="C385" s="245" t="s">
        <v>4371</v>
      </c>
      <c r="D385" s="245" t="str">
        <f t="shared" si="11"/>
        <v>CENTAR ZA SOCIJALNU SKRB SISAK (6769)</v>
      </c>
      <c r="E385" s="245" t="s">
        <v>4372</v>
      </c>
      <c r="F385" s="245" t="s">
        <v>1724</v>
      </c>
      <c r="G385" s="246">
        <v>2883236</v>
      </c>
      <c r="H385" s="247" t="s">
        <v>4373</v>
      </c>
      <c r="J385" s="236"/>
    </row>
    <row r="386" spans="1:10" ht="15" customHeight="1">
      <c r="A386" s="243">
        <f t="shared" si="12"/>
        <v>383</v>
      </c>
      <c r="B386" s="244">
        <v>6689</v>
      </c>
      <c r="C386" s="245" t="s">
        <v>4374</v>
      </c>
      <c r="D386" s="245" t="str">
        <f t="shared" si="11"/>
        <v>CENTAR ZA SOCIJALNU SKRB SLATINA (6689)</v>
      </c>
      <c r="E386" s="245" t="s">
        <v>4375</v>
      </c>
      <c r="F386" s="245" t="s">
        <v>4376</v>
      </c>
      <c r="G386" s="246">
        <v>2873028</v>
      </c>
      <c r="H386" s="247" t="s">
        <v>4377</v>
      </c>
      <c r="J386" s="236"/>
    </row>
    <row r="387" spans="1:10" ht="15" customHeight="1">
      <c r="A387" s="243">
        <f t="shared" si="12"/>
        <v>384</v>
      </c>
      <c r="B387" s="244">
        <v>6785</v>
      </c>
      <c r="C387" s="245" t="s">
        <v>4378</v>
      </c>
      <c r="D387" s="245" t="str">
        <f t="shared" si="11"/>
        <v>CENTAR ZA SOCIJALNU SKRB SLAVONSKI BROD (6785)</v>
      </c>
      <c r="E387" s="245" t="s">
        <v>4379</v>
      </c>
      <c r="F387" s="245" t="s">
        <v>1769</v>
      </c>
      <c r="G387" s="246">
        <v>2872412</v>
      </c>
      <c r="H387" s="247" t="s">
        <v>4380</v>
      </c>
      <c r="J387" s="236"/>
    </row>
    <row r="388" spans="1:10" ht="15" customHeight="1">
      <c r="A388" s="243">
        <f t="shared" si="12"/>
        <v>385</v>
      </c>
      <c r="B388" s="244">
        <v>19931</v>
      </c>
      <c r="C388" s="245" t="s">
        <v>4381</v>
      </c>
      <c r="D388" s="245" t="str">
        <f t="shared" ref="D388:D451" si="13">C388&amp;" ("&amp;B388&amp;")"</f>
        <v>CENTAR ZA SOCIJALNU SKRB SLUNJ (19931)</v>
      </c>
      <c r="E388" s="245" t="s">
        <v>4382</v>
      </c>
      <c r="F388" s="245" t="s">
        <v>4383</v>
      </c>
      <c r="G388" s="246">
        <v>2882990</v>
      </c>
      <c r="H388" s="247" t="s">
        <v>4384</v>
      </c>
      <c r="J388" s="236"/>
    </row>
    <row r="389" spans="1:10" ht="15" customHeight="1">
      <c r="A389" s="243">
        <f t="shared" si="12"/>
        <v>386</v>
      </c>
      <c r="B389" s="244">
        <v>6890</v>
      </c>
      <c r="C389" s="245" t="s">
        <v>4385</v>
      </c>
      <c r="D389" s="245" t="str">
        <f t="shared" si="13"/>
        <v>CENTAR ZA SOCIJALNU SKRB SPLIT (6890)</v>
      </c>
      <c r="E389" s="245" t="s">
        <v>4386</v>
      </c>
      <c r="F389" s="245" t="s">
        <v>360</v>
      </c>
      <c r="G389" s="246">
        <v>2882752</v>
      </c>
      <c r="H389" s="247" t="s">
        <v>4387</v>
      </c>
      <c r="J389" s="236"/>
    </row>
    <row r="390" spans="1:10" ht="15" customHeight="1">
      <c r="A390" s="243">
        <f t="shared" si="12"/>
        <v>387</v>
      </c>
      <c r="B390" s="244">
        <v>6937</v>
      </c>
      <c r="C390" s="245" t="s">
        <v>4388</v>
      </c>
      <c r="D390" s="245" t="str">
        <f t="shared" si="13"/>
        <v>CENTAR ZA SOCIJALNU SKRB SVETI IVAN ZELINA  (6937)</v>
      </c>
      <c r="E390" s="245" t="s">
        <v>4389</v>
      </c>
      <c r="F390" s="245" t="s">
        <v>4390</v>
      </c>
      <c r="G390" s="246">
        <v>2873052</v>
      </c>
      <c r="H390" s="247" t="s">
        <v>4391</v>
      </c>
      <c r="J390" s="236"/>
    </row>
    <row r="391" spans="1:10" ht="15" customHeight="1">
      <c r="A391" s="243">
        <f t="shared" si="12"/>
        <v>388</v>
      </c>
      <c r="B391" s="244">
        <v>6793</v>
      </c>
      <c r="C391" s="245" t="s">
        <v>4392</v>
      </c>
      <c r="D391" s="245" t="str">
        <f t="shared" si="13"/>
        <v>CENTAR ZA SOCIJALNU SKRB ŠIBENIK (6793)</v>
      </c>
      <c r="E391" s="245" t="s">
        <v>4393</v>
      </c>
      <c r="F391" s="245" t="s">
        <v>524</v>
      </c>
      <c r="G391" s="246">
        <v>2882019</v>
      </c>
      <c r="H391" s="247" t="s">
        <v>4394</v>
      </c>
      <c r="J391" s="236"/>
    </row>
    <row r="392" spans="1:10" ht="15" customHeight="1">
      <c r="A392" s="243">
        <f t="shared" si="12"/>
        <v>389</v>
      </c>
      <c r="B392" s="244">
        <v>6808</v>
      </c>
      <c r="C392" s="245" t="s">
        <v>4395</v>
      </c>
      <c r="D392" s="245" t="str">
        <f t="shared" si="13"/>
        <v>CENTAR ZA SOCIJALNU SKRB TROGIR (6808)</v>
      </c>
      <c r="E392" s="245" t="s">
        <v>4396</v>
      </c>
      <c r="F392" s="245" t="s">
        <v>4397</v>
      </c>
      <c r="G392" s="246">
        <v>2882701</v>
      </c>
      <c r="H392" s="247" t="s">
        <v>4398</v>
      </c>
      <c r="J392" s="236"/>
    </row>
    <row r="393" spans="1:10" ht="15" customHeight="1">
      <c r="A393" s="243">
        <f t="shared" si="12"/>
        <v>390</v>
      </c>
      <c r="B393" s="244">
        <v>6816</v>
      </c>
      <c r="C393" s="245" t="s">
        <v>4399</v>
      </c>
      <c r="D393" s="245" t="str">
        <f t="shared" si="13"/>
        <v>CENTAR ZA SOCIJALNU SKRB VALPOVO (6816)</v>
      </c>
      <c r="E393" s="245" t="s">
        <v>4400</v>
      </c>
      <c r="F393" s="245" t="s">
        <v>4401</v>
      </c>
      <c r="G393" s="246">
        <v>2872714</v>
      </c>
      <c r="H393" s="247" t="s">
        <v>4402</v>
      </c>
      <c r="J393" s="236"/>
    </row>
    <row r="394" spans="1:10" ht="15" customHeight="1">
      <c r="A394" s="243">
        <f t="shared" si="12"/>
        <v>391</v>
      </c>
      <c r="B394" s="244">
        <v>21981</v>
      </c>
      <c r="C394" s="245" t="s">
        <v>4403</v>
      </c>
      <c r="D394" s="245" t="str">
        <f t="shared" si="13"/>
        <v>CENTAR ZA SOCIJALNU SKRB VARAŽDIN (21981)</v>
      </c>
      <c r="E394" s="245" t="s">
        <v>4404</v>
      </c>
      <c r="F394" s="245" t="s">
        <v>445</v>
      </c>
      <c r="G394" s="246">
        <v>2872617</v>
      </c>
      <c r="H394" s="247" t="s">
        <v>4405</v>
      </c>
      <c r="J394" s="236"/>
    </row>
    <row r="395" spans="1:10" ht="15" customHeight="1">
      <c r="A395" s="243">
        <f t="shared" si="12"/>
        <v>392</v>
      </c>
      <c r="B395" s="244">
        <v>6832</v>
      </c>
      <c r="C395" s="245" t="s">
        <v>4406</v>
      </c>
      <c r="D395" s="245" t="str">
        <f t="shared" si="13"/>
        <v>CENTAR ZA SOCIJALNU SKRB VELIKA GORICA  (6832)</v>
      </c>
      <c r="E395" s="245" t="s">
        <v>4407</v>
      </c>
      <c r="F395" s="245" t="s">
        <v>3584</v>
      </c>
      <c r="G395" s="246">
        <v>2873117</v>
      </c>
      <c r="H395" s="247" t="s">
        <v>4408</v>
      </c>
      <c r="J395" s="236"/>
    </row>
    <row r="396" spans="1:10" ht="15" customHeight="1">
      <c r="A396" s="243">
        <f t="shared" si="12"/>
        <v>393</v>
      </c>
      <c r="B396" s="244">
        <v>6849</v>
      </c>
      <c r="C396" s="245" t="s">
        <v>4409</v>
      </c>
      <c r="D396" s="245" t="str">
        <f t="shared" si="13"/>
        <v>CENTAR ZA SOCIJALNU SKRB VINKOVCI (6849)</v>
      </c>
      <c r="E396" s="245" t="s">
        <v>4410</v>
      </c>
      <c r="F396" s="245" t="s">
        <v>4411</v>
      </c>
      <c r="G396" s="246">
        <v>2872803</v>
      </c>
      <c r="H396" s="247" t="s">
        <v>4412</v>
      </c>
      <c r="J396" s="236"/>
    </row>
    <row r="397" spans="1:10" ht="15" customHeight="1">
      <c r="A397" s="243">
        <f t="shared" si="12"/>
        <v>394</v>
      </c>
      <c r="B397" s="244">
        <v>6857</v>
      </c>
      <c r="C397" s="245" t="s">
        <v>4413</v>
      </c>
      <c r="D397" s="245" t="str">
        <f t="shared" si="13"/>
        <v>CENTAR ZA SOCIJALNU SKRB VIROVITICA (6857)</v>
      </c>
      <c r="E397" s="245" t="s">
        <v>4414</v>
      </c>
      <c r="F397" s="245" t="s">
        <v>527</v>
      </c>
      <c r="G397" s="246">
        <v>2873010</v>
      </c>
      <c r="H397" s="247" t="s">
        <v>4415</v>
      </c>
      <c r="J397" s="236"/>
    </row>
    <row r="398" spans="1:10" ht="15" customHeight="1">
      <c r="A398" s="243">
        <f t="shared" si="12"/>
        <v>395</v>
      </c>
      <c r="B398" s="244">
        <v>6873</v>
      </c>
      <c r="C398" s="245" t="s">
        <v>4416</v>
      </c>
      <c r="D398" s="245" t="str">
        <f t="shared" si="13"/>
        <v>CENTAR ZA SOCIJALNU SKRB VRBOVEC (6873)</v>
      </c>
      <c r="E398" s="245" t="s">
        <v>4417</v>
      </c>
      <c r="F398" s="245" t="s">
        <v>4418</v>
      </c>
      <c r="G398" s="246">
        <v>2873044</v>
      </c>
      <c r="H398" s="247" t="s">
        <v>4419</v>
      </c>
      <c r="J398" s="236"/>
    </row>
    <row r="399" spans="1:10" ht="15" customHeight="1">
      <c r="A399" s="243">
        <f t="shared" si="12"/>
        <v>396</v>
      </c>
      <c r="B399" s="244">
        <v>22259</v>
      </c>
      <c r="C399" s="245" t="s">
        <v>4420</v>
      </c>
      <c r="D399" s="245" t="str">
        <f t="shared" si="13"/>
        <v>CENTAR ZA SOCIJALNU SKRB VUKOVAR (22259)</v>
      </c>
      <c r="E399" s="245" t="s">
        <v>4421</v>
      </c>
      <c r="F399" s="245" t="s">
        <v>501</v>
      </c>
      <c r="G399" s="246">
        <v>2872820</v>
      </c>
      <c r="H399" s="247" t="s">
        <v>4422</v>
      </c>
      <c r="J399" s="236"/>
    </row>
    <row r="400" spans="1:10" ht="15" customHeight="1">
      <c r="A400" s="243">
        <f t="shared" si="12"/>
        <v>397</v>
      </c>
      <c r="B400" s="244">
        <v>6881</v>
      </c>
      <c r="C400" s="245" t="s">
        <v>4423</v>
      </c>
      <c r="D400" s="245" t="str">
        <f t="shared" si="13"/>
        <v>CENTAR ZA SOCIJALNU SKRB ZABOK (6881)</v>
      </c>
      <c r="E400" s="245" t="s">
        <v>4424</v>
      </c>
      <c r="F400" s="245" t="s">
        <v>4425</v>
      </c>
      <c r="G400" s="246">
        <v>2877473</v>
      </c>
      <c r="H400" s="247" t="s">
        <v>4426</v>
      </c>
      <c r="J400" s="236"/>
    </row>
    <row r="401" spans="1:10" ht="15" customHeight="1">
      <c r="A401" s="243">
        <f t="shared" si="12"/>
        <v>398</v>
      </c>
      <c r="B401" s="244">
        <v>6912</v>
      </c>
      <c r="C401" s="245" t="s">
        <v>4427</v>
      </c>
      <c r="D401" s="245" t="str">
        <f t="shared" si="13"/>
        <v>CENTAR ZA SOCIJALNU SKRB ZADAR (6912)</v>
      </c>
      <c r="E401" s="245" t="s">
        <v>3756</v>
      </c>
      <c r="F401" s="245" t="s">
        <v>316</v>
      </c>
      <c r="G401" s="246">
        <v>2884313</v>
      </c>
      <c r="H401" s="247" t="s">
        <v>4428</v>
      </c>
      <c r="J401" s="236"/>
    </row>
    <row r="402" spans="1:10" ht="15" customHeight="1">
      <c r="A402" s="243">
        <f t="shared" si="12"/>
        <v>399</v>
      </c>
      <c r="B402" s="244">
        <v>22550</v>
      </c>
      <c r="C402" s="245" t="s">
        <v>4429</v>
      </c>
      <c r="D402" s="245" t="str">
        <f t="shared" si="13"/>
        <v>CENTAR ZA SOCIJALNU SKRB ZAGREB (22550)</v>
      </c>
      <c r="E402" s="245" t="s">
        <v>4430</v>
      </c>
      <c r="F402" s="245" t="s">
        <v>275</v>
      </c>
      <c r="G402" s="246">
        <v>2874440</v>
      </c>
      <c r="H402" s="247" t="s">
        <v>4431</v>
      </c>
      <c r="J402" s="236"/>
    </row>
    <row r="403" spans="1:10" ht="15" customHeight="1">
      <c r="A403" s="243">
        <f t="shared" si="12"/>
        <v>400</v>
      </c>
      <c r="B403" s="244">
        <v>6929</v>
      </c>
      <c r="C403" s="245" t="s">
        <v>4432</v>
      </c>
      <c r="D403" s="245" t="str">
        <f t="shared" si="13"/>
        <v>CENTAR ZA SOCIJALNU SKRB ZAPREŠIĆ (6929)</v>
      </c>
      <c r="E403" s="245" t="s">
        <v>4433</v>
      </c>
      <c r="F403" s="245" t="s">
        <v>4434</v>
      </c>
      <c r="G403" s="246">
        <v>2873095</v>
      </c>
      <c r="H403" s="247" t="s">
        <v>4435</v>
      </c>
      <c r="J403" s="236"/>
    </row>
    <row r="404" spans="1:10" ht="15" customHeight="1">
      <c r="A404" s="243">
        <f t="shared" si="12"/>
        <v>401</v>
      </c>
      <c r="B404" s="244">
        <v>6945</v>
      </c>
      <c r="C404" s="245" t="s">
        <v>4436</v>
      </c>
      <c r="D404" s="245" t="str">
        <f t="shared" si="13"/>
        <v>CENTAR ZA SOCIJALNU SKRB ZLATAR BISTRICA (6945)</v>
      </c>
      <c r="E404" s="245" t="s">
        <v>4437</v>
      </c>
      <c r="F404" s="245" t="s">
        <v>4438</v>
      </c>
      <c r="G404" s="246">
        <v>2877449</v>
      </c>
      <c r="H404" s="247" t="s">
        <v>4439</v>
      </c>
      <c r="J404" s="236"/>
    </row>
    <row r="405" spans="1:10" ht="15" customHeight="1">
      <c r="A405" s="243">
        <f t="shared" si="12"/>
        <v>402</v>
      </c>
      <c r="B405" s="244">
        <v>6953</v>
      </c>
      <c r="C405" s="245" t="s">
        <v>4440</v>
      </c>
      <c r="D405" s="245" t="str">
        <f t="shared" si="13"/>
        <v>CENTAR ZA SOCIJALNU SKRB ŽUPANJA (6953)</v>
      </c>
      <c r="E405" s="245" t="s">
        <v>4441</v>
      </c>
      <c r="F405" s="245" t="s">
        <v>4442</v>
      </c>
      <c r="G405" s="246">
        <v>2872811</v>
      </c>
      <c r="H405" s="247" t="s">
        <v>4443</v>
      </c>
      <c r="J405" s="236"/>
    </row>
    <row r="406" spans="1:10" ht="15" customHeight="1">
      <c r="A406" s="243">
        <f t="shared" si="12"/>
        <v>403</v>
      </c>
      <c r="B406" s="244">
        <v>7122</v>
      </c>
      <c r="C406" s="245" t="s">
        <v>4444</v>
      </c>
      <c r="D406" s="245" t="str">
        <f t="shared" si="13"/>
        <v>DJEČJI DOM "IVANA BRLIĆ MAŽURANIĆ" LOVRAN (7122)</v>
      </c>
      <c r="E406" s="245" t="s">
        <v>4445</v>
      </c>
      <c r="F406" s="245" t="s">
        <v>3964</v>
      </c>
      <c r="G406" s="246">
        <v>3090353</v>
      </c>
      <c r="H406" s="247" t="s">
        <v>4446</v>
      </c>
      <c r="J406" s="236"/>
    </row>
    <row r="407" spans="1:10" ht="15" customHeight="1">
      <c r="A407" s="243">
        <f t="shared" si="12"/>
        <v>404</v>
      </c>
      <c r="B407" s="244">
        <v>7202</v>
      </c>
      <c r="C407" s="245" t="s">
        <v>4447</v>
      </c>
      <c r="D407" s="245" t="str">
        <f t="shared" si="13"/>
        <v>DJEČJI DOM SV. ANA, VINKOVCI (7202)</v>
      </c>
      <c r="E407" s="245" t="s">
        <v>4448</v>
      </c>
      <c r="F407" s="245" t="s">
        <v>4449</v>
      </c>
      <c r="G407" s="246">
        <v>3367819</v>
      </c>
      <c r="H407" s="247" t="s">
        <v>4450</v>
      </c>
      <c r="J407" s="236"/>
    </row>
    <row r="408" spans="1:10" ht="15" customHeight="1">
      <c r="A408" s="243">
        <f t="shared" si="12"/>
        <v>405</v>
      </c>
      <c r="B408" s="244">
        <v>7171</v>
      </c>
      <c r="C408" s="245" t="s">
        <v>4451</v>
      </c>
      <c r="D408" s="245" t="str">
        <f t="shared" si="13"/>
        <v>DJEČJI DOM VRBINA SISAK (7171)</v>
      </c>
      <c r="E408" s="245" t="s">
        <v>4452</v>
      </c>
      <c r="F408" s="245" t="s">
        <v>1724</v>
      </c>
      <c r="G408" s="246">
        <v>3313964</v>
      </c>
      <c r="H408" s="247" t="s">
        <v>4453</v>
      </c>
      <c r="J408" s="236"/>
    </row>
    <row r="409" spans="1:10" ht="15" customHeight="1">
      <c r="A409" s="243">
        <f t="shared" si="12"/>
        <v>406</v>
      </c>
      <c r="B409" s="244">
        <v>7376</v>
      </c>
      <c r="C409" s="245" t="s">
        <v>4454</v>
      </c>
      <c r="D409" s="245" t="str">
        <f t="shared" si="13"/>
        <v>DNEVNI CENTAR ZA REHABILITACIJU SLAVA RAŠKAJ (7376)</v>
      </c>
      <c r="E409" s="245" t="s">
        <v>4455</v>
      </c>
      <c r="F409" s="245" t="s">
        <v>320</v>
      </c>
      <c r="G409" s="246">
        <v>3321266</v>
      </c>
      <c r="H409" s="247" t="s">
        <v>4456</v>
      </c>
      <c r="J409" s="236"/>
    </row>
    <row r="410" spans="1:10" ht="15" customHeight="1">
      <c r="A410" s="243">
        <f t="shared" si="12"/>
        <v>407</v>
      </c>
      <c r="B410" s="244">
        <v>7665</v>
      </c>
      <c r="C410" s="245" t="s">
        <v>4457</v>
      </c>
      <c r="D410" s="245" t="str">
        <f t="shared" si="13"/>
        <v>DOM ZA ODRASLE OSOBE LOBOR-GRAD (7665)</v>
      </c>
      <c r="E410" s="245" t="s">
        <v>4458</v>
      </c>
      <c r="F410" s="245" t="s">
        <v>4459</v>
      </c>
      <c r="G410" s="246">
        <v>3126889</v>
      </c>
      <c r="H410" s="247" t="s">
        <v>4460</v>
      </c>
      <c r="J410" s="236"/>
    </row>
    <row r="411" spans="1:10" ht="15" customHeight="1">
      <c r="A411" s="243">
        <f t="shared" si="12"/>
        <v>408</v>
      </c>
      <c r="B411" s="244">
        <v>7083</v>
      </c>
      <c r="C411" s="245" t="s">
        <v>4461</v>
      </c>
      <c r="D411" s="245" t="str">
        <f t="shared" si="13"/>
        <v>DOM ZA DJECU I MLAĐE PUNOLJETNE OSOBE MASLINA, DUBROVNIK (7083)</v>
      </c>
      <c r="E411" s="245" t="s">
        <v>4462</v>
      </c>
      <c r="F411" s="245" t="s">
        <v>313</v>
      </c>
      <c r="G411" s="246">
        <v>3304167</v>
      </c>
      <c r="H411" s="247" t="s">
        <v>4463</v>
      </c>
      <c r="J411" s="236"/>
    </row>
    <row r="412" spans="1:10" ht="15" customHeight="1">
      <c r="A412" s="243">
        <f t="shared" si="12"/>
        <v>409</v>
      </c>
      <c r="B412" s="244">
        <v>7198</v>
      </c>
      <c r="C412" s="245" t="s">
        <v>4464</v>
      </c>
      <c r="D412" s="245" t="str">
        <f t="shared" si="13"/>
        <v>DOM ZA DJECU MAESTRAL SPLIT (7198)</v>
      </c>
      <c r="E412" s="245" t="s">
        <v>4465</v>
      </c>
      <c r="F412" s="245" t="s">
        <v>360</v>
      </c>
      <c r="G412" s="246">
        <v>3118606</v>
      </c>
      <c r="H412" s="247" t="s">
        <v>4466</v>
      </c>
      <c r="J412" s="236"/>
    </row>
    <row r="413" spans="1:10" ht="15" customHeight="1">
      <c r="A413" s="243">
        <f t="shared" si="12"/>
        <v>410</v>
      </c>
      <c r="B413" s="244">
        <v>7155</v>
      </c>
      <c r="C413" s="245" t="s">
        <v>4467</v>
      </c>
      <c r="D413" s="245" t="str">
        <f t="shared" si="13"/>
        <v>DOM ZA DJECU ZA MLAĐE I PUNOLJETNE OSOBE PULA (7155)</v>
      </c>
      <c r="E413" s="245" t="s">
        <v>4468</v>
      </c>
      <c r="F413" s="245" t="s">
        <v>306</v>
      </c>
      <c r="G413" s="246">
        <v>3203824</v>
      </c>
      <c r="H413" s="247" t="s">
        <v>4469</v>
      </c>
      <c r="J413" s="236"/>
    </row>
    <row r="414" spans="1:10" ht="15" customHeight="1">
      <c r="A414" s="243">
        <f t="shared" si="12"/>
        <v>411</v>
      </c>
      <c r="B414" s="244">
        <v>7219</v>
      </c>
      <c r="C414" s="245" t="s">
        <v>4470</v>
      </c>
      <c r="D414" s="245" t="str">
        <f t="shared" si="13"/>
        <v>DJEČJI DOM ZAGREB (7219)</v>
      </c>
      <c r="E414" s="245" t="s">
        <v>4471</v>
      </c>
      <c r="F414" s="245" t="s">
        <v>275</v>
      </c>
      <c r="G414" s="246">
        <v>3289745</v>
      </c>
      <c r="H414" s="247" t="s">
        <v>4472</v>
      </c>
      <c r="J414" s="236"/>
    </row>
    <row r="415" spans="1:10" ht="15" customHeight="1">
      <c r="A415" s="243">
        <f t="shared" si="12"/>
        <v>412</v>
      </c>
      <c r="B415" s="244">
        <v>7227</v>
      </c>
      <c r="C415" s="245" t="s">
        <v>4473</v>
      </c>
      <c r="D415" s="245" t="str">
        <f t="shared" si="13"/>
        <v>DOM ZA ODGOJ DJECE BEDEKOVČINA (7227)</v>
      </c>
      <c r="E415" s="245" t="s">
        <v>4474</v>
      </c>
      <c r="F415" s="245" t="s">
        <v>4475</v>
      </c>
      <c r="G415" s="246">
        <v>3016692</v>
      </c>
      <c r="H415" s="247" t="s">
        <v>4476</v>
      </c>
      <c r="J415" s="236"/>
    </row>
    <row r="416" spans="1:10" ht="15" customHeight="1">
      <c r="A416" s="243">
        <f t="shared" si="12"/>
        <v>413</v>
      </c>
      <c r="B416" s="244">
        <v>7251</v>
      </c>
      <c r="C416" s="245" t="s">
        <v>4477</v>
      </c>
      <c r="D416" s="245" t="str">
        <f t="shared" si="13"/>
        <v>DOM ZA ODGOJ DJECE I MLADEŽI KARLOVAC (7251)</v>
      </c>
      <c r="E416" s="245" t="s">
        <v>4478</v>
      </c>
      <c r="F416" s="245" t="s">
        <v>513</v>
      </c>
      <c r="G416" s="246">
        <v>3130576</v>
      </c>
      <c r="H416" s="247" t="s">
        <v>4479</v>
      </c>
      <c r="J416" s="236"/>
    </row>
    <row r="417" spans="1:10" ht="15" customHeight="1">
      <c r="A417" s="243">
        <f t="shared" si="12"/>
        <v>414</v>
      </c>
      <c r="B417" s="244">
        <v>7278</v>
      </c>
      <c r="C417" s="245" t="s">
        <v>4480</v>
      </c>
      <c r="D417" s="245" t="str">
        <f t="shared" si="13"/>
        <v>DOM ZA ODGOJ DJECE I MLADEŽI OSIJEK (7278)</v>
      </c>
      <c r="E417" s="245" t="s">
        <v>4481</v>
      </c>
      <c r="F417" s="245" t="s">
        <v>278</v>
      </c>
      <c r="G417" s="246">
        <v>3014428</v>
      </c>
      <c r="H417" s="247" t="s">
        <v>4482</v>
      </c>
      <c r="J417" s="236"/>
    </row>
    <row r="418" spans="1:10" ht="15" customHeight="1">
      <c r="A418" s="243">
        <f t="shared" si="12"/>
        <v>415</v>
      </c>
      <c r="B418" s="244">
        <v>7286</v>
      </c>
      <c r="C418" s="245" t="s">
        <v>4483</v>
      </c>
      <c r="D418" s="245" t="str">
        <f t="shared" si="13"/>
        <v>DOM ZA ODGOJ DJECE I MLADEŽI PULA (7286)</v>
      </c>
      <c r="E418" s="245" t="s">
        <v>4484</v>
      </c>
      <c r="F418" s="245" t="s">
        <v>306</v>
      </c>
      <c r="G418" s="246">
        <v>3203832</v>
      </c>
      <c r="H418" s="247" t="s">
        <v>4485</v>
      </c>
      <c r="J418" s="236"/>
    </row>
    <row r="419" spans="1:10" ht="15" customHeight="1">
      <c r="A419" s="243">
        <f t="shared" si="12"/>
        <v>416</v>
      </c>
      <c r="B419" s="244">
        <v>7294</v>
      </c>
      <c r="C419" s="245" t="s">
        <v>4486</v>
      </c>
      <c r="D419" s="245" t="str">
        <f t="shared" si="13"/>
        <v>DOM ZA ODGOJ DJECE I MLADEŽI RIJEKA (7294)</v>
      </c>
      <c r="E419" s="245" t="s">
        <v>4487</v>
      </c>
      <c r="F419" s="245" t="s">
        <v>320</v>
      </c>
      <c r="G419" s="246">
        <v>3321282</v>
      </c>
      <c r="H419" s="247" t="s">
        <v>4488</v>
      </c>
      <c r="J419" s="236"/>
    </row>
    <row r="420" spans="1:10" ht="15" customHeight="1">
      <c r="A420" s="243">
        <f t="shared" si="12"/>
        <v>417</v>
      </c>
      <c r="B420" s="244">
        <v>7317</v>
      </c>
      <c r="C420" s="245" t="s">
        <v>4489</v>
      </c>
      <c r="D420" s="245" t="str">
        <f t="shared" si="13"/>
        <v>DOM ZA ODGOJ DJECE I MLADEŽI ZADAR (7317)</v>
      </c>
      <c r="E420" s="245" t="s">
        <v>4490</v>
      </c>
      <c r="F420" s="245" t="s">
        <v>316</v>
      </c>
      <c r="G420" s="246">
        <v>3153037</v>
      </c>
      <c r="H420" s="247" t="s">
        <v>4491</v>
      </c>
      <c r="J420" s="236"/>
    </row>
    <row r="421" spans="1:10" ht="15" customHeight="1">
      <c r="A421" s="243">
        <f t="shared" si="12"/>
        <v>418</v>
      </c>
      <c r="B421" s="244">
        <v>7325</v>
      </c>
      <c r="C421" s="245" t="s">
        <v>4492</v>
      </c>
      <c r="D421" s="245" t="str">
        <f t="shared" si="13"/>
        <v>DOM ZA ODGOJ DJECE I MLADEŽI ZAGREB (7325)</v>
      </c>
      <c r="E421" s="245" t="s">
        <v>4493</v>
      </c>
      <c r="F421" s="245" t="s">
        <v>4494</v>
      </c>
      <c r="G421" s="246">
        <v>3207536</v>
      </c>
      <c r="H421" s="247" t="s">
        <v>4495</v>
      </c>
      <c r="J421" s="236"/>
    </row>
    <row r="422" spans="1:10" ht="15" customHeight="1">
      <c r="A422" s="243">
        <f t="shared" si="12"/>
        <v>419</v>
      </c>
      <c r="B422" s="244">
        <v>22283</v>
      </c>
      <c r="C422" s="245" t="s">
        <v>4496</v>
      </c>
      <c r="D422" s="245" t="str">
        <f t="shared" si="13"/>
        <v>DOM ZA ODRASLE OSOBE BIDRUŽICA (22283)</v>
      </c>
      <c r="E422" s="245" t="s">
        <v>4497</v>
      </c>
      <c r="F422" s="245" t="s">
        <v>4498</v>
      </c>
      <c r="G422" s="246">
        <v>1354248</v>
      </c>
      <c r="H422" s="247" t="s">
        <v>4499</v>
      </c>
      <c r="J422" s="236"/>
    </row>
    <row r="423" spans="1:10" ht="15" customHeight="1">
      <c r="A423" s="243">
        <f t="shared" si="12"/>
        <v>420</v>
      </c>
      <c r="B423" s="244">
        <v>7840</v>
      </c>
      <c r="C423" s="245" t="s">
        <v>4500</v>
      </c>
      <c r="D423" s="245" t="str">
        <f t="shared" si="13"/>
        <v>DOM ZA ODRASLE OSOBE BOROVA (7840)</v>
      </c>
      <c r="E423" s="245" t="s">
        <v>4501</v>
      </c>
      <c r="F423" s="245" t="s">
        <v>4502</v>
      </c>
      <c r="G423" s="246">
        <v>3105407</v>
      </c>
      <c r="H423" s="247" t="s">
        <v>4503</v>
      </c>
      <c r="J423" s="236"/>
    </row>
    <row r="424" spans="1:10" ht="15" customHeight="1">
      <c r="A424" s="243">
        <f t="shared" si="12"/>
        <v>421</v>
      </c>
      <c r="B424" s="244">
        <v>26547</v>
      </c>
      <c r="C424" s="245" t="s">
        <v>4504</v>
      </c>
      <c r="D424" s="245" t="str">
        <f t="shared" si="13"/>
        <v>DOM ZA ODRASLE OSOBE I REHABILITACIJU METKOVIĆ (26547)</v>
      </c>
      <c r="E424" s="245" t="s">
        <v>4293</v>
      </c>
      <c r="F424" s="245" t="s">
        <v>4294</v>
      </c>
      <c r="G424" s="246">
        <v>1831976</v>
      </c>
      <c r="H424" s="247" t="s">
        <v>4505</v>
      </c>
      <c r="J424" s="236"/>
    </row>
    <row r="425" spans="1:10" ht="15" customHeight="1">
      <c r="A425" s="243">
        <f t="shared" si="12"/>
        <v>422</v>
      </c>
      <c r="B425" s="244">
        <v>7673</v>
      </c>
      <c r="C425" s="245" t="s">
        <v>4506</v>
      </c>
      <c r="D425" s="245" t="str">
        <f t="shared" si="13"/>
        <v>DOM ZA ODRASLE OSOBE LJESKOVICA (7673)</v>
      </c>
      <c r="E425" s="245" t="s">
        <v>4507</v>
      </c>
      <c r="F425" s="245" t="s">
        <v>4508</v>
      </c>
      <c r="G425" s="246">
        <v>3346366</v>
      </c>
      <c r="H425" s="247" t="s">
        <v>4509</v>
      </c>
      <c r="J425" s="236"/>
    </row>
    <row r="426" spans="1:10" ht="15" customHeight="1">
      <c r="A426" s="243">
        <f t="shared" si="12"/>
        <v>423</v>
      </c>
      <c r="B426" s="244">
        <v>7729</v>
      </c>
      <c r="C426" s="245" t="s">
        <v>4510</v>
      </c>
      <c r="D426" s="245" t="str">
        <f t="shared" si="13"/>
        <v>DOM ZA ODRASLE OSOBE NUŠTAR (7729)</v>
      </c>
      <c r="E426" s="245" t="s">
        <v>4511</v>
      </c>
      <c r="F426" s="245" t="s">
        <v>4512</v>
      </c>
      <c r="G426" s="246">
        <v>3301451</v>
      </c>
      <c r="H426" s="247" t="s">
        <v>4513</v>
      </c>
      <c r="J426" s="236"/>
    </row>
    <row r="427" spans="1:10" ht="15" customHeight="1">
      <c r="A427" s="243">
        <f t="shared" si="12"/>
        <v>424</v>
      </c>
      <c r="B427" s="244">
        <v>7745</v>
      </c>
      <c r="C427" s="245" t="s">
        <v>4514</v>
      </c>
      <c r="D427" s="245" t="str">
        <f t="shared" si="13"/>
        <v>DOM ZA ODRASLE OSOBE OREHOVICA (7745)</v>
      </c>
      <c r="E427" s="245" t="s">
        <v>4515</v>
      </c>
      <c r="F427" s="245" t="s">
        <v>4516</v>
      </c>
      <c r="G427" s="246">
        <v>3110150</v>
      </c>
      <c r="H427" s="247" t="s">
        <v>4517</v>
      </c>
      <c r="J427" s="236"/>
    </row>
    <row r="428" spans="1:10" ht="15" customHeight="1">
      <c r="A428" s="243">
        <f t="shared" si="12"/>
        <v>425</v>
      </c>
      <c r="B428" s="244">
        <v>23569</v>
      </c>
      <c r="C428" s="245" t="s">
        <v>4518</v>
      </c>
      <c r="D428" s="245" t="str">
        <f t="shared" si="13"/>
        <v>DOM ZA ODRASLE OSOBE TURNIĆ (23569)</v>
      </c>
      <c r="E428" s="245" t="s">
        <v>4519</v>
      </c>
      <c r="F428" s="245" t="s">
        <v>320</v>
      </c>
      <c r="G428" s="246">
        <v>2848317</v>
      </c>
      <c r="H428" s="247" t="s">
        <v>4520</v>
      </c>
      <c r="J428" s="236"/>
    </row>
    <row r="429" spans="1:10" ht="15" customHeight="1">
      <c r="A429" s="243">
        <f t="shared" si="12"/>
        <v>426</v>
      </c>
      <c r="B429" s="244">
        <v>7544</v>
      </c>
      <c r="C429" s="245" t="s">
        <v>4521</v>
      </c>
      <c r="D429" s="245" t="str">
        <f t="shared" si="13"/>
        <v>DOM ZA ODRASLE OSOBE BJELOVAR (7544)</v>
      </c>
      <c r="E429" s="245" t="s">
        <v>4522</v>
      </c>
      <c r="F429" s="245" t="s">
        <v>3654</v>
      </c>
      <c r="G429" s="246">
        <v>3316998</v>
      </c>
      <c r="H429" s="247" t="s">
        <v>4523</v>
      </c>
      <c r="J429" s="236"/>
    </row>
    <row r="430" spans="1:10" ht="15" customHeight="1">
      <c r="A430" s="243">
        <f t="shared" si="12"/>
        <v>427</v>
      </c>
      <c r="B430" s="244">
        <v>7569</v>
      </c>
      <c r="C430" s="245" t="s">
        <v>4524</v>
      </c>
      <c r="D430" s="245" t="str">
        <f t="shared" si="13"/>
        <v>DOM ZA PSIHIČKI BOLESNE ODRASLE OSOBE BLATO (7569)</v>
      </c>
      <c r="E430" s="245" t="s">
        <v>4525</v>
      </c>
      <c r="F430" s="245" t="s">
        <v>4526</v>
      </c>
      <c r="G430" s="246">
        <v>3081192</v>
      </c>
      <c r="H430" s="247" t="s">
        <v>4527</v>
      </c>
      <c r="J430" s="236"/>
    </row>
    <row r="431" spans="1:10" ht="15" customHeight="1">
      <c r="A431" s="243">
        <f t="shared" si="12"/>
        <v>428</v>
      </c>
      <c r="B431" s="244">
        <v>7624</v>
      </c>
      <c r="C431" s="245" t="s">
        <v>4528</v>
      </c>
      <c r="D431" s="245" t="str">
        <f t="shared" si="13"/>
        <v>DOM ZA ODRASLE OSOBE JALŽABET (7624)</v>
      </c>
      <c r="E431" s="245" t="s">
        <v>4529</v>
      </c>
      <c r="F431" s="245" t="s">
        <v>4530</v>
      </c>
      <c r="G431" s="246">
        <v>3006441</v>
      </c>
      <c r="H431" s="247" t="s">
        <v>4531</v>
      </c>
      <c r="J431" s="236"/>
    </row>
    <row r="432" spans="1:10" ht="15" customHeight="1">
      <c r="A432" s="243">
        <f t="shared" si="12"/>
        <v>429</v>
      </c>
      <c r="B432" s="244">
        <v>7690</v>
      </c>
      <c r="C432" s="245" t="s">
        <v>4532</v>
      </c>
      <c r="D432" s="245" t="str">
        <f t="shared" si="13"/>
        <v>DOM ZA PSIHIČKI BOLESNE ODRASLE OSOBE MOTOVUN (7690)</v>
      </c>
      <c r="E432" s="245" t="s">
        <v>4533</v>
      </c>
      <c r="F432" s="245" t="s">
        <v>4534</v>
      </c>
      <c r="G432" s="246">
        <v>3089304</v>
      </c>
      <c r="H432" s="247" t="s">
        <v>4535</v>
      </c>
      <c r="J432" s="236"/>
    </row>
    <row r="433" spans="1:10" ht="15" customHeight="1">
      <c r="A433" s="243">
        <f t="shared" si="12"/>
        <v>430</v>
      </c>
      <c r="B433" s="244">
        <v>7938</v>
      </c>
      <c r="C433" s="245" t="s">
        <v>4536</v>
      </c>
      <c r="D433" s="245" t="str">
        <f t="shared" si="13"/>
        <v>DOM ZA ODRASLE OSOBE SV. FRANE ZADAR (7938)</v>
      </c>
      <c r="E433" s="245" t="s">
        <v>4537</v>
      </c>
      <c r="F433" s="245" t="s">
        <v>316</v>
      </c>
      <c r="G433" s="246">
        <v>3132226</v>
      </c>
      <c r="H433" s="247" t="s">
        <v>4538</v>
      </c>
      <c r="J433" s="236"/>
    </row>
    <row r="434" spans="1:10" ht="15" customHeight="1">
      <c r="A434" s="243">
        <f t="shared" si="12"/>
        <v>431</v>
      </c>
      <c r="B434" s="244">
        <v>7704</v>
      </c>
      <c r="C434" s="245" t="s">
        <v>4539</v>
      </c>
      <c r="D434" s="245" t="str">
        <f t="shared" si="13"/>
        <v>DOM ZA ODRASLE OSOBE "SVETA NEDJELJA" NEDEŠĆINA (7704)</v>
      </c>
      <c r="E434" s="245" t="s">
        <v>4540</v>
      </c>
      <c r="F434" s="245" t="s">
        <v>4541</v>
      </c>
      <c r="G434" s="246">
        <v>3075184</v>
      </c>
      <c r="H434" s="247" t="s">
        <v>4542</v>
      </c>
      <c r="J434" s="236"/>
    </row>
    <row r="435" spans="1:10" ht="15" customHeight="1">
      <c r="A435" s="243">
        <f t="shared" si="12"/>
        <v>432</v>
      </c>
      <c r="B435" s="244">
        <v>7866</v>
      </c>
      <c r="C435" s="245" t="s">
        <v>4543</v>
      </c>
      <c r="D435" s="245" t="str">
        <f t="shared" si="13"/>
        <v>DOM ZA PSIHIČKI BOLESNE ODRASLE OSOBE TROGIR (7866)</v>
      </c>
      <c r="E435" s="245" t="s">
        <v>4544</v>
      </c>
      <c r="F435" s="245" t="s">
        <v>4545</v>
      </c>
      <c r="G435" s="246">
        <v>3039200</v>
      </c>
      <c r="H435" s="247" t="s">
        <v>4546</v>
      </c>
      <c r="J435" s="236"/>
    </row>
    <row r="436" spans="1:10" ht="15" customHeight="1">
      <c r="A436" s="243">
        <f t="shared" si="12"/>
        <v>433</v>
      </c>
      <c r="B436" s="244">
        <v>23657</v>
      </c>
      <c r="C436" s="245" t="s">
        <v>4547</v>
      </c>
      <c r="D436" s="245" t="str">
        <f t="shared" si="13"/>
        <v>DOM ZA ODRASLE OSOBE VILA MARIA (23657)</v>
      </c>
      <c r="E436" s="245" t="s">
        <v>4548</v>
      </c>
      <c r="F436" s="245" t="s">
        <v>306</v>
      </c>
      <c r="G436" s="246">
        <v>1599585</v>
      </c>
      <c r="H436" s="247" t="s">
        <v>4549</v>
      </c>
      <c r="J436" s="236"/>
    </row>
    <row r="437" spans="1:10" ht="15" customHeight="1">
      <c r="A437" s="243">
        <f t="shared" si="12"/>
        <v>434</v>
      </c>
      <c r="B437" s="244">
        <v>8051</v>
      </c>
      <c r="C437" s="245" t="s">
        <v>4550</v>
      </c>
      <c r="D437" s="245" t="str">
        <f t="shared" si="13"/>
        <v>DOM ZA PSIHIČKI BOLESNE ODRASLE OSOBE ZAGREB (8051)</v>
      </c>
      <c r="E437" s="245" t="s">
        <v>4551</v>
      </c>
      <c r="F437" s="245" t="s">
        <v>275</v>
      </c>
      <c r="G437" s="246">
        <v>1354256</v>
      </c>
      <c r="H437" s="247" t="s">
        <v>4552</v>
      </c>
      <c r="J437" s="236"/>
    </row>
    <row r="438" spans="1:10" ht="15" customHeight="1">
      <c r="A438" s="243">
        <f t="shared" si="12"/>
        <v>435</v>
      </c>
      <c r="B438" s="244">
        <v>22322</v>
      </c>
      <c r="C438" s="245" t="s">
        <v>4553</v>
      </c>
      <c r="D438" s="245" t="str">
        <f t="shared" si="13"/>
        <v>DOM ZA ODRASLE OSOBE ZEMUNIK (22322)</v>
      </c>
      <c r="E438" s="245" t="s">
        <v>4554</v>
      </c>
      <c r="F438" s="245" t="s">
        <v>4555</v>
      </c>
      <c r="G438" s="246">
        <v>1364464</v>
      </c>
      <c r="H438" s="247" t="s">
        <v>4556</v>
      </c>
      <c r="J438" s="236"/>
    </row>
    <row r="439" spans="1:10" ht="15" customHeight="1">
      <c r="A439" s="243">
        <f t="shared" si="12"/>
        <v>436</v>
      </c>
      <c r="B439" s="244">
        <v>43327</v>
      </c>
      <c r="C439" s="262" t="s">
        <v>4557</v>
      </c>
      <c r="D439" s="245" t="str">
        <f t="shared" si="13"/>
        <v>DOM ZA STARIJE I TEŠKO BOLESNE ODRASLE OSOBE "MAJKA MARIJA PETKOVIĆ" (43327)</v>
      </c>
      <c r="E439" s="262" t="s">
        <v>4558</v>
      </c>
      <c r="F439" s="262" t="s">
        <v>4526</v>
      </c>
      <c r="G439" s="257" t="s">
        <v>4559</v>
      </c>
      <c r="H439" s="265" t="s">
        <v>4560</v>
      </c>
      <c r="J439" s="236"/>
    </row>
    <row r="440" spans="1:10" ht="15" customHeight="1">
      <c r="A440" s="243">
        <f t="shared" si="12"/>
        <v>437</v>
      </c>
      <c r="B440" s="244">
        <v>46052</v>
      </c>
      <c r="C440" s="245" t="s">
        <v>4561</v>
      </c>
      <c r="D440" s="245" t="str">
        <f t="shared" si="13"/>
        <v>DOM ZA STARIJE OSOBE OKLAJ (46052)</v>
      </c>
      <c r="E440" s="245" t="s">
        <v>4562</v>
      </c>
      <c r="F440" s="245" t="s">
        <v>4563</v>
      </c>
      <c r="G440" s="246">
        <v>1917790</v>
      </c>
      <c r="H440" s="247" t="s">
        <v>4564</v>
      </c>
      <c r="J440" s="236"/>
    </row>
    <row r="441" spans="1:10" ht="15" customHeight="1">
      <c r="A441" s="243">
        <f t="shared" si="12"/>
        <v>438</v>
      </c>
      <c r="B441" s="244">
        <v>7243</v>
      </c>
      <c r="C441" s="245" t="s">
        <v>4565</v>
      </c>
      <c r="D441" s="245" t="str">
        <f t="shared" si="13"/>
        <v>ODGOJNI DOM IVANEC (7243)</v>
      </c>
      <c r="E441" s="245" t="s">
        <v>4566</v>
      </c>
      <c r="F441" s="245" t="s">
        <v>4245</v>
      </c>
      <c r="G441" s="246">
        <v>3126013</v>
      </c>
      <c r="H441" s="247" t="s">
        <v>4567</v>
      </c>
      <c r="J441" s="236"/>
    </row>
    <row r="442" spans="1:10" ht="15" customHeight="1">
      <c r="A442" s="243">
        <f t="shared" si="12"/>
        <v>439</v>
      </c>
      <c r="B442" s="244">
        <v>7260</v>
      </c>
      <c r="C442" s="245" t="s">
        <v>4568</v>
      </c>
      <c r="D442" s="245" t="str">
        <f t="shared" si="13"/>
        <v>ODGOJNI DOM MALI LOŠINJ (7260)</v>
      </c>
      <c r="E442" s="245" t="s">
        <v>4569</v>
      </c>
      <c r="F442" s="245" t="s">
        <v>4174</v>
      </c>
      <c r="G442" s="246">
        <v>3040216</v>
      </c>
      <c r="H442" s="247" t="s">
        <v>4570</v>
      </c>
      <c r="J442" s="236"/>
    </row>
    <row r="443" spans="1:10" s="236" customFormat="1" ht="15" customHeight="1">
      <c r="A443" s="231">
        <f t="shared" si="12"/>
        <v>440</v>
      </c>
      <c r="B443" s="238">
        <v>43214</v>
      </c>
      <c r="C443" s="239" t="s">
        <v>4571</v>
      </c>
      <c r="D443" s="245" t="str">
        <f t="shared" si="13"/>
        <v>MINISTARSTVO TURIZMA I SPORTA (43214)</v>
      </c>
      <c r="E443" s="239" t="s">
        <v>3826</v>
      </c>
      <c r="F443" s="239" t="s">
        <v>275</v>
      </c>
      <c r="G443" s="240">
        <v>2323427</v>
      </c>
      <c r="H443" s="241" t="s">
        <v>4572</v>
      </c>
    </row>
    <row r="444" spans="1:10" ht="15" customHeight="1">
      <c r="A444" s="231">
        <f t="shared" ref="A444:A507" si="14">+A443+1</f>
        <v>441</v>
      </c>
      <c r="B444" s="238" t="s">
        <v>4573</v>
      </c>
      <c r="C444" s="239" t="s">
        <v>4574</v>
      </c>
      <c r="D444" s="245" t="str">
        <f t="shared" si="13"/>
        <v>MINISTARSTVO ZDRAVSTVA (47107)</v>
      </c>
      <c r="E444" s="239" t="s">
        <v>4575</v>
      </c>
      <c r="F444" s="239" t="s">
        <v>275</v>
      </c>
      <c r="G444" s="240">
        <v>2830396</v>
      </c>
      <c r="H444" s="241" t="s">
        <v>4576</v>
      </c>
      <c r="J444" s="236"/>
    </row>
    <row r="445" spans="1:10" ht="15" customHeight="1">
      <c r="A445" s="243">
        <f t="shared" si="14"/>
        <v>442</v>
      </c>
      <c r="B445" s="244">
        <v>26571</v>
      </c>
      <c r="C445" s="245" t="s">
        <v>4577</v>
      </c>
      <c r="D445" s="245" t="str">
        <f t="shared" si="13"/>
        <v>KLINIČKA BOLNICA DUBRAVA (26571)</v>
      </c>
      <c r="E445" s="245" t="s">
        <v>4578</v>
      </c>
      <c r="F445" s="245" t="s">
        <v>275</v>
      </c>
      <c r="G445" s="246">
        <v>3799913</v>
      </c>
      <c r="H445" s="247" t="s">
        <v>4579</v>
      </c>
      <c r="J445" s="236"/>
    </row>
    <row r="446" spans="1:10" ht="15" customHeight="1">
      <c r="A446" s="243">
        <f t="shared" si="14"/>
        <v>443</v>
      </c>
      <c r="B446" s="244">
        <v>26387</v>
      </c>
      <c r="C446" s="245" t="s">
        <v>4580</v>
      </c>
      <c r="D446" s="245" t="str">
        <f t="shared" si="13"/>
        <v>KLINIČKA BOLNICA MERKUR (26387)</v>
      </c>
      <c r="E446" s="245" t="s">
        <v>4581</v>
      </c>
      <c r="F446" s="245" t="s">
        <v>275</v>
      </c>
      <c r="G446" s="246">
        <v>3279057</v>
      </c>
      <c r="H446" s="247" t="s">
        <v>4582</v>
      </c>
      <c r="J446" s="236"/>
    </row>
    <row r="447" spans="1:10" ht="15" customHeight="1">
      <c r="A447" s="243">
        <f t="shared" si="14"/>
        <v>444</v>
      </c>
      <c r="B447" s="244">
        <v>26400</v>
      </c>
      <c r="C447" s="255" t="s">
        <v>4583</v>
      </c>
      <c r="D447" s="245" t="str">
        <f t="shared" si="13"/>
        <v>KLINIČKI BOLNIČKI CENTAR OSIJEK (26400)</v>
      </c>
      <c r="E447" s="245" t="s">
        <v>4584</v>
      </c>
      <c r="F447" s="245" t="s">
        <v>278</v>
      </c>
      <c r="G447" s="246">
        <v>3018822</v>
      </c>
      <c r="H447" s="247" t="s">
        <v>4585</v>
      </c>
      <c r="J447" s="236"/>
    </row>
    <row r="448" spans="1:10" ht="15" customHeight="1">
      <c r="A448" s="243">
        <f t="shared" si="14"/>
        <v>445</v>
      </c>
      <c r="B448" s="244">
        <v>26379</v>
      </c>
      <c r="C448" s="245" t="s">
        <v>4586</v>
      </c>
      <c r="D448" s="245" t="str">
        <f t="shared" si="13"/>
        <v>KLINIČKI BOLNIČKI CENTAR RIJEKA (26379)</v>
      </c>
      <c r="E448" s="245" t="s">
        <v>4587</v>
      </c>
      <c r="F448" s="245" t="s">
        <v>320</v>
      </c>
      <c r="G448" s="246">
        <v>3368041</v>
      </c>
      <c r="H448" s="247" t="s">
        <v>4588</v>
      </c>
      <c r="J448" s="236"/>
    </row>
    <row r="449" spans="1:10" ht="15" customHeight="1">
      <c r="A449" s="243">
        <f t="shared" si="14"/>
        <v>446</v>
      </c>
      <c r="B449" s="244">
        <v>26395</v>
      </c>
      <c r="C449" s="245" t="s">
        <v>4589</v>
      </c>
      <c r="D449" s="245" t="str">
        <f t="shared" si="13"/>
        <v>KLINIČKI BOLNIČKI CENTAR SESTRE MILOSRDNICE (26395)</v>
      </c>
      <c r="E449" s="245" t="s">
        <v>4590</v>
      </c>
      <c r="F449" s="245" t="s">
        <v>275</v>
      </c>
      <c r="G449" s="246">
        <v>3208036</v>
      </c>
      <c r="H449" s="247" t="s">
        <v>4591</v>
      </c>
      <c r="J449" s="236"/>
    </row>
    <row r="450" spans="1:10" ht="15" customHeight="1">
      <c r="A450" s="243">
        <f t="shared" si="14"/>
        <v>447</v>
      </c>
      <c r="B450" s="244">
        <v>26418</v>
      </c>
      <c r="C450" s="255" t="s">
        <v>4592</v>
      </c>
      <c r="D450" s="245" t="str">
        <f t="shared" si="13"/>
        <v>KLINIČKI BOLNIČKI CENTAR SPLIT (26418)</v>
      </c>
      <c r="E450" s="245" t="s">
        <v>4593</v>
      </c>
      <c r="F450" s="245" t="s">
        <v>360</v>
      </c>
      <c r="G450" s="246">
        <v>242870</v>
      </c>
      <c r="H450" s="247" t="s">
        <v>4594</v>
      </c>
      <c r="J450" s="236"/>
    </row>
    <row r="451" spans="1:10" ht="15" customHeight="1">
      <c r="A451" s="243">
        <f t="shared" si="14"/>
        <v>448</v>
      </c>
      <c r="B451" s="244">
        <v>38069</v>
      </c>
      <c r="C451" s="245" t="s">
        <v>4595</v>
      </c>
      <c r="D451" s="245" t="str">
        <f t="shared" si="13"/>
        <v>KLINIČKI BOLNIČKI CENTAR ZAGREB (38069)</v>
      </c>
      <c r="E451" s="245" t="s">
        <v>4596</v>
      </c>
      <c r="F451" s="245" t="s">
        <v>275</v>
      </c>
      <c r="G451" s="246">
        <v>3270777</v>
      </c>
      <c r="H451" s="247" t="s">
        <v>4597</v>
      </c>
      <c r="J451" s="236"/>
    </row>
    <row r="452" spans="1:10" ht="15" customHeight="1">
      <c r="A452" s="243">
        <f t="shared" si="14"/>
        <v>449</v>
      </c>
      <c r="B452" s="244">
        <v>47893</v>
      </c>
      <c r="C452" s="245" t="s">
        <v>4598</v>
      </c>
      <c r="D452" s="245" t="str">
        <f t="shared" ref="D452:D515" si="15">C452&amp;" ("&amp;B452&amp;")"</f>
        <v>KLINIKA ZA DJEČJE BOLESTI ZAGREB (47893)</v>
      </c>
      <c r="E452" s="245" t="s">
        <v>4599</v>
      </c>
      <c r="F452" s="245" t="s">
        <v>275</v>
      </c>
      <c r="G452" s="246">
        <v>2874989</v>
      </c>
      <c r="H452" s="247" t="s">
        <v>4600</v>
      </c>
      <c r="J452" s="236"/>
    </row>
    <row r="453" spans="1:10" ht="15" customHeight="1">
      <c r="A453" s="243">
        <f t="shared" si="14"/>
        <v>450</v>
      </c>
      <c r="B453" s="244">
        <v>26459</v>
      </c>
      <c r="C453" s="245" t="s">
        <v>4601</v>
      </c>
      <c r="D453" s="245" t="str">
        <f t="shared" si="15"/>
        <v>KLINIKA ZA INFEKTIVNE BOLESTI DR. FRAN MIHALJEVIĆ (26459)</v>
      </c>
      <c r="E453" s="245" t="s">
        <v>4602</v>
      </c>
      <c r="F453" s="245" t="s">
        <v>275</v>
      </c>
      <c r="G453" s="246">
        <v>3270793</v>
      </c>
      <c r="H453" s="247" t="s">
        <v>4603</v>
      </c>
      <c r="J453" s="236"/>
    </row>
    <row r="454" spans="1:10" ht="15" customHeight="1">
      <c r="A454" s="243">
        <f t="shared" si="14"/>
        <v>451</v>
      </c>
      <c r="B454" s="244">
        <v>26426</v>
      </c>
      <c r="C454" s="255" t="s">
        <v>4604</v>
      </c>
      <c r="D454" s="245" t="str">
        <f t="shared" si="15"/>
        <v>KLINIKA ZA ORTOPEDIJU LOVRAN (26426)</v>
      </c>
      <c r="E454" s="245" t="s">
        <v>4605</v>
      </c>
      <c r="F454" s="245" t="s">
        <v>3964</v>
      </c>
      <c r="G454" s="246">
        <v>3090302</v>
      </c>
      <c r="H454" s="247" t="s">
        <v>4606</v>
      </c>
      <c r="J454" s="236"/>
    </row>
    <row r="455" spans="1:10" ht="15" customHeight="1">
      <c r="A455" s="243">
        <f t="shared" si="14"/>
        <v>452</v>
      </c>
      <c r="B455" s="244">
        <v>38028</v>
      </c>
      <c r="C455" s="255" t="s">
        <v>4607</v>
      </c>
      <c r="D455" s="245" t="str">
        <f t="shared" si="15"/>
        <v>NACIONALNA MEMORIJALNA BOLNICA VUKOVAR (38028)</v>
      </c>
      <c r="E455" s="262" t="s">
        <v>4608</v>
      </c>
      <c r="F455" s="262" t="s">
        <v>501</v>
      </c>
      <c r="G455" s="257" t="s">
        <v>4609</v>
      </c>
      <c r="H455" s="263">
        <v>54896856295</v>
      </c>
      <c r="J455" s="236"/>
    </row>
    <row r="456" spans="1:10" ht="15" customHeight="1">
      <c r="A456" s="243">
        <f t="shared" si="14"/>
        <v>453</v>
      </c>
      <c r="B456" s="244">
        <v>38655</v>
      </c>
      <c r="C456" s="245" t="s">
        <v>4610</v>
      </c>
      <c r="D456" s="245" t="str">
        <f t="shared" si="15"/>
        <v>DOM ZDRAVLJA MINISTARSTVA UNUTARNJIH POSLOVA REPUBLIKE HRVATSKE (38655)</v>
      </c>
      <c r="E456" s="245" t="s">
        <v>4611</v>
      </c>
      <c r="F456" s="245" t="s">
        <v>275</v>
      </c>
      <c r="G456" s="246">
        <v>3274314</v>
      </c>
      <c r="H456" s="247" t="s">
        <v>4612</v>
      </c>
      <c r="J456" s="236"/>
    </row>
    <row r="457" spans="1:10" ht="15" customHeight="1">
      <c r="A457" s="243">
        <f t="shared" si="14"/>
        <v>454</v>
      </c>
      <c r="B457" s="244">
        <v>44573</v>
      </c>
      <c r="C457" s="245" t="s">
        <v>4613</v>
      </c>
      <c r="D457" s="245" t="str">
        <f t="shared" si="15"/>
        <v>HRVATSKI ZAVOD ZA HITNU MEDICINU (44573)</v>
      </c>
      <c r="E457" s="245" t="s">
        <v>4614</v>
      </c>
      <c r="F457" s="245" t="s">
        <v>275</v>
      </c>
      <c r="G457" s="246">
        <v>2536145</v>
      </c>
      <c r="H457" s="247" t="s">
        <v>4615</v>
      </c>
      <c r="J457" s="236"/>
    </row>
    <row r="458" spans="1:10" ht="15" customHeight="1">
      <c r="A458" s="243">
        <f t="shared" si="14"/>
        <v>455</v>
      </c>
      <c r="B458" s="244">
        <v>26346</v>
      </c>
      <c r="C458" s="245" t="s">
        <v>4616</v>
      </c>
      <c r="D458" s="245" t="str">
        <f t="shared" si="15"/>
        <v>HRVATSKI ZAVOD ZA JAVNO ZDRAVSTVO (26346)</v>
      </c>
      <c r="E458" s="245" t="s">
        <v>4617</v>
      </c>
      <c r="F458" s="245" t="s">
        <v>275</v>
      </c>
      <c r="G458" s="246">
        <v>3270963</v>
      </c>
      <c r="H458" s="247" t="s">
        <v>4618</v>
      </c>
      <c r="J458" s="236"/>
    </row>
    <row r="459" spans="1:10" ht="15" customHeight="1">
      <c r="A459" s="243">
        <f t="shared" si="14"/>
        <v>456</v>
      </c>
      <c r="B459" s="244">
        <v>26354</v>
      </c>
      <c r="C459" s="245" t="s">
        <v>4619</v>
      </c>
      <c r="D459" s="245" t="str">
        <f t="shared" si="15"/>
        <v>HRVATSKI ZAVOD ZA TRANSFUZIJSKU MEDICINU (26354)</v>
      </c>
      <c r="E459" s="245" t="s">
        <v>4620</v>
      </c>
      <c r="F459" s="245" t="s">
        <v>275</v>
      </c>
      <c r="G459" s="246">
        <v>3281973</v>
      </c>
      <c r="H459" s="247" t="s">
        <v>4621</v>
      </c>
      <c r="J459" s="236"/>
    </row>
    <row r="460" spans="1:10" ht="15" customHeight="1">
      <c r="A460" s="243">
        <f t="shared" si="14"/>
        <v>457</v>
      </c>
      <c r="B460" s="244">
        <v>23616</v>
      </c>
      <c r="C460" s="245" t="s">
        <v>4622</v>
      </c>
      <c r="D460" s="245" t="str">
        <f t="shared" si="15"/>
        <v>IMUNOLOŠKI ZAVOD (23616)</v>
      </c>
      <c r="E460" s="245" t="s">
        <v>4623</v>
      </c>
      <c r="F460" s="245" t="s">
        <v>275</v>
      </c>
      <c r="G460" s="248" t="s">
        <v>4624</v>
      </c>
      <c r="H460" s="266" t="s">
        <v>4625</v>
      </c>
      <c r="J460" s="236"/>
    </row>
    <row r="461" spans="1:10" ht="15" customHeight="1">
      <c r="A461" s="231">
        <f t="shared" si="14"/>
        <v>458</v>
      </c>
      <c r="B461" s="238">
        <v>21828</v>
      </c>
      <c r="C461" s="239" t="s">
        <v>4626</v>
      </c>
      <c r="D461" s="245" t="str">
        <f t="shared" si="15"/>
        <v>HRVATSKA AKADEMIJA ZNANOSTI I UMJETNOSTI (21828)</v>
      </c>
      <c r="E461" s="239" t="s">
        <v>4627</v>
      </c>
      <c r="F461" s="239" t="s">
        <v>275</v>
      </c>
      <c r="G461" s="240">
        <v>3205207</v>
      </c>
      <c r="H461" s="241" t="s">
        <v>4628</v>
      </c>
      <c r="J461" s="236"/>
    </row>
    <row r="462" spans="1:10" ht="15" customHeight="1">
      <c r="A462" s="231">
        <f t="shared" si="14"/>
        <v>459</v>
      </c>
      <c r="B462" s="238">
        <v>51441</v>
      </c>
      <c r="C462" s="239" t="s">
        <v>4629</v>
      </c>
      <c r="D462" s="245" t="str">
        <f t="shared" si="15"/>
        <v>MINISTARSTVO PRAVOSUĐA I UPRAVE (51441)</v>
      </c>
      <c r="E462" s="239" t="s">
        <v>4630</v>
      </c>
      <c r="F462" s="239" t="s">
        <v>275</v>
      </c>
      <c r="G462" s="240">
        <v>5287260</v>
      </c>
      <c r="H462" s="241" t="s">
        <v>4631</v>
      </c>
      <c r="I462" s="267"/>
      <c r="J462" s="236"/>
    </row>
    <row r="463" spans="1:10" ht="15" customHeight="1">
      <c r="A463" s="243">
        <f t="shared" si="14"/>
        <v>460</v>
      </c>
      <c r="B463" s="244">
        <v>45978</v>
      </c>
      <c r="C463" s="245" t="s">
        <v>4632</v>
      </c>
      <c r="D463" s="245" t="str">
        <f t="shared" si="15"/>
        <v>PRAVOSUDNA AKADEMIJA (45978)</v>
      </c>
      <c r="E463" s="245" t="s">
        <v>4630</v>
      </c>
      <c r="F463" s="245" t="s">
        <v>275</v>
      </c>
      <c r="G463" s="246" t="s">
        <v>4633</v>
      </c>
      <c r="H463" s="268" t="s">
        <v>4634</v>
      </c>
      <c r="J463" s="236"/>
    </row>
    <row r="464" spans="1:10" ht="15" customHeight="1">
      <c r="A464" s="243">
        <f t="shared" si="14"/>
        <v>461</v>
      </c>
      <c r="B464" s="244">
        <v>47668</v>
      </c>
      <c r="C464" s="245" t="s">
        <v>4635</v>
      </c>
      <c r="D464" s="245" t="str">
        <f t="shared" si="15"/>
        <v>CENTAR ZA DIJAGNOSTIKU U ZAGREBU (47668)</v>
      </c>
      <c r="E464" s="245" t="s">
        <v>4636</v>
      </c>
      <c r="F464" s="245" t="s">
        <v>1775</v>
      </c>
      <c r="G464" s="246" t="s">
        <v>4637</v>
      </c>
      <c r="H464" s="268">
        <v>95770301332</v>
      </c>
      <c r="J464" s="236"/>
    </row>
    <row r="465" spans="1:10" ht="15" customHeight="1">
      <c r="A465" s="243">
        <f t="shared" si="14"/>
        <v>462</v>
      </c>
      <c r="B465" s="244">
        <v>24086</v>
      </c>
      <c r="C465" s="245" t="s">
        <v>4638</v>
      </c>
      <c r="D465" s="245" t="str">
        <f t="shared" si="15"/>
        <v>CENTAR ZA IZOBRAZBU  (24086)</v>
      </c>
      <c r="E465" s="245" t="s">
        <v>4636</v>
      </c>
      <c r="F465" s="245" t="s">
        <v>275</v>
      </c>
      <c r="G465" s="246">
        <v>1740024</v>
      </c>
      <c r="H465" s="247" t="s">
        <v>4639</v>
      </c>
      <c r="J465" s="236"/>
    </row>
    <row r="466" spans="1:10" ht="15" customHeight="1">
      <c r="A466" s="243">
        <f t="shared" si="14"/>
        <v>463</v>
      </c>
      <c r="B466" s="244">
        <v>20727</v>
      </c>
      <c r="C466" s="245" t="s">
        <v>4640</v>
      </c>
      <c r="D466" s="245" t="str">
        <f t="shared" si="15"/>
        <v>KAZNIONICA U GLINI (20727)</v>
      </c>
      <c r="E466" s="245" t="s">
        <v>4641</v>
      </c>
      <c r="F466" s="245" t="s">
        <v>4226</v>
      </c>
      <c r="G466" s="246">
        <v>1149695</v>
      </c>
      <c r="H466" s="247" t="s">
        <v>4642</v>
      </c>
      <c r="J466" s="236"/>
    </row>
    <row r="467" spans="1:10" ht="15" customHeight="1">
      <c r="A467" s="243">
        <f t="shared" si="14"/>
        <v>464</v>
      </c>
      <c r="B467" s="244">
        <v>3164</v>
      </c>
      <c r="C467" s="245" t="s">
        <v>4643</v>
      </c>
      <c r="D467" s="245" t="str">
        <f t="shared" si="15"/>
        <v>KAZNIONICA U LEPOGLAVI (3164)</v>
      </c>
      <c r="E467" s="245" t="s">
        <v>4644</v>
      </c>
      <c r="F467" s="245" t="s">
        <v>4645</v>
      </c>
      <c r="G467" s="246">
        <v>3125971</v>
      </c>
      <c r="H467" s="247" t="s">
        <v>4646</v>
      </c>
      <c r="J467" s="236"/>
    </row>
    <row r="468" spans="1:10" ht="15" customHeight="1">
      <c r="A468" s="243">
        <f t="shared" si="14"/>
        <v>465</v>
      </c>
      <c r="B468" s="244">
        <v>3172</v>
      </c>
      <c r="C468" s="245" t="s">
        <v>4647</v>
      </c>
      <c r="D468" s="245" t="str">
        <f t="shared" si="15"/>
        <v>KAZNIONICA U LIPOVICI - POPOVAČA (3172)</v>
      </c>
      <c r="E468" s="245" t="s">
        <v>4648</v>
      </c>
      <c r="F468" s="245" t="s">
        <v>4649</v>
      </c>
      <c r="G468" s="246">
        <v>3331482</v>
      </c>
      <c r="H468" s="247" t="s">
        <v>4650</v>
      </c>
      <c r="J468" s="236"/>
    </row>
    <row r="469" spans="1:10" ht="15" customHeight="1">
      <c r="A469" s="243">
        <f t="shared" si="14"/>
        <v>466</v>
      </c>
      <c r="B469" s="244">
        <v>50395</v>
      </c>
      <c r="C469" s="245" t="s">
        <v>4651</v>
      </c>
      <c r="D469" s="245" t="str">
        <f t="shared" si="15"/>
        <v>KAZNIONICA U POŽEGI (50395)</v>
      </c>
      <c r="E469" s="245" t="s">
        <v>4652</v>
      </c>
      <c r="F469" s="245" t="s">
        <v>517</v>
      </c>
      <c r="G469" s="246">
        <v>4982495</v>
      </c>
      <c r="H469" s="247" t="s">
        <v>4653</v>
      </c>
      <c r="J469" s="236"/>
    </row>
    <row r="470" spans="1:10" ht="15" customHeight="1">
      <c r="A470" s="243">
        <f t="shared" si="14"/>
        <v>467</v>
      </c>
      <c r="B470" s="244">
        <v>3197</v>
      </c>
      <c r="C470" s="245" t="s">
        <v>4654</v>
      </c>
      <c r="D470" s="245" t="str">
        <f t="shared" si="15"/>
        <v>KAZNIONICA U TUROPOLJU (3197)</v>
      </c>
      <c r="E470" s="245" t="s">
        <v>4655</v>
      </c>
      <c r="F470" s="245" t="s">
        <v>3584</v>
      </c>
      <c r="G470" s="246">
        <v>3230015</v>
      </c>
      <c r="H470" s="247" t="s">
        <v>4656</v>
      </c>
      <c r="J470" s="236"/>
    </row>
    <row r="471" spans="1:10" ht="15" customHeight="1">
      <c r="A471" s="243">
        <f t="shared" si="14"/>
        <v>468</v>
      </c>
      <c r="B471" s="244">
        <v>3201</v>
      </c>
      <c r="C471" s="245" t="s">
        <v>4657</v>
      </c>
      <c r="D471" s="245" t="str">
        <f t="shared" si="15"/>
        <v>KAZNIONICA U VALTURI (3201)</v>
      </c>
      <c r="E471" s="245" t="s">
        <v>4658</v>
      </c>
      <c r="F471" s="245" t="s">
        <v>306</v>
      </c>
      <c r="G471" s="246">
        <v>3221784</v>
      </c>
      <c r="H471" s="247" t="s">
        <v>4659</v>
      </c>
      <c r="J471" s="236"/>
    </row>
    <row r="472" spans="1:10" ht="15" customHeight="1">
      <c r="A472" s="243">
        <f t="shared" si="14"/>
        <v>469</v>
      </c>
      <c r="B472" s="244">
        <v>3156</v>
      </c>
      <c r="C472" s="245" t="s">
        <v>4660</v>
      </c>
      <c r="D472" s="245" t="str">
        <f t="shared" si="15"/>
        <v>ODGOJNI ZAVOD TUROPOLJE (3156)</v>
      </c>
      <c r="E472" s="245" t="s">
        <v>4661</v>
      </c>
      <c r="F472" s="245" t="s">
        <v>3584</v>
      </c>
      <c r="G472" s="246">
        <v>3126498</v>
      </c>
      <c r="H472" s="247" t="s">
        <v>4662</v>
      </c>
      <c r="J472" s="236"/>
    </row>
    <row r="473" spans="1:10" ht="15" customHeight="1">
      <c r="A473" s="243">
        <f t="shared" si="14"/>
        <v>470</v>
      </c>
      <c r="B473" s="244">
        <v>46614</v>
      </c>
      <c r="C473" s="245" t="s">
        <v>4663</v>
      </c>
      <c r="D473" s="245" t="str">
        <f t="shared" si="15"/>
        <v>ODGOJNI ZAVOD U POŽEGI (46614)</v>
      </c>
      <c r="E473" s="245" t="s">
        <v>4652</v>
      </c>
      <c r="F473" s="245" t="s">
        <v>517</v>
      </c>
      <c r="G473" s="246">
        <v>3342719</v>
      </c>
      <c r="H473" s="247" t="s">
        <v>4664</v>
      </c>
      <c r="J473" s="236"/>
    </row>
    <row r="474" spans="1:10" ht="15" customHeight="1">
      <c r="A474" s="243">
        <f t="shared" si="14"/>
        <v>471</v>
      </c>
      <c r="B474" s="244">
        <v>3210</v>
      </c>
      <c r="C474" s="245" t="s">
        <v>4665</v>
      </c>
      <c r="D474" s="245" t="str">
        <f t="shared" si="15"/>
        <v>ZATVOR U BJELOVARU (3210)</v>
      </c>
      <c r="E474" s="245" t="s">
        <v>4666</v>
      </c>
      <c r="F474" s="245" t="s">
        <v>3654</v>
      </c>
      <c r="G474" s="246">
        <v>3331369</v>
      </c>
      <c r="H474" s="247" t="s">
        <v>4667</v>
      </c>
      <c r="J474" s="236"/>
    </row>
    <row r="475" spans="1:10" ht="15" customHeight="1">
      <c r="A475" s="243">
        <f t="shared" si="14"/>
        <v>472</v>
      </c>
      <c r="B475" s="244">
        <v>3228</v>
      </c>
      <c r="C475" s="245" t="s">
        <v>4668</v>
      </c>
      <c r="D475" s="245" t="str">
        <f t="shared" si="15"/>
        <v>ZATVOR U DUBROVNIKU  (3228)</v>
      </c>
      <c r="E475" s="245" t="s">
        <v>4669</v>
      </c>
      <c r="F475" s="245" t="s">
        <v>313</v>
      </c>
      <c r="G475" s="246">
        <v>3312062</v>
      </c>
      <c r="H475" s="247" t="s">
        <v>4670</v>
      </c>
      <c r="J475" s="236"/>
    </row>
    <row r="476" spans="1:10" s="242" customFormat="1" ht="15" customHeight="1">
      <c r="A476" s="243">
        <f t="shared" si="14"/>
        <v>473</v>
      </c>
      <c r="B476" s="244">
        <v>3236</v>
      </c>
      <c r="C476" s="245" t="s">
        <v>4671</v>
      </c>
      <c r="D476" s="245" t="str">
        <f t="shared" si="15"/>
        <v>ZATVOR U GOSPIĆU (3236)</v>
      </c>
      <c r="E476" s="245" t="s">
        <v>4672</v>
      </c>
      <c r="F476" s="245" t="s">
        <v>509</v>
      </c>
      <c r="G476" s="246">
        <v>3345971</v>
      </c>
      <c r="H476" s="247" t="s">
        <v>4673</v>
      </c>
      <c r="J476" s="236"/>
    </row>
    <row r="477" spans="1:10" ht="15" customHeight="1">
      <c r="A477" s="243">
        <f t="shared" si="14"/>
        <v>474</v>
      </c>
      <c r="B477" s="244">
        <v>3244</v>
      </c>
      <c r="C477" s="245" t="s">
        <v>4674</v>
      </c>
      <c r="D477" s="245" t="str">
        <f t="shared" si="15"/>
        <v>ZATVOR U KARLOVCU (3244)</v>
      </c>
      <c r="E477" s="245" t="s">
        <v>4675</v>
      </c>
      <c r="F477" s="245" t="s">
        <v>513</v>
      </c>
      <c r="G477" s="246">
        <v>3141667</v>
      </c>
      <c r="H477" s="247" t="s">
        <v>4676</v>
      </c>
      <c r="J477" s="236"/>
    </row>
    <row r="478" spans="1:10" ht="15" customHeight="1">
      <c r="A478" s="243">
        <f t="shared" si="14"/>
        <v>475</v>
      </c>
      <c r="B478" s="244">
        <v>3252</v>
      </c>
      <c r="C478" s="245" t="s">
        <v>4677</v>
      </c>
      <c r="D478" s="245" t="str">
        <f t="shared" si="15"/>
        <v>ZATVOR U OSIJEKU (3252)</v>
      </c>
      <c r="E478" s="245" t="s">
        <v>4678</v>
      </c>
      <c r="F478" s="245" t="s">
        <v>278</v>
      </c>
      <c r="G478" s="246">
        <v>3055264</v>
      </c>
      <c r="H478" s="247" t="s">
        <v>4679</v>
      </c>
      <c r="J478" s="236"/>
    </row>
    <row r="479" spans="1:10" ht="15" customHeight="1">
      <c r="A479" s="243">
        <f t="shared" si="14"/>
        <v>476</v>
      </c>
      <c r="B479" s="244">
        <v>50400</v>
      </c>
      <c r="C479" s="245" t="s">
        <v>4680</v>
      </c>
      <c r="D479" s="245" t="str">
        <f t="shared" si="15"/>
        <v>ZATVOR U POŽEGI (50400)</v>
      </c>
      <c r="E479" s="245" t="s">
        <v>4681</v>
      </c>
      <c r="F479" s="245" t="s">
        <v>517</v>
      </c>
      <c r="G479" s="246">
        <v>4982533</v>
      </c>
      <c r="H479" s="247" t="s">
        <v>4682</v>
      </c>
      <c r="J479" s="236"/>
    </row>
    <row r="480" spans="1:10" ht="15" customHeight="1">
      <c r="A480" s="243">
        <f t="shared" si="14"/>
        <v>477</v>
      </c>
      <c r="B480" s="244">
        <v>3277</v>
      </c>
      <c r="C480" s="245" t="s">
        <v>4683</v>
      </c>
      <c r="D480" s="245" t="str">
        <f t="shared" si="15"/>
        <v>ZATVOR U PULI (3277)</v>
      </c>
      <c r="E480" s="245" t="s">
        <v>4684</v>
      </c>
      <c r="F480" s="245" t="s">
        <v>306</v>
      </c>
      <c r="G480" s="246">
        <v>3227693</v>
      </c>
      <c r="H480" s="247" t="s">
        <v>4685</v>
      </c>
      <c r="J480" s="236"/>
    </row>
    <row r="481" spans="1:10" ht="15" customHeight="1">
      <c r="A481" s="243">
        <f t="shared" si="14"/>
        <v>478</v>
      </c>
      <c r="B481" s="244">
        <v>3285</v>
      </c>
      <c r="C481" s="245" t="s">
        <v>4686</v>
      </c>
      <c r="D481" s="245" t="str">
        <f t="shared" si="15"/>
        <v>ZATVOR U RIJECI (3285)</v>
      </c>
      <c r="E481" s="245" t="s">
        <v>4687</v>
      </c>
      <c r="F481" s="245" t="s">
        <v>320</v>
      </c>
      <c r="G481" s="246">
        <v>3341640</v>
      </c>
      <c r="H481" s="247" t="s">
        <v>4688</v>
      </c>
      <c r="J481" s="236"/>
    </row>
    <row r="482" spans="1:10" ht="15" customHeight="1">
      <c r="A482" s="243">
        <f t="shared" si="14"/>
        <v>479</v>
      </c>
      <c r="B482" s="244">
        <v>3293</v>
      </c>
      <c r="C482" s="245" t="s">
        <v>4689</v>
      </c>
      <c r="D482" s="245" t="str">
        <f t="shared" si="15"/>
        <v>ZATVOR U SISKU (3293)</v>
      </c>
      <c r="E482" s="245" t="s">
        <v>4690</v>
      </c>
      <c r="F482" s="245" t="s">
        <v>1724</v>
      </c>
      <c r="G482" s="246">
        <v>3314707</v>
      </c>
      <c r="H482" s="247" t="s">
        <v>4691</v>
      </c>
      <c r="J482" s="236"/>
    </row>
    <row r="483" spans="1:10" ht="15" customHeight="1">
      <c r="A483" s="243">
        <f t="shared" si="14"/>
        <v>480</v>
      </c>
      <c r="B483" s="244">
        <v>3308</v>
      </c>
      <c r="C483" s="245" t="s">
        <v>4692</v>
      </c>
      <c r="D483" s="245" t="str">
        <f t="shared" si="15"/>
        <v>ZATVOR U SPLITU (3308)</v>
      </c>
      <c r="E483" s="245" t="s">
        <v>4693</v>
      </c>
      <c r="F483" s="245" t="s">
        <v>360</v>
      </c>
      <c r="G483" s="246">
        <v>3148262</v>
      </c>
      <c r="H483" s="247" t="s">
        <v>4694</v>
      </c>
      <c r="J483" s="236"/>
    </row>
    <row r="484" spans="1:10" ht="15" customHeight="1">
      <c r="A484" s="243">
        <f t="shared" si="14"/>
        <v>481</v>
      </c>
      <c r="B484" s="244">
        <v>3316</v>
      </c>
      <c r="C484" s="245" t="s">
        <v>4695</v>
      </c>
      <c r="D484" s="245" t="str">
        <f t="shared" si="15"/>
        <v>ZATVOR U ŠIBENIKU (3316)</v>
      </c>
      <c r="E484" s="245" t="s">
        <v>4696</v>
      </c>
      <c r="F484" s="245" t="s">
        <v>524</v>
      </c>
      <c r="G484" s="246">
        <v>3060870</v>
      </c>
      <c r="H484" s="247" t="s">
        <v>4697</v>
      </c>
      <c r="J484" s="236"/>
    </row>
    <row r="485" spans="1:10" ht="15" customHeight="1">
      <c r="A485" s="243">
        <f t="shared" si="14"/>
        <v>482</v>
      </c>
      <c r="B485" s="244">
        <v>3324</v>
      </c>
      <c r="C485" s="245" t="s">
        <v>4698</v>
      </c>
      <c r="D485" s="245" t="str">
        <f t="shared" si="15"/>
        <v>ZATVOR U VARAŽDINU (3324)</v>
      </c>
      <c r="E485" s="245" t="s">
        <v>4699</v>
      </c>
      <c r="F485" s="245" t="s">
        <v>445</v>
      </c>
      <c r="G485" s="246">
        <v>3048560</v>
      </c>
      <c r="H485" s="247" t="s">
        <v>4700</v>
      </c>
      <c r="J485" s="236"/>
    </row>
    <row r="486" spans="1:10" ht="15" customHeight="1">
      <c r="A486" s="243">
        <f t="shared" si="14"/>
        <v>483</v>
      </c>
      <c r="B486" s="244">
        <v>3332</v>
      </c>
      <c r="C486" s="245" t="s">
        <v>4701</v>
      </c>
      <c r="D486" s="245" t="str">
        <f t="shared" si="15"/>
        <v>ZATVOR U ZADRU (3332)</v>
      </c>
      <c r="E486" s="245" t="s">
        <v>4702</v>
      </c>
      <c r="F486" s="245" t="s">
        <v>316</v>
      </c>
      <c r="G486" s="246">
        <v>3159973</v>
      </c>
      <c r="H486" s="247" t="s">
        <v>4703</v>
      </c>
      <c r="J486" s="236"/>
    </row>
    <row r="487" spans="1:10" ht="15" customHeight="1">
      <c r="A487" s="243">
        <f t="shared" si="14"/>
        <v>484</v>
      </c>
      <c r="B487" s="244">
        <v>3349</v>
      </c>
      <c r="C487" s="245" t="s">
        <v>4704</v>
      </c>
      <c r="D487" s="245" t="str">
        <f t="shared" si="15"/>
        <v>ZATVOR U ZAGREBU (3349)</v>
      </c>
      <c r="E487" s="245" t="s">
        <v>4636</v>
      </c>
      <c r="F487" s="245" t="s">
        <v>275</v>
      </c>
      <c r="G487" s="246">
        <v>3226476</v>
      </c>
      <c r="H487" s="247" t="s">
        <v>4705</v>
      </c>
      <c r="J487" s="236"/>
    </row>
    <row r="488" spans="1:10" ht="15" customHeight="1">
      <c r="A488" s="243">
        <f t="shared" si="14"/>
        <v>485</v>
      </c>
      <c r="B488" s="244">
        <v>3148</v>
      </c>
      <c r="C488" s="245" t="s">
        <v>4706</v>
      </c>
      <c r="D488" s="245" t="str">
        <f t="shared" si="15"/>
        <v>ZATVORSKA BOLNICA U ZAGREBU (3148)</v>
      </c>
      <c r="E488" s="245" t="s">
        <v>4707</v>
      </c>
      <c r="F488" s="245" t="s">
        <v>275</v>
      </c>
      <c r="G488" s="246">
        <v>3283089</v>
      </c>
      <c r="H488" s="247" t="s">
        <v>4708</v>
      </c>
      <c r="J488" s="236"/>
    </row>
    <row r="489" spans="1:10" ht="15" customHeight="1">
      <c r="A489" s="243">
        <f t="shared" si="14"/>
        <v>486</v>
      </c>
      <c r="B489" s="244">
        <v>3357</v>
      </c>
      <c r="C489" s="245" t="s">
        <v>4709</v>
      </c>
      <c r="D489" s="245" t="str">
        <f t="shared" si="15"/>
        <v>VRHOVNI SUD REPUBLIKE HRVATSKE (3357)</v>
      </c>
      <c r="E489" s="245" t="s">
        <v>4710</v>
      </c>
      <c r="F489" s="245" t="s">
        <v>275</v>
      </c>
      <c r="G489" s="246">
        <v>3206050</v>
      </c>
      <c r="H489" s="247" t="s">
        <v>4711</v>
      </c>
      <c r="J489" s="236"/>
    </row>
    <row r="490" spans="1:10" ht="15" customHeight="1">
      <c r="A490" s="243">
        <f t="shared" si="14"/>
        <v>487</v>
      </c>
      <c r="B490" s="244">
        <v>3582</v>
      </c>
      <c r="C490" s="245" t="s">
        <v>4712</v>
      </c>
      <c r="D490" s="245" t="str">
        <f t="shared" si="15"/>
        <v>VISOKI TRGOVAČKI SUD REPUBLIKE HRVATSKE (3582)</v>
      </c>
      <c r="E490" s="245" t="s">
        <v>4713</v>
      </c>
      <c r="F490" s="245" t="s">
        <v>275</v>
      </c>
      <c r="G490" s="246">
        <v>3271064</v>
      </c>
      <c r="H490" s="247" t="s">
        <v>4714</v>
      </c>
      <c r="J490" s="236"/>
    </row>
    <row r="491" spans="1:10" ht="15" customHeight="1">
      <c r="A491" s="243">
        <f t="shared" si="14"/>
        <v>488</v>
      </c>
      <c r="B491" s="244">
        <v>20639</v>
      </c>
      <c r="C491" s="245" t="s">
        <v>4715</v>
      </c>
      <c r="D491" s="245" t="str">
        <f t="shared" si="15"/>
        <v>VISOKI UPRAVNI SUD REPUBLIKE HRVATSKE (20639)</v>
      </c>
      <c r="E491" s="245" t="s">
        <v>4716</v>
      </c>
      <c r="F491" s="245" t="s">
        <v>275</v>
      </c>
      <c r="G491" s="246">
        <v>3232719</v>
      </c>
      <c r="H491" s="247" t="s">
        <v>4717</v>
      </c>
      <c r="J491" s="236"/>
    </row>
    <row r="492" spans="1:10" ht="15" customHeight="1">
      <c r="A492" s="243">
        <f t="shared" si="14"/>
        <v>489</v>
      </c>
      <c r="B492" s="244">
        <v>47140</v>
      </c>
      <c r="C492" s="245" t="s">
        <v>4718</v>
      </c>
      <c r="D492" s="245" t="str">
        <f t="shared" si="15"/>
        <v>UPRAVNI SUD U OSIJEKU (47140)</v>
      </c>
      <c r="E492" s="245" t="s">
        <v>4719</v>
      </c>
      <c r="F492" s="245" t="s">
        <v>278</v>
      </c>
      <c r="G492" s="246">
        <v>2790416</v>
      </c>
      <c r="H492" s="247" t="s">
        <v>4720</v>
      </c>
      <c r="J492" s="236"/>
    </row>
    <row r="493" spans="1:10" ht="15" customHeight="1">
      <c r="A493" s="243">
        <f t="shared" si="14"/>
        <v>490</v>
      </c>
      <c r="B493" s="244">
        <v>47158</v>
      </c>
      <c r="C493" s="245" t="s">
        <v>4721</v>
      </c>
      <c r="D493" s="245" t="str">
        <f t="shared" si="15"/>
        <v>UPRAVNI SUD U RIJECI (47158)</v>
      </c>
      <c r="E493" s="245" t="s">
        <v>4722</v>
      </c>
      <c r="F493" s="245" t="s">
        <v>320</v>
      </c>
      <c r="G493" s="246">
        <v>2790424</v>
      </c>
      <c r="H493" s="247" t="s">
        <v>4723</v>
      </c>
      <c r="J493" s="236"/>
    </row>
    <row r="494" spans="1:10" ht="15" customHeight="1">
      <c r="A494" s="243">
        <f t="shared" si="14"/>
        <v>491</v>
      </c>
      <c r="B494" s="244">
        <v>47203</v>
      </c>
      <c r="C494" s="245" t="s">
        <v>4724</v>
      </c>
      <c r="D494" s="245" t="str">
        <f t="shared" si="15"/>
        <v>UPRAVNI SUD U SPLITU (47203)</v>
      </c>
      <c r="E494" s="245" t="s">
        <v>4725</v>
      </c>
      <c r="F494" s="245" t="s">
        <v>360</v>
      </c>
      <c r="G494" s="246">
        <v>2790432</v>
      </c>
      <c r="H494" s="247" t="s">
        <v>4726</v>
      </c>
      <c r="J494" s="236"/>
    </row>
    <row r="495" spans="1:10" ht="15" customHeight="1">
      <c r="A495" s="243">
        <f t="shared" si="14"/>
        <v>492</v>
      </c>
      <c r="B495" s="244">
        <v>47199</v>
      </c>
      <c r="C495" s="245" t="s">
        <v>4727</v>
      </c>
      <c r="D495" s="245" t="str">
        <f t="shared" si="15"/>
        <v>UPRAVNI SUD U ZAGREBU (47199)</v>
      </c>
      <c r="E495" s="245" t="s">
        <v>4728</v>
      </c>
      <c r="F495" s="245" t="s">
        <v>275</v>
      </c>
      <c r="G495" s="246">
        <v>2790467</v>
      </c>
      <c r="H495" s="247" t="s">
        <v>4729</v>
      </c>
      <c r="J495" s="236"/>
    </row>
    <row r="496" spans="1:10" ht="15" customHeight="1">
      <c r="A496" s="243">
        <f t="shared" si="14"/>
        <v>493</v>
      </c>
      <c r="B496" s="244">
        <v>3365</v>
      </c>
      <c r="C496" s="245" t="s">
        <v>4730</v>
      </c>
      <c r="D496" s="245" t="str">
        <f t="shared" si="15"/>
        <v>DRŽAVNO ODVJETNIŠTVO REPUBLIKE HRVATSKE (3365)</v>
      </c>
      <c r="E496" s="245" t="s">
        <v>4731</v>
      </c>
      <c r="F496" s="245" t="s">
        <v>275</v>
      </c>
      <c r="G496" s="246">
        <v>3277151</v>
      </c>
      <c r="H496" s="247" t="s">
        <v>4732</v>
      </c>
      <c r="J496" s="236"/>
    </row>
    <row r="497" spans="1:10" ht="15" customHeight="1">
      <c r="A497" s="243">
        <f t="shared" si="14"/>
        <v>494</v>
      </c>
      <c r="B497" s="244">
        <v>47287</v>
      </c>
      <c r="C497" s="245" t="s">
        <v>4733</v>
      </c>
      <c r="D497" s="245" t="str">
        <f t="shared" si="15"/>
        <v>DRŽAVNO ODVJETNIČKO VIJEĆE (47287)</v>
      </c>
      <c r="E497" s="245" t="s">
        <v>4630</v>
      </c>
      <c r="F497" s="245" t="s">
        <v>275</v>
      </c>
      <c r="G497" s="246">
        <v>2797712</v>
      </c>
      <c r="H497" s="247" t="s">
        <v>4734</v>
      </c>
      <c r="J497" s="236"/>
    </row>
    <row r="498" spans="1:10" ht="15" customHeight="1">
      <c r="A498" s="243">
        <f t="shared" si="14"/>
        <v>495</v>
      </c>
      <c r="B498" s="244">
        <v>47295</v>
      </c>
      <c r="C498" s="245" t="s">
        <v>4735</v>
      </c>
      <c r="D498" s="245" t="str">
        <f t="shared" si="15"/>
        <v>DRŽAVNO SUDBENO VIJEĆE (47295)</v>
      </c>
      <c r="E498" s="245" t="s">
        <v>4736</v>
      </c>
      <c r="F498" s="245" t="s">
        <v>275</v>
      </c>
      <c r="G498" s="246">
        <v>2747987</v>
      </c>
      <c r="H498" s="247" t="s">
        <v>4737</v>
      </c>
      <c r="J498" s="236"/>
    </row>
    <row r="499" spans="1:10" ht="15" customHeight="1">
      <c r="A499" s="243">
        <f t="shared" si="14"/>
        <v>496</v>
      </c>
      <c r="B499" s="244">
        <v>3381</v>
      </c>
      <c r="C499" s="245" t="s">
        <v>4738</v>
      </c>
      <c r="D499" s="245" t="str">
        <f t="shared" si="15"/>
        <v>VISOKI PREKRŠAJNII SUD REPUBLIKE HRVATSKE (3381)</v>
      </c>
      <c r="E499" s="245" t="s">
        <v>4739</v>
      </c>
      <c r="F499" s="245" t="s">
        <v>275</v>
      </c>
      <c r="G499" s="246">
        <v>3206068</v>
      </c>
      <c r="H499" s="247" t="s">
        <v>4740</v>
      </c>
      <c r="J499" s="236"/>
    </row>
    <row r="500" spans="1:10" ht="15" customHeight="1">
      <c r="A500" s="243">
        <f t="shared" si="14"/>
        <v>497</v>
      </c>
      <c r="B500" s="244">
        <v>50928</v>
      </c>
      <c r="C500" s="245" t="s">
        <v>4741</v>
      </c>
      <c r="D500" s="245" t="str">
        <f t="shared" si="15"/>
        <v>VISOKI KAZNENI SUD REPUBLIKE HRVATSKE (50928)</v>
      </c>
      <c r="E500" s="245" t="s">
        <v>4742</v>
      </c>
      <c r="F500" s="245" t="s">
        <v>275</v>
      </c>
      <c r="G500" s="246">
        <v>5090890</v>
      </c>
      <c r="H500" s="247" t="s">
        <v>4743</v>
      </c>
      <c r="J500" s="236"/>
    </row>
    <row r="501" spans="1:10" ht="15" customHeight="1">
      <c r="A501" s="243">
        <f t="shared" si="14"/>
        <v>498</v>
      </c>
      <c r="B501" s="244">
        <v>20743</v>
      </c>
      <c r="C501" s="245" t="s">
        <v>4744</v>
      </c>
      <c r="D501" s="245" t="str">
        <f t="shared" si="15"/>
        <v>ŽUPANIJSKI SUD U BJELOVARU (20743)</v>
      </c>
      <c r="E501" s="245" t="s">
        <v>4745</v>
      </c>
      <c r="F501" s="245" t="s">
        <v>3654</v>
      </c>
      <c r="G501" s="246">
        <v>3308677</v>
      </c>
      <c r="H501" s="247" t="s">
        <v>4746</v>
      </c>
      <c r="J501" s="236"/>
    </row>
    <row r="502" spans="1:10" ht="15" customHeight="1">
      <c r="A502" s="243">
        <f t="shared" si="14"/>
        <v>499</v>
      </c>
      <c r="B502" s="244">
        <v>3390</v>
      </c>
      <c r="C502" s="245" t="s">
        <v>4747</v>
      </c>
      <c r="D502" s="245" t="str">
        <f t="shared" si="15"/>
        <v>ŽUPANIJSKI SUD U DUBROVNIKU (3390)</v>
      </c>
      <c r="E502" s="245" t="s">
        <v>4748</v>
      </c>
      <c r="F502" s="245" t="s">
        <v>313</v>
      </c>
      <c r="G502" s="246">
        <v>3304680</v>
      </c>
      <c r="H502" s="247" t="s">
        <v>4749</v>
      </c>
      <c r="J502" s="236"/>
    </row>
    <row r="503" spans="1:10" ht="15" customHeight="1">
      <c r="A503" s="243">
        <f t="shared" si="14"/>
        <v>500</v>
      </c>
      <c r="B503" s="244">
        <v>3412</v>
      </c>
      <c r="C503" s="245" t="s">
        <v>4750</v>
      </c>
      <c r="D503" s="245" t="str">
        <f t="shared" si="15"/>
        <v>ŽUPANIJSKI SUD U KARLOVCU (3412)</v>
      </c>
      <c r="E503" s="245" t="s">
        <v>4751</v>
      </c>
      <c r="F503" s="245" t="s">
        <v>513</v>
      </c>
      <c r="G503" s="246">
        <v>3123502</v>
      </c>
      <c r="H503" s="247" t="s">
        <v>4752</v>
      </c>
      <c r="J503" s="236"/>
    </row>
    <row r="504" spans="1:10" ht="15" customHeight="1">
      <c r="A504" s="243">
        <f t="shared" si="14"/>
        <v>501</v>
      </c>
      <c r="B504" s="244">
        <v>3429</v>
      </c>
      <c r="C504" s="245" t="s">
        <v>4753</v>
      </c>
      <c r="D504" s="245" t="str">
        <f t="shared" si="15"/>
        <v>ŽUPANIJSKI SUD U OSIJEKU (3429)</v>
      </c>
      <c r="E504" s="245" t="s">
        <v>4754</v>
      </c>
      <c r="F504" s="245" t="s">
        <v>278</v>
      </c>
      <c r="G504" s="246">
        <v>3014819</v>
      </c>
      <c r="H504" s="247" t="s">
        <v>4755</v>
      </c>
      <c r="J504" s="236"/>
    </row>
    <row r="505" spans="1:10" ht="15" customHeight="1">
      <c r="A505" s="243">
        <f t="shared" si="14"/>
        <v>502</v>
      </c>
      <c r="B505" s="244">
        <v>3445</v>
      </c>
      <c r="C505" s="245" t="s">
        <v>4756</v>
      </c>
      <c r="D505" s="245" t="str">
        <f t="shared" si="15"/>
        <v>ŽUPANIJSKI SUD U PULI - POLA (3445)</v>
      </c>
      <c r="E505" s="245" t="s">
        <v>4757</v>
      </c>
      <c r="F505" s="245" t="s">
        <v>4758</v>
      </c>
      <c r="G505" s="246">
        <v>3204138</v>
      </c>
      <c r="H505" s="247" t="s">
        <v>4759</v>
      </c>
      <c r="J505" s="236"/>
    </row>
    <row r="506" spans="1:10" ht="15" customHeight="1">
      <c r="A506" s="243">
        <f t="shared" si="14"/>
        <v>503</v>
      </c>
      <c r="B506" s="244">
        <v>3453</v>
      </c>
      <c r="C506" s="245" t="s">
        <v>4760</v>
      </c>
      <c r="D506" s="245" t="str">
        <f t="shared" si="15"/>
        <v>ŽUPANIJSKI SUD U RIJECI (3453)</v>
      </c>
      <c r="E506" s="245" t="s">
        <v>4761</v>
      </c>
      <c r="F506" s="245" t="s">
        <v>320</v>
      </c>
      <c r="G506" s="246">
        <v>3321401</v>
      </c>
      <c r="H506" s="247" t="s">
        <v>4762</v>
      </c>
      <c r="J506" s="236"/>
    </row>
    <row r="507" spans="1:10" ht="15" customHeight="1">
      <c r="A507" s="243">
        <f t="shared" si="14"/>
        <v>504</v>
      </c>
      <c r="B507" s="244">
        <v>3461</v>
      </c>
      <c r="C507" s="245" t="s">
        <v>4763</v>
      </c>
      <c r="D507" s="245" t="str">
        <f t="shared" si="15"/>
        <v>ŽUPANIJSKI SUD U SISKU (3461)</v>
      </c>
      <c r="E507" s="245" t="s">
        <v>4764</v>
      </c>
      <c r="F507" s="245" t="s">
        <v>1724</v>
      </c>
      <c r="G507" s="246">
        <v>3314731</v>
      </c>
      <c r="H507" s="247" t="s">
        <v>4765</v>
      </c>
      <c r="J507" s="236"/>
    </row>
    <row r="508" spans="1:10" ht="15" customHeight="1">
      <c r="A508" s="243">
        <f t="shared" ref="A508:A571" si="16">+A507+1</f>
        <v>505</v>
      </c>
      <c r="B508" s="244">
        <v>20778</v>
      </c>
      <c r="C508" s="245" t="s">
        <v>4766</v>
      </c>
      <c r="D508" s="245" t="str">
        <f t="shared" si="15"/>
        <v>ŽUPANIJSKI SUD U SLAVONSKOM BRODU (20778)</v>
      </c>
      <c r="E508" s="245" t="s">
        <v>4767</v>
      </c>
      <c r="F508" s="245" t="s">
        <v>1769</v>
      </c>
      <c r="G508" s="246">
        <v>1228226</v>
      </c>
      <c r="H508" s="247" t="s">
        <v>4768</v>
      </c>
      <c r="J508" s="236"/>
    </row>
    <row r="509" spans="1:10" ht="15" customHeight="1">
      <c r="A509" s="243">
        <f t="shared" si="16"/>
        <v>506</v>
      </c>
      <c r="B509" s="244">
        <v>3470</v>
      </c>
      <c r="C509" s="245" t="s">
        <v>4769</v>
      </c>
      <c r="D509" s="245" t="str">
        <f t="shared" si="15"/>
        <v>ŽUPANIJSKI SUD U SPLITU (3470)</v>
      </c>
      <c r="E509" s="245" t="s">
        <v>4770</v>
      </c>
      <c r="F509" s="245" t="s">
        <v>360</v>
      </c>
      <c r="G509" s="246">
        <v>3118673</v>
      </c>
      <c r="H509" s="247" t="s">
        <v>4771</v>
      </c>
      <c r="J509" s="236"/>
    </row>
    <row r="510" spans="1:10" ht="15" customHeight="1">
      <c r="A510" s="243">
        <f t="shared" si="16"/>
        <v>507</v>
      </c>
      <c r="B510" s="244">
        <v>20786</v>
      </c>
      <c r="C510" s="245" t="s">
        <v>4772</v>
      </c>
      <c r="D510" s="245" t="str">
        <f t="shared" si="15"/>
        <v>ŽUPANIJSKI SUD U ŠIBENIKU (20786)</v>
      </c>
      <c r="E510" s="245" t="s">
        <v>4773</v>
      </c>
      <c r="F510" s="245" t="s">
        <v>524</v>
      </c>
      <c r="G510" s="246">
        <v>3019799</v>
      </c>
      <c r="H510" s="247" t="s">
        <v>4774</v>
      </c>
      <c r="J510" s="236"/>
    </row>
    <row r="511" spans="1:10" ht="15" customHeight="1">
      <c r="A511" s="243">
        <f t="shared" si="16"/>
        <v>508</v>
      </c>
      <c r="B511" s="244">
        <v>3488</v>
      </c>
      <c r="C511" s="245" t="s">
        <v>4775</v>
      </c>
      <c r="D511" s="245" t="str">
        <f t="shared" si="15"/>
        <v>ŽUPANIJSKI SUD U VARAŽDINU (3488)</v>
      </c>
      <c r="E511" s="245" t="s">
        <v>4389</v>
      </c>
      <c r="F511" s="245" t="s">
        <v>445</v>
      </c>
      <c r="G511" s="246">
        <v>3006719</v>
      </c>
      <c r="H511" s="247" t="s">
        <v>4776</v>
      </c>
      <c r="J511" s="236"/>
    </row>
    <row r="512" spans="1:10" ht="15" customHeight="1">
      <c r="A512" s="243">
        <f t="shared" si="16"/>
        <v>509</v>
      </c>
      <c r="B512" s="244">
        <v>23421</v>
      </c>
      <c r="C512" s="245" t="s">
        <v>4777</v>
      </c>
      <c r="D512" s="245" t="str">
        <f t="shared" si="15"/>
        <v>ŽUPANIJSKI SUD U VELIKOJ GORICI (23421)</v>
      </c>
      <c r="E512" s="245" t="s">
        <v>4778</v>
      </c>
      <c r="F512" s="245" t="s">
        <v>3584</v>
      </c>
      <c r="G512" s="246">
        <v>1476351</v>
      </c>
      <c r="H512" s="247" t="s">
        <v>4779</v>
      </c>
      <c r="J512" s="236"/>
    </row>
    <row r="513" spans="1:10" ht="15" customHeight="1">
      <c r="A513" s="243">
        <f t="shared" si="16"/>
        <v>510</v>
      </c>
      <c r="B513" s="244">
        <v>20809</v>
      </c>
      <c r="C513" s="245" t="s">
        <v>4780</v>
      </c>
      <c r="D513" s="245" t="str">
        <f t="shared" si="15"/>
        <v>ŽUPANIJSKI SUD U VUKOVARU (20809)</v>
      </c>
      <c r="E513" s="245" t="s">
        <v>4781</v>
      </c>
      <c r="F513" s="245" t="s">
        <v>501</v>
      </c>
      <c r="G513" s="246">
        <v>1210696</v>
      </c>
      <c r="H513" s="247" t="s">
        <v>4782</v>
      </c>
      <c r="J513" s="236"/>
    </row>
    <row r="514" spans="1:10" ht="15" customHeight="1">
      <c r="A514" s="243">
        <f t="shared" si="16"/>
        <v>511</v>
      </c>
      <c r="B514" s="244">
        <v>3496</v>
      </c>
      <c r="C514" s="245" t="s">
        <v>4783</v>
      </c>
      <c r="D514" s="245" t="str">
        <f t="shared" si="15"/>
        <v>ŽUPANIJSKI SUD U ZADRU (3496)</v>
      </c>
      <c r="E514" s="245" t="s">
        <v>4784</v>
      </c>
      <c r="F514" s="245" t="s">
        <v>316</v>
      </c>
      <c r="G514" s="246">
        <v>3142434</v>
      </c>
      <c r="H514" s="247" t="s">
        <v>4785</v>
      </c>
      <c r="J514" s="236"/>
    </row>
    <row r="515" spans="1:10" ht="15" customHeight="1">
      <c r="A515" s="243">
        <f t="shared" si="16"/>
        <v>512</v>
      </c>
      <c r="B515" s="244">
        <v>3507</v>
      </c>
      <c r="C515" s="245" t="s">
        <v>4786</v>
      </c>
      <c r="D515" s="245" t="str">
        <f t="shared" si="15"/>
        <v>ŽUPANIJSKI SUD U ZAGREBU (3507)</v>
      </c>
      <c r="E515" s="245" t="s">
        <v>4742</v>
      </c>
      <c r="F515" s="245" t="s">
        <v>275</v>
      </c>
      <c r="G515" s="246">
        <v>3206076</v>
      </c>
      <c r="H515" s="247" t="s">
        <v>4787</v>
      </c>
      <c r="J515" s="236"/>
    </row>
    <row r="516" spans="1:10" ht="15" customHeight="1">
      <c r="A516" s="243">
        <f t="shared" si="16"/>
        <v>513</v>
      </c>
      <c r="B516" s="244">
        <v>3515</v>
      </c>
      <c r="C516" s="245" t="s">
        <v>4788</v>
      </c>
      <c r="D516" s="245" t="str">
        <f t="shared" ref="D516:D568" si="17">C516&amp;" ("&amp;B516&amp;")"</f>
        <v>TRGOVAČKI SUD U BJELOVARU (3515)</v>
      </c>
      <c r="E516" s="245" t="s">
        <v>4789</v>
      </c>
      <c r="F516" s="245" t="s">
        <v>3654</v>
      </c>
      <c r="G516" s="246">
        <v>3333299</v>
      </c>
      <c r="H516" s="247" t="s">
        <v>4790</v>
      </c>
      <c r="J516" s="236"/>
    </row>
    <row r="517" spans="1:10" ht="15" customHeight="1">
      <c r="A517" s="243">
        <f t="shared" si="16"/>
        <v>514</v>
      </c>
      <c r="B517" s="244">
        <v>50598</v>
      </c>
      <c r="C517" s="245" t="s">
        <v>4791</v>
      </c>
      <c r="D517" s="245" t="str">
        <f t="shared" si="17"/>
        <v>TRGOVAČKI SUD U DUBROVNIKU (50598)</v>
      </c>
      <c r="E517" s="245" t="s">
        <v>4792</v>
      </c>
      <c r="F517" s="245" t="s">
        <v>313</v>
      </c>
      <c r="G517" s="248" t="s">
        <v>4793</v>
      </c>
      <c r="H517" s="247" t="s">
        <v>4794</v>
      </c>
      <c r="J517" s="236"/>
    </row>
    <row r="518" spans="1:10" ht="15" customHeight="1">
      <c r="A518" s="243">
        <f t="shared" si="16"/>
        <v>515</v>
      </c>
      <c r="B518" s="244">
        <v>3531</v>
      </c>
      <c r="C518" s="245" t="s">
        <v>4795</v>
      </c>
      <c r="D518" s="245" t="str">
        <f t="shared" si="17"/>
        <v>TRGOVAČKI SUD U OSIJEKU (3531)</v>
      </c>
      <c r="E518" s="245" t="s">
        <v>4796</v>
      </c>
      <c r="F518" s="245" t="s">
        <v>278</v>
      </c>
      <c r="G518" s="246">
        <v>3014797</v>
      </c>
      <c r="H518" s="247" t="s">
        <v>4797</v>
      </c>
      <c r="J518" s="236"/>
    </row>
    <row r="519" spans="1:10" ht="15" customHeight="1">
      <c r="A519" s="243">
        <f t="shared" si="16"/>
        <v>516</v>
      </c>
      <c r="B519" s="244">
        <v>48752</v>
      </c>
      <c r="C519" s="245" t="s">
        <v>4798</v>
      </c>
      <c r="D519" s="245" t="str">
        <f t="shared" si="17"/>
        <v>TRGOVAČKI SUD U PAZINU (48752)</v>
      </c>
      <c r="E519" s="245" t="s">
        <v>4799</v>
      </c>
      <c r="F519" s="245" t="s">
        <v>3670</v>
      </c>
      <c r="G519" s="246">
        <v>4344677</v>
      </c>
      <c r="H519" s="247" t="s">
        <v>4800</v>
      </c>
      <c r="J519" s="236"/>
    </row>
    <row r="520" spans="1:10" ht="15" customHeight="1">
      <c r="A520" s="243">
        <f t="shared" si="16"/>
        <v>517</v>
      </c>
      <c r="B520" s="244">
        <v>3540</v>
      </c>
      <c r="C520" s="245" t="s">
        <v>4801</v>
      </c>
      <c r="D520" s="245" t="str">
        <f t="shared" si="17"/>
        <v>TRGOVAČKI SUD U RIJECI (3540)</v>
      </c>
      <c r="E520" s="245" t="s">
        <v>4802</v>
      </c>
      <c r="F520" s="245" t="s">
        <v>320</v>
      </c>
      <c r="G520" s="246">
        <v>3321410</v>
      </c>
      <c r="H520" s="247" t="s">
        <v>4803</v>
      </c>
      <c r="J520" s="236"/>
    </row>
    <row r="521" spans="1:10" ht="15" customHeight="1">
      <c r="A521" s="243">
        <f t="shared" si="16"/>
        <v>518</v>
      </c>
      <c r="B521" s="244">
        <v>3566</v>
      </c>
      <c r="C521" s="245" t="s">
        <v>4804</v>
      </c>
      <c r="D521" s="245" t="str">
        <f t="shared" si="17"/>
        <v>TRGOVAČKI SUD U SPLITU (3566)</v>
      </c>
      <c r="E521" s="245" t="s">
        <v>4805</v>
      </c>
      <c r="F521" s="245" t="s">
        <v>360</v>
      </c>
      <c r="G521" s="246">
        <v>3119505</v>
      </c>
      <c r="H521" s="247" t="s">
        <v>4806</v>
      </c>
      <c r="J521" s="236"/>
    </row>
    <row r="522" spans="1:10" ht="15" customHeight="1">
      <c r="A522" s="243">
        <f t="shared" si="16"/>
        <v>519</v>
      </c>
      <c r="B522" s="244">
        <v>3574</v>
      </c>
      <c r="C522" s="245" t="s">
        <v>4807</v>
      </c>
      <c r="D522" s="245" t="str">
        <f t="shared" si="17"/>
        <v>TRGOVAČKI SUD U VARAŽDINU (3574)</v>
      </c>
      <c r="E522" s="245" t="s">
        <v>4389</v>
      </c>
      <c r="F522" s="245" t="s">
        <v>4808</v>
      </c>
      <c r="G522" s="246">
        <v>3365042</v>
      </c>
      <c r="H522" s="247" t="s">
        <v>4809</v>
      </c>
      <c r="J522" s="236"/>
    </row>
    <row r="523" spans="1:10" ht="15" customHeight="1">
      <c r="A523" s="243">
        <f t="shared" si="16"/>
        <v>520</v>
      </c>
      <c r="B523" s="244">
        <v>23405</v>
      </c>
      <c r="C523" s="245" t="s">
        <v>4810</v>
      </c>
      <c r="D523" s="245" t="str">
        <f t="shared" si="17"/>
        <v>TRGOVAČKI SUD U ZADRU (23405)</v>
      </c>
      <c r="E523" s="245" t="s">
        <v>4811</v>
      </c>
      <c r="F523" s="245" t="s">
        <v>316</v>
      </c>
      <c r="G523" s="246">
        <v>1476793</v>
      </c>
      <c r="H523" s="247" t="s">
        <v>4812</v>
      </c>
      <c r="J523" s="236"/>
    </row>
    <row r="524" spans="1:10" ht="15" customHeight="1">
      <c r="A524" s="243">
        <f t="shared" si="16"/>
        <v>521</v>
      </c>
      <c r="B524" s="244">
        <v>20735</v>
      </c>
      <c r="C524" s="245" t="s">
        <v>4813</v>
      </c>
      <c r="D524" s="245" t="str">
        <f t="shared" si="17"/>
        <v>TRGOVAČKI SUD U ZAGREBU (20735)</v>
      </c>
      <c r="E524" s="245" t="s">
        <v>4814</v>
      </c>
      <c r="F524" s="245" t="s">
        <v>275</v>
      </c>
      <c r="G524" s="246">
        <v>3206092</v>
      </c>
      <c r="H524" s="247" t="s">
        <v>4815</v>
      </c>
      <c r="J524" s="236"/>
    </row>
    <row r="525" spans="1:10" ht="15" customHeight="1">
      <c r="A525" s="243">
        <f t="shared" si="16"/>
        <v>522</v>
      </c>
      <c r="B525" s="244">
        <v>20647</v>
      </c>
      <c r="C525" s="245" t="s">
        <v>4816</v>
      </c>
      <c r="D525" s="245" t="str">
        <f t="shared" si="17"/>
        <v>ŽUPANIJSKO DRŽAVNO ODVJETNIŠTVO U BJELOVARU (20647)</v>
      </c>
      <c r="E525" s="245" t="s">
        <v>4817</v>
      </c>
      <c r="F525" s="245" t="s">
        <v>3654</v>
      </c>
      <c r="G525" s="246">
        <v>3308685</v>
      </c>
      <c r="H525" s="247" t="s">
        <v>4818</v>
      </c>
      <c r="J525" s="236"/>
    </row>
    <row r="526" spans="1:10" ht="15" customHeight="1">
      <c r="A526" s="243">
        <f t="shared" si="16"/>
        <v>523</v>
      </c>
      <c r="B526" s="244">
        <v>3599</v>
      </c>
      <c r="C526" s="245" t="s">
        <v>4819</v>
      </c>
      <c r="D526" s="245" t="str">
        <f t="shared" si="17"/>
        <v>ŽUPANIJSKO DRŽAVNO ODVJETNIŠTVO U DUBROVNIKU (3599)</v>
      </c>
      <c r="E526" s="245" t="s">
        <v>4792</v>
      </c>
      <c r="F526" s="245" t="s">
        <v>313</v>
      </c>
      <c r="G526" s="246">
        <v>3304698</v>
      </c>
      <c r="H526" s="247" t="s">
        <v>4820</v>
      </c>
      <c r="J526" s="236"/>
    </row>
    <row r="527" spans="1:10" ht="15" customHeight="1">
      <c r="A527" s="243">
        <f t="shared" si="16"/>
        <v>524</v>
      </c>
      <c r="B527" s="244">
        <v>3611</v>
      </c>
      <c r="C527" s="245" t="s">
        <v>4821</v>
      </c>
      <c r="D527" s="245" t="str">
        <f t="shared" si="17"/>
        <v>ŽUPANIJSKO DRŽAVNO ODVJETNIŠTVO U KARLOVCU (3611)</v>
      </c>
      <c r="E527" s="245" t="s">
        <v>4751</v>
      </c>
      <c r="F527" s="245" t="s">
        <v>513</v>
      </c>
      <c r="G527" s="246">
        <v>3123545</v>
      </c>
      <c r="H527" s="247" t="s">
        <v>4822</v>
      </c>
      <c r="J527" s="236"/>
    </row>
    <row r="528" spans="1:10" ht="15" customHeight="1">
      <c r="A528" s="243">
        <f t="shared" si="16"/>
        <v>525</v>
      </c>
      <c r="B528" s="244">
        <v>3620</v>
      </c>
      <c r="C528" s="245" t="s">
        <v>4823</v>
      </c>
      <c r="D528" s="245" t="str">
        <f t="shared" si="17"/>
        <v>ŽUPANIJSKO DRŽAVNO ODVJETNIŠTVO U OSIJEKU (3620)</v>
      </c>
      <c r="E528" s="245" t="s">
        <v>4824</v>
      </c>
      <c r="F528" s="245" t="s">
        <v>278</v>
      </c>
      <c r="G528" s="246">
        <v>3014835</v>
      </c>
      <c r="H528" s="247" t="s">
        <v>4825</v>
      </c>
      <c r="J528" s="236"/>
    </row>
    <row r="529" spans="1:10" ht="15" customHeight="1">
      <c r="A529" s="243">
        <f t="shared" si="16"/>
        <v>526</v>
      </c>
      <c r="B529" s="244">
        <v>3646</v>
      </c>
      <c r="C529" s="245" t="s">
        <v>4826</v>
      </c>
      <c r="D529" s="245" t="str">
        <f t="shared" si="17"/>
        <v>ŽUPANIJSKO DRŽAVNO ODVJETNIŠTVO U PULI - POLA (3646)</v>
      </c>
      <c r="E529" s="245" t="s">
        <v>4827</v>
      </c>
      <c r="F529" s="245" t="s">
        <v>306</v>
      </c>
      <c r="G529" s="246">
        <v>3204154</v>
      </c>
      <c r="H529" s="247" t="s">
        <v>4828</v>
      </c>
      <c r="J529" s="236"/>
    </row>
    <row r="530" spans="1:10" ht="15" customHeight="1">
      <c r="A530" s="243">
        <f t="shared" si="16"/>
        <v>527</v>
      </c>
      <c r="B530" s="244">
        <v>3654</v>
      </c>
      <c r="C530" s="245" t="s">
        <v>4829</v>
      </c>
      <c r="D530" s="245" t="str">
        <f t="shared" si="17"/>
        <v>ŽUPANIJSKO DRŽAVNO ODVJETNIŠTVO U RIJECI (3654)</v>
      </c>
      <c r="E530" s="245" t="s">
        <v>4830</v>
      </c>
      <c r="F530" s="245" t="s">
        <v>320</v>
      </c>
      <c r="G530" s="246">
        <v>3332101</v>
      </c>
      <c r="H530" s="247" t="s">
        <v>4831</v>
      </c>
      <c r="J530" s="236"/>
    </row>
    <row r="531" spans="1:10" ht="15" customHeight="1">
      <c r="A531" s="243">
        <f t="shared" si="16"/>
        <v>528</v>
      </c>
      <c r="B531" s="244">
        <v>3662</v>
      </c>
      <c r="C531" s="245" t="s">
        <v>4832</v>
      </c>
      <c r="D531" s="245" t="str">
        <f t="shared" si="17"/>
        <v>ŽUPANIJSKO DRŽAVNO ODVJETNIŠTVO U SISKU (3662)</v>
      </c>
      <c r="E531" s="245" t="s">
        <v>4833</v>
      </c>
      <c r="F531" s="245" t="s">
        <v>1724</v>
      </c>
      <c r="G531" s="246">
        <v>3314758</v>
      </c>
      <c r="H531" s="247" t="s">
        <v>4834</v>
      </c>
      <c r="J531" s="236"/>
    </row>
    <row r="532" spans="1:10" ht="15" customHeight="1">
      <c r="A532" s="243">
        <f t="shared" si="16"/>
        <v>529</v>
      </c>
      <c r="B532" s="244">
        <v>23456</v>
      </c>
      <c r="C532" s="245" t="s">
        <v>4835</v>
      </c>
      <c r="D532" s="245" t="str">
        <f t="shared" si="17"/>
        <v>ŽUPANIJSKO DRŽAVNO ODVJETNIŠTVO U SLAVONSKOM BRODU (23456)</v>
      </c>
      <c r="E532" s="245" t="s">
        <v>4836</v>
      </c>
      <c r="F532" s="245" t="s">
        <v>1769</v>
      </c>
      <c r="G532" s="246">
        <v>1490141</v>
      </c>
      <c r="H532" s="247" t="s">
        <v>4837</v>
      </c>
      <c r="J532" s="236"/>
    </row>
    <row r="533" spans="1:10" ht="15" customHeight="1">
      <c r="A533" s="243">
        <f t="shared" si="16"/>
        <v>530</v>
      </c>
      <c r="B533" s="244">
        <v>3679</v>
      </c>
      <c r="C533" s="245" t="s">
        <v>4838</v>
      </c>
      <c r="D533" s="245" t="str">
        <f t="shared" si="17"/>
        <v>ŽUPANIJSKO DRŽAVNO ODVJETNIŠTVO U SPLITU (3679)</v>
      </c>
      <c r="E533" s="245" t="s">
        <v>4839</v>
      </c>
      <c r="F533" s="245" t="s">
        <v>360</v>
      </c>
      <c r="G533" s="246">
        <v>3118681</v>
      </c>
      <c r="H533" s="247" t="s">
        <v>4840</v>
      </c>
      <c r="J533" s="236"/>
    </row>
    <row r="534" spans="1:10" ht="15" customHeight="1">
      <c r="A534" s="243">
        <f t="shared" si="16"/>
        <v>531</v>
      </c>
      <c r="B534" s="244">
        <v>3687</v>
      </c>
      <c r="C534" s="245" t="s">
        <v>4841</v>
      </c>
      <c r="D534" s="245" t="str">
        <f t="shared" si="17"/>
        <v>ŽUPANIJSKO DRŽAVNO ODVJETNIŠTVO U ŠIBENIKU (3687)</v>
      </c>
      <c r="E534" s="245" t="s">
        <v>4773</v>
      </c>
      <c r="F534" s="245" t="s">
        <v>524</v>
      </c>
      <c r="G534" s="246">
        <v>3023508</v>
      </c>
      <c r="H534" s="247" t="s">
        <v>4842</v>
      </c>
      <c r="J534" s="236"/>
    </row>
    <row r="535" spans="1:10" ht="15" customHeight="1">
      <c r="A535" s="243">
        <f t="shared" si="16"/>
        <v>532</v>
      </c>
      <c r="B535" s="244">
        <v>3695</v>
      </c>
      <c r="C535" s="245" t="s">
        <v>4843</v>
      </c>
      <c r="D535" s="245" t="str">
        <f t="shared" si="17"/>
        <v>ŽUPANIJSKO DRŽAVNO ODVJETNIŠTVO U VARAŽDINU (3695)</v>
      </c>
      <c r="E535" s="245" t="s">
        <v>4389</v>
      </c>
      <c r="F535" s="245" t="s">
        <v>445</v>
      </c>
      <c r="G535" s="246">
        <v>3006743</v>
      </c>
      <c r="H535" s="247" t="s">
        <v>4844</v>
      </c>
      <c r="J535" s="236"/>
    </row>
    <row r="536" spans="1:10" ht="15" customHeight="1">
      <c r="A536" s="243">
        <f t="shared" si="16"/>
        <v>533</v>
      </c>
      <c r="B536" s="244">
        <v>23807</v>
      </c>
      <c r="C536" s="245" t="s">
        <v>4845</v>
      </c>
      <c r="D536" s="245" t="str">
        <f t="shared" si="17"/>
        <v>ŽUPANIJSKO DRŽAVNO ODVJETNIŠTVO U VELIKOJ GORICI (23807)</v>
      </c>
      <c r="E536" s="245" t="s">
        <v>4846</v>
      </c>
      <c r="F536" s="245" t="s">
        <v>3584</v>
      </c>
      <c r="G536" s="246">
        <v>1693646</v>
      </c>
      <c r="H536" s="247" t="s">
        <v>4847</v>
      </c>
      <c r="J536" s="236"/>
    </row>
    <row r="537" spans="1:10" ht="15" customHeight="1">
      <c r="A537" s="243">
        <f t="shared" si="16"/>
        <v>534</v>
      </c>
      <c r="B537" s="244">
        <v>21949</v>
      </c>
      <c r="C537" s="245" t="s">
        <v>4848</v>
      </c>
      <c r="D537" s="245" t="str">
        <f t="shared" si="17"/>
        <v>ŽUPANIJSKO DRŽAVNO ODVJETNIŠTVO U VUKOVARU (21949)</v>
      </c>
      <c r="E537" s="245" t="s">
        <v>4849</v>
      </c>
      <c r="F537" s="245" t="s">
        <v>501</v>
      </c>
      <c r="G537" s="246">
        <v>1312278</v>
      </c>
      <c r="H537" s="247" t="s">
        <v>4850</v>
      </c>
      <c r="J537" s="236"/>
    </row>
    <row r="538" spans="1:10" ht="15" customHeight="1">
      <c r="A538" s="243">
        <f t="shared" si="16"/>
        <v>535</v>
      </c>
      <c r="B538" s="244">
        <v>3700</v>
      </c>
      <c r="C538" s="245" t="s">
        <v>4851</v>
      </c>
      <c r="D538" s="245" t="str">
        <f t="shared" si="17"/>
        <v>ŽUPANIJSKO DRŽAVNO ODVJETNIŠTVO U ZADRU (3700)</v>
      </c>
      <c r="E538" s="245" t="s">
        <v>4784</v>
      </c>
      <c r="F538" s="245" t="s">
        <v>316</v>
      </c>
      <c r="G538" s="246">
        <v>3142469</v>
      </c>
      <c r="H538" s="247" t="s">
        <v>4852</v>
      </c>
      <c r="J538" s="236"/>
    </row>
    <row r="539" spans="1:10" ht="15" customHeight="1">
      <c r="A539" s="243">
        <f t="shared" si="16"/>
        <v>536</v>
      </c>
      <c r="B539" s="244">
        <v>3718</v>
      </c>
      <c r="C539" s="245" t="s">
        <v>4853</v>
      </c>
      <c r="D539" s="245" t="str">
        <f t="shared" si="17"/>
        <v>ŽUPANIJSKO DRŽAVNO ODVJETNIŠTVO U ZAGREBU (3718)</v>
      </c>
      <c r="E539" s="245" t="s">
        <v>4854</v>
      </c>
      <c r="F539" s="245" t="s">
        <v>275</v>
      </c>
      <c r="G539" s="246">
        <v>3277143</v>
      </c>
      <c r="H539" s="247" t="s">
        <v>4855</v>
      </c>
      <c r="J539" s="236"/>
    </row>
    <row r="540" spans="1:10" ht="15" customHeight="1">
      <c r="A540" s="243">
        <f t="shared" si="16"/>
        <v>537</v>
      </c>
      <c r="B540" s="244">
        <v>42910</v>
      </c>
      <c r="C540" s="245" t="s">
        <v>4856</v>
      </c>
      <c r="D540" s="245" t="str">
        <f t="shared" si="17"/>
        <v>OPĆINSKI GRAĐANSKI SUD U ZAGREBU (42910)</v>
      </c>
      <c r="E540" s="245" t="s">
        <v>4857</v>
      </c>
      <c r="F540" s="245" t="s">
        <v>275</v>
      </c>
      <c r="G540" s="246">
        <v>2279215</v>
      </c>
      <c r="H540" s="247" t="s">
        <v>4858</v>
      </c>
      <c r="J540" s="236"/>
    </row>
    <row r="541" spans="1:10" ht="15" customHeight="1">
      <c r="A541" s="243">
        <f t="shared" si="16"/>
        <v>538</v>
      </c>
      <c r="B541" s="244">
        <v>42928</v>
      </c>
      <c r="C541" s="245" t="s">
        <v>4859</v>
      </c>
      <c r="D541" s="245" t="str">
        <f t="shared" si="17"/>
        <v>OPĆINSKI KAZNENI SUD U ZAGREBU (42928)</v>
      </c>
      <c r="E541" s="245" t="s">
        <v>4860</v>
      </c>
      <c r="F541" s="245" t="s">
        <v>275</v>
      </c>
      <c r="G541" s="246">
        <v>2279223</v>
      </c>
      <c r="H541" s="247" t="s">
        <v>4861</v>
      </c>
      <c r="J541" s="236"/>
    </row>
    <row r="542" spans="1:10" ht="15" customHeight="1">
      <c r="A542" s="243">
        <f t="shared" si="16"/>
        <v>539</v>
      </c>
      <c r="B542" s="244">
        <v>20622</v>
      </c>
      <c r="C542" s="245" t="s">
        <v>4862</v>
      </c>
      <c r="D542" s="245" t="str">
        <f t="shared" si="17"/>
        <v>OPĆINSKI PREKRŠAJNI SUD U SPLITU (20622)</v>
      </c>
      <c r="E542" s="245" t="s">
        <v>4863</v>
      </c>
      <c r="F542" s="245" t="s">
        <v>360</v>
      </c>
      <c r="G542" s="246">
        <v>3133800</v>
      </c>
      <c r="H542" s="247" t="s">
        <v>4864</v>
      </c>
      <c r="J542" s="236"/>
    </row>
    <row r="543" spans="1:10" ht="15" customHeight="1">
      <c r="A543" s="243">
        <f t="shared" si="16"/>
        <v>540</v>
      </c>
      <c r="B543" s="244">
        <v>20454</v>
      </c>
      <c r="C543" s="245" t="s">
        <v>4865</v>
      </c>
      <c r="D543" s="245" t="str">
        <f t="shared" si="17"/>
        <v>OPĆINSKI PREKRŠAJNI SUD U ZAGREBU (20454)</v>
      </c>
      <c r="E543" s="245" t="s">
        <v>4866</v>
      </c>
      <c r="F543" s="245" t="s">
        <v>275</v>
      </c>
      <c r="G543" s="246">
        <v>3206041</v>
      </c>
      <c r="H543" s="247" t="s">
        <v>4867</v>
      </c>
      <c r="J543" s="236"/>
    </row>
    <row r="544" spans="1:10" s="236" customFormat="1" ht="15" customHeight="1">
      <c r="A544" s="243">
        <f t="shared" si="16"/>
        <v>541</v>
      </c>
      <c r="B544" s="244">
        <v>46841</v>
      </c>
      <c r="C544" s="245" t="s">
        <v>4868</v>
      </c>
      <c r="D544" s="245" t="str">
        <f t="shared" si="17"/>
        <v>OPĆINSKI RADNI SUD U ZAGREBU (46841)</v>
      </c>
      <c r="E544" s="245" t="s">
        <v>4857</v>
      </c>
      <c r="F544" s="245" t="s">
        <v>275</v>
      </c>
      <c r="G544" s="246">
        <v>2808285</v>
      </c>
      <c r="H544" s="247" t="s">
        <v>4869</v>
      </c>
    </row>
    <row r="545" spans="1:10" ht="15" customHeight="1">
      <c r="A545" s="243">
        <f t="shared" si="16"/>
        <v>542</v>
      </c>
      <c r="B545" s="244">
        <v>3742</v>
      </c>
      <c r="C545" s="245" t="s">
        <v>4870</v>
      </c>
      <c r="D545" s="245" t="str">
        <f t="shared" si="17"/>
        <v>OPĆINSKI SUD U BJELOVARU (3742)</v>
      </c>
      <c r="E545" s="245" t="s">
        <v>4871</v>
      </c>
      <c r="F545" s="245" t="s">
        <v>3654</v>
      </c>
      <c r="G545" s="246">
        <v>3317072</v>
      </c>
      <c r="H545" s="247" t="s">
        <v>4872</v>
      </c>
      <c r="J545" s="236"/>
    </row>
    <row r="546" spans="1:10" ht="15" customHeight="1">
      <c r="A546" s="243">
        <f t="shared" si="16"/>
        <v>543</v>
      </c>
      <c r="B546" s="244">
        <v>50514</v>
      </c>
      <c r="C546" s="245" t="s">
        <v>4873</v>
      </c>
      <c r="D546" s="245" t="str">
        <f t="shared" si="17"/>
        <v>OPĆINSKI SUD U CRIKVENICI (50514)</v>
      </c>
      <c r="E546" s="245" t="s">
        <v>4874</v>
      </c>
      <c r="F546" s="245" t="s">
        <v>4078</v>
      </c>
      <c r="G546" s="248" t="s">
        <v>4875</v>
      </c>
      <c r="H546" s="247" t="s">
        <v>4876</v>
      </c>
      <c r="J546" s="236"/>
    </row>
    <row r="547" spans="1:10" ht="15" customHeight="1">
      <c r="A547" s="243">
        <f t="shared" si="16"/>
        <v>544</v>
      </c>
      <c r="B547" s="244">
        <v>3783</v>
      </c>
      <c r="C547" s="245" t="s">
        <v>4877</v>
      </c>
      <c r="D547" s="245" t="str">
        <f t="shared" si="17"/>
        <v>OPĆINSKI SUD U ČAKOVCU (3783)</v>
      </c>
      <c r="E547" s="245" t="s">
        <v>4878</v>
      </c>
      <c r="F547" s="245" t="s">
        <v>494</v>
      </c>
      <c r="G547" s="246">
        <v>3110761</v>
      </c>
      <c r="H547" s="247" t="s">
        <v>4879</v>
      </c>
      <c r="J547" s="236"/>
    </row>
    <row r="548" spans="1:10" ht="15" customHeight="1">
      <c r="A548" s="243">
        <f t="shared" si="16"/>
        <v>545</v>
      </c>
      <c r="B548" s="244">
        <v>3847</v>
      </c>
      <c r="C548" s="245" t="s">
        <v>4880</v>
      </c>
      <c r="D548" s="245" t="str">
        <f t="shared" si="17"/>
        <v>OPĆINSKI SUD U DUBROVNIKU (3847)</v>
      </c>
      <c r="E548" s="245" t="s">
        <v>4792</v>
      </c>
      <c r="F548" s="245" t="s">
        <v>313</v>
      </c>
      <c r="G548" s="246">
        <v>3304671</v>
      </c>
      <c r="H548" s="247" t="s">
        <v>4881</v>
      </c>
      <c r="J548" s="236"/>
    </row>
    <row r="549" spans="1:10" ht="15" customHeight="1">
      <c r="A549" s="243">
        <f t="shared" si="16"/>
        <v>546</v>
      </c>
      <c r="B549" s="244">
        <v>50522</v>
      </c>
      <c r="C549" s="245" t="s">
        <v>4882</v>
      </c>
      <c r="D549" s="245" t="str">
        <f t="shared" si="17"/>
        <v>OPĆINSKI SUD U ĐAKOVU (50522)</v>
      </c>
      <c r="E549" s="245" t="s">
        <v>4883</v>
      </c>
      <c r="F549" s="245" t="s">
        <v>299</v>
      </c>
      <c r="G549" s="248" t="s">
        <v>4884</v>
      </c>
      <c r="H549" s="247" t="s">
        <v>4885</v>
      </c>
      <c r="J549" s="236"/>
    </row>
    <row r="550" spans="1:10" ht="15" customHeight="1">
      <c r="A550" s="243">
        <f t="shared" si="16"/>
        <v>547</v>
      </c>
      <c r="B550" s="244">
        <v>3919</v>
      </c>
      <c r="C550" s="245" t="s">
        <v>4886</v>
      </c>
      <c r="D550" s="245" t="str">
        <f t="shared" si="17"/>
        <v>OPĆINSKI SUD U GOSPIĆU (3919)</v>
      </c>
      <c r="E550" s="245" t="s">
        <v>4887</v>
      </c>
      <c r="F550" s="245" t="s">
        <v>509</v>
      </c>
      <c r="G550" s="246">
        <v>3315886</v>
      </c>
      <c r="H550" s="247" t="s">
        <v>4888</v>
      </c>
      <c r="J550" s="236"/>
    </row>
    <row r="551" spans="1:10" ht="15" customHeight="1">
      <c r="A551" s="243">
        <f t="shared" si="16"/>
        <v>548</v>
      </c>
      <c r="B551" s="244">
        <v>20892</v>
      </c>
      <c r="C551" s="245" t="s">
        <v>4889</v>
      </c>
      <c r="D551" s="245" t="str">
        <f t="shared" si="17"/>
        <v>OPĆINSKI SUD U KARLOVCU (20892)</v>
      </c>
      <c r="E551" s="245" t="s">
        <v>4751</v>
      </c>
      <c r="F551" s="245" t="s">
        <v>513</v>
      </c>
      <c r="G551" s="246">
        <v>3123499</v>
      </c>
      <c r="H551" s="247" t="s">
        <v>4890</v>
      </c>
      <c r="J551" s="236"/>
    </row>
    <row r="552" spans="1:10" ht="15" customHeight="1">
      <c r="A552" s="243">
        <f t="shared" si="16"/>
        <v>549</v>
      </c>
      <c r="B552" s="244">
        <v>3994</v>
      </c>
      <c r="C552" s="245" t="s">
        <v>4891</v>
      </c>
      <c r="D552" s="245" t="str">
        <f t="shared" si="17"/>
        <v>OPĆINSKI SUD U KOPRIVNICI (3994)</v>
      </c>
      <c r="E552" s="245" t="s">
        <v>4892</v>
      </c>
      <c r="F552" s="245" t="s">
        <v>309</v>
      </c>
      <c r="G552" s="246">
        <v>3010805</v>
      </c>
      <c r="H552" s="247" t="s">
        <v>4893</v>
      </c>
      <c r="J552" s="236"/>
    </row>
    <row r="553" spans="1:10" ht="15" customHeight="1">
      <c r="A553" s="243">
        <f t="shared" si="16"/>
        <v>550</v>
      </c>
      <c r="B553" s="244">
        <v>50539</v>
      </c>
      <c r="C553" s="245" t="s">
        <v>4894</v>
      </c>
      <c r="D553" s="245" t="str">
        <f t="shared" si="17"/>
        <v>OPĆINSKI SUD U KUTINI (50539)</v>
      </c>
      <c r="E553" s="245" t="s">
        <v>4895</v>
      </c>
      <c r="F553" s="245" t="s">
        <v>4279</v>
      </c>
      <c r="G553" s="248" t="s">
        <v>4896</v>
      </c>
      <c r="H553" s="247" t="s">
        <v>4897</v>
      </c>
      <c r="J553" s="236"/>
    </row>
    <row r="554" spans="1:10" ht="15" customHeight="1">
      <c r="A554" s="243">
        <f t="shared" si="16"/>
        <v>551</v>
      </c>
      <c r="B554" s="244">
        <v>50547</v>
      </c>
      <c r="C554" s="245" t="s">
        <v>4898</v>
      </c>
      <c r="D554" s="245" t="str">
        <f t="shared" si="17"/>
        <v>OPĆINSKI SUD U MAKARSKOJ (50547)</v>
      </c>
      <c r="E554" s="245" t="s">
        <v>4899</v>
      </c>
      <c r="F554" s="245" t="s">
        <v>3937</v>
      </c>
      <c r="G554" s="248" t="s">
        <v>4900</v>
      </c>
      <c r="H554" s="247" t="s">
        <v>4901</v>
      </c>
      <c r="J554" s="236"/>
    </row>
    <row r="555" spans="1:10" ht="15" customHeight="1">
      <c r="A555" s="243">
        <f t="shared" si="16"/>
        <v>552</v>
      </c>
      <c r="B555" s="244">
        <v>50555</v>
      </c>
      <c r="C555" s="245" t="s">
        <v>4902</v>
      </c>
      <c r="D555" s="245" t="str">
        <f t="shared" si="17"/>
        <v>OPĆINSKI SUD U METKOVIĆU (50555)</v>
      </c>
      <c r="E555" s="245" t="s">
        <v>4903</v>
      </c>
      <c r="F555" s="245" t="s">
        <v>4294</v>
      </c>
      <c r="G555" s="248" t="s">
        <v>4904</v>
      </c>
      <c r="H555" s="247" t="s">
        <v>4905</v>
      </c>
      <c r="J555" s="236"/>
    </row>
    <row r="556" spans="1:10" ht="15" customHeight="1">
      <c r="A556" s="243">
        <f t="shared" si="16"/>
        <v>553</v>
      </c>
      <c r="B556" s="244">
        <v>48769</v>
      </c>
      <c r="C556" s="245" t="s">
        <v>4906</v>
      </c>
      <c r="D556" s="245" t="str">
        <f t="shared" si="17"/>
        <v>OPĆINSKI SUD U NOVOM ZAGREBU (48769)</v>
      </c>
      <c r="E556" s="245" t="s">
        <v>4907</v>
      </c>
      <c r="F556" s="245" t="s">
        <v>275</v>
      </c>
      <c r="G556" s="246">
        <v>4341872</v>
      </c>
      <c r="H556" s="247" t="s">
        <v>4908</v>
      </c>
      <c r="J556" s="236"/>
    </row>
    <row r="557" spans="1:10" ht="15" customHeight="1">
      <c r="A557" s="243">
        <f t="shared" si="16"/>
        <v>554</v>
      </c>
      <c r="B557" s="244">
        <v>4132</v>
      </c>
      <c r="C557" s="245" t="s">
        <v>4909</v>
      </c>
      <c r="D557" s="245" t="str">
        <f t="shared" si="17"/>
        <v>OPĆINSKI SUD U OSIJEKU (4132)</v>
      </c>
      <c r="E557" s="245" t="s">
        <v>4910</v>
      </c>
      <c r="F557" s="245" t="s">
        <v>278</v>
      </c>
      <c r="G557" s="246">
        <v>3014789</v>
      </c>
      <c r="H557" s="247" t="s">
        <v>4911</v>
      </c>
      <c r="J557" s="236"/>
    </row>
    <row r="558" spans="1:10" ht="15" customHeight="1">
      <c r="A558" s="243">
        <f t="shared" si="16"/>
        <v>555</v>
      </c>
      <c r="B558" s="244">
        <v>50563</v>
      </c>
      <c r="C558" s="245" t="s">
        <v>4912</v>
      </c>
      <c r="D558" s="245" t="str">
        <f t="shared" si="17"/>
        <v>OPĆINSKI SUD U PAZINU (50563)</v>
      </c>
      <c r="E558" s="245" t="s">
        <v>4913</v>
      </c>
      <c r="F558" s="245" t="s">
        <v>3670</v>
      </c>
      <c r="G558" s="248" t="s">
        <v>4914</v>
      </c>
      <c r="H558" s="247" t="s">
        <v>4915</v>
      </c>
      <c r="J558" s="236"/>
    </row>
    <row r="559" spans="1:10" ht="15" customHeight="1">
      <c r="A559" s="243">
        <f t="shared" si="16"/>
        <v>556</v>
      </c>
      <c r="B559" s="244">
        <v>4212</v>
      </c>
      <c r="C559" s="245" t="s">
        <v>4916</v>
      </c>
      <c r="D559" s="245" t="str">
        <f t="shared" si="17"/>
        <v>OPĆINSKI SUD U POŽEGI (4212)</v>
      </c>
      <c r="E559" s="245" t="s">
        <v>4917</v>
      </c>
      <c r="F559" s="245" t="s">
        <v>517</v>
      </c>
      <c r="G559" s="246">
        <v>3310302</v>
      </c>
      <c r="H559" s="247" t="s">
        <v>4918</v>
      </c>
      <c r="J559" s="236"/>
    </row>
    <row r="560" spans="1:10" ht="15" customHeight="1">
      <c r="A560" s="243">
        <f t="shared" si="16"/>
        <v>557</v>
      </c>
      <c r="B560" s="244">
        <v>4237</v>
      </c>
      <c r="C560" s="245" t="s">
        <v>4919</v>
      </c>
      <c r="D560" s="245" t="str">
        <f t="shared" si="17"/>
        <v>OPĆINSKI SUD U PULI - POLA (4237)</v>
      </c>
      <c r="E560" s="245" t="s">
        <v>4920</v>
      </c>
      <c r="F560" s="245" t="s">
        <v>306</v>
      </c>
      <c r="G560" s="246">
        <v>3204120</v>
      </c>
      <c r="H560" s="247" t="s">
        <v>4921</v>
      </c>
      <c r="J560" s="236"/>
    </row>
    <row r="561" spans="1:10" ht="15" customHeight="1">
      <c r="A561" s="243">
        <f t="shared" si="16"/>
        <v>558</v>
      </c>
      <c r="B561" s="244">
        <v>4253</v>
      </c>
      <c r="C561" s="245" t="s">
        <v>4922</v>
      </c>
      <c r="D561" s="245" t="str">
        <f t="shared" si="17"/>
        <v>OPĆINSKI SUD U RIJECI (4253)</v>
      </c>
      <c r="E561" s="245" t="s">
        <v>4761</v>
      </c>
      <c r="F561" s="245" t="s">
        <v>320</v>
      </c>
      <c r="G561" s="246">
        <v>3321428</v>
      </c>
      <c r="H561" s="247" t="s">
        <v>4923</v>
      </c>
      <c r="J561" s="236"/>
    </row>
    <row r="562" spans="1:10" ht="15" customHeight="1">
      <c r="A562" s="243">
        <f t="shared" si="16"/>
        <v>559</v>
      </c>
      <c r="B562" s="244">
        <v>50571</v>
      </c>
      <c r="C562" s="245" t="s">
        <v>4924</v>
      </c>
      <c r="D562" s="245" t="str">
        <f t="shared" si="17"/>
        <v>OPĆINSKI SUD U SESVETAMA (50571)</v>
      </c>
      <c r="E562" s="245" t="s">
        <v>4925</v>
      </c>
      <c r="F562" s="245" t="s">
        <v>4926</v>
      </c>
      <c r="G562" s="248" t="s">
        <v>4927</v>
      </c>
      <c r="H562" s="247" t="s">
        <v>4928</v>
      </c>
      <c r="J562" s="236"/>
    </row>
    <row r="563" spans="1:10" ht="15" customHeight="1">
      <c r="A563" s="243">
        <f t="shared" si="16"/>
        <v>560</v>
      </c>
      <c r="B563" s="244">
        <v>4307</v>
      </c>
      <c r="C563" s="245" t="s">
        <v>4929</v>
      </c>
      <c r="D563" s="245" t="str">
        <f t="shared" si="17"/>
        <v>OPĆINSKI SUD U SISKU (4307)</v>
      </c>
      <c r="E563" s="245" t="s">
        <v>4764</v>
      </c>
      <c r="F563" s="245" t="s">
        <v>1724</v>
      </c>
      <c r="G563" s="246">
        <v>3314723</v>
      </c>
      <c r="H563" s="247" t="s">
        <v>4930</v>
      </c>
      <c r="J563" s="236"/>
    </row>
    <row r="564" spans="1:10" ht="15" customHeight="1">
      <c r="A564" s="243">
        <f t="shared" si="16"/>
        <v>561</v>
      </c>
      <c r="B564" s="244">
        <v>4323</v>
      </c>
      <c r="C564" s="245" t="s">
        <v>4931</v>
      </c>
      <c r="D564" s="245" t="str">
        <f t="shared" si="17"/>
        <v>OPĆINSKI SUD U SLAVONSKOM BRODU (4323)</v>
      </c>
      <c r="E564" s="245" t="s">
        <v>4932</v>
      </c>
      <c r="F564" s="245" t="s">
        <v>1769</v>
      </c>
      <c r="G564" s="246">
        <v>3071456</v>
      </c>
      <c r="H564" s="247" t="s">
        <v>4933</v>
      </c>
      <c r="J564" s="236"/>
    </row>
    <row r="565" spans="1:10" ht="15" customHeight="1">
      <c r="A565" s="243">
        <f t="shared" si="16"/>
        <v>562</v>
      </c>
      <c r="B565" s="244">
        <v>21004</v>
      </c>
      <c r="C565" s="245" t="s">
        <v>4934</v>
      </c>
      <c r="D565" s="245" t="str">
        <f t="shared" si="17"/>
        <v>OPĆINSKI SUD U SPLITU (21004)</v>
      </c>
      <c r="E565" s="245" t="s">
        <v>4935</v>
      </c>
      <c r="F565" s="245" t="s">
        <v>360</v>
      </c>
      <c r="G565" s="246">
        <v>3118665</v>
      </c>
      <c r="H565" s="247" t="s">
        <v>4936</v>
      </c>
      <c r="J565" s="236"/>
    </row>
    <row r="566" spans="1:10" ht="15" customHeight="1">
      <c r="A566" s="243">
        <f t="shared" si="16"/>
        <v>563</v>
      </c>
      <c r="B566" s="244">
        <v>4340</v>
      </c>
      <c r="C566" s="245" t="s">
        <v>4937</v>
      </c>
      <c r="D566" s="245" t="str">
        <f t="shared" si="17"/>
        <v>OPĆINSKI SUD U ŠIBENIKU (4340)</v>
      </c>
      <c r="E566" s="245" t="s">
        <v>4773</v>
      </c>
      <c r="F566" s="245" t="s">
        <v>524</v>
      </c>
      <c r="G566" s="246">
        <v>3019772</v>
      </c>
      <c r="H566" s="247" t="s">
        <v>4938</v>
      </c>
      <c r="J566" s="236"/>
    </row>
    <row r="567" spans="1:10" ht="15" customHeight="1">
      <c r="A567" s="243">
        <f t="shared" si="16"/>
        <v>564</v>
      </c>
      <c r="B567" s="244">
        <v>4366</v>
      </c>
      <c r="C567" s="245" t="s">
        <v>4939</v>
      </c>
      <c r="D567" s="245" t="str">
        <f t="shared" si="17"/>
        <v>OPĆINSKI SUD U VARAŽDINU (4366)</v>
      </c>
      <c r="E567" s="245" t="s">
        <v>4389</v>
      </c>
      <c r="F567" s="245" t="s">
        <v>445</v>
      </c>
      <c r="G567" s="246">
        <v>3006697</v>
      </c>
      <c r="H567" s="247" t="s">
        <v>4940</v>
      </c>
      <c r="J567" s="236"/>
    </row>
    <row r="568" spans="1:10" ht="15" customHeight="1">
      <c r="A568" s="243">
        <f t="shared" si="16"/>
        <v>565</v>
      </c>
      <c r="B568" s="244">
        <v>4374</v>
      </c>
      <c r="C568" s="245" t="s">
        <v>4941</v>
      </c>
      <c r="D568" s="245" t="str">
        <f t="shared" si="17"/>
        <v>OPĆINSKI SUD U VELIKOJ GORICI (4374)</v>
      </c>
      <c r="E568" s="245" t="s">
        <v>4942</v>
      </c>
      <c r="F568" s="245" t="s">
        <v>3584</v>
      </c>
      <c r="G568" s="246">
        <v>3216365</v>
      </c>
      <c r="H568" s="247" t="s">
        <v>4943</v>
      </c>
      <c r="J568" s="236"/>
    </row>
    <row r="569" spans="1:10" ht="15" customHeight="1">
      <c r="A569" s="243">
        <f t="shared" si="16"/>
        <v>566</v>
      </c>
      <c r="B569" s="244">
        <v>50580</v>
      </c>
      <c r="C569" s="245" t="s">
        <v>4944</v>
      </c>
      <c r="D569" s="245" t="str">
        <f>C569&amp;" ("&amp;B569&amp;")"</f>
        <v>OPĆINSKI SUD U VINKOVCIMA (50580)</v>
      </c>
      <c r="E569" s="245" t="s">
        <v>4945</v>
      </c>
      <c r="F569" s="245" t="s">
        <v>4449</v>
      </c>
      <c r="G569" s="248" t="s">
        <v>4946</v>
      </c>
      <c r="H569" s="247" t="s">
        <v>4947</v>
      </c>
      <c r="J569" s="236"/>
    </row>
    <row r="570" spans="1:10" ht="15" customHeight="1">
      <c r="A570" s="243">
        <f t="shared" si="16"/>
        <v>567</v>
      </c>
      <c r="B570" s="244">
        <v>4399</v>
      </c>
      <c r="C570" s="245" t="s">
        <v>4948</v>
      </c>
      <c r="D570" s="245" t="str">
        <f t="shared" ref="D570:D614" si="18">C570&amp;" ("&amp;B570&amp;")"</f>
        <v>OPĆINSKI SUD U VIROVITICI (4399)</v>
      </c>
      <c r="E570" s="245" t="s">
        <v>4949</v>
      </c>
      <c r="F570" s="245" t="s">
        <v>527</v>
      </c>
      <c r="G570" s="246">
        <v>3106071</v>
      </c>
      <c r="H570" s="247" t="s">
        <v>4950</v>
      </c>
      <c r="J570" s="236"/>
    </row>
    <row r="571" spans="1:10" ht="15" customHeight="1">
      <c r="A571" s="243">
        <f t="shared" si="16"/>
        <v>568</v>
      </c>
      <c r="B571" s="244">
        <v>4420</v>
      </c>
      <c r="C571" s="245" t="s">
        <v>4951</v>
      </c>
      <c r="D571" s="245" t="str">
        <f t="shared" si="18"/>
        <v>OPĆINSKI SUD U VUKOVARU (4420)</v>
      </c>
      <c r="E571" s="245" t="s">
        <v>4952</v>
      </c>
      <c r="F571" s="245" t="s">
        <v>501</v>
      </c>
      <c r="G571" s="246">
        <v>3008886</v>
      </c>
      <c r="H571" s="247" t="s">
        <v>4953</v>
      </c>
      <c r="J571" s="236"/>
    </row>
    <row r="572" spans="1:10" ht="15" customHeight="1">
      <c r="A572" s="243">
        <f t="shared" ref="A572:A614" si="19">+A571+1</f>
        <v>569</v>
      </c>
      <c r="B572" s="244">
        <v>4446</v>
      </c>
      <c r="C572" s="245" t="s">
        <v>4954</v>
      </c>
      <c r="D572" s="245" t="str">
        <f t="shared" si="18"/>
        <v>OPĆINSKI SUD U ZADRU (4446)</v>
      </c>
      <c r="E572" s="245" t="s">
        <v>4784</v>
      </c>
      <c r="F572" s="245" t="s">
        <v>316</v>
      </c>
      <c r="G572" s="246">
        <v>3142442</v>
      </c>
      <c r="H572" s="247" t="s">
        <v>4955</v>
      </c>
      <c r="J572" s="236"/>
    </row>
    <row r="573" spans="1:10" ht="15" customHeight="1">
      <c r="A573" s="243">
        <f t="shared" si="19"/>
        <v>570</v>
      </c>
      <c r="B573" s="244">
        <v>4462</v>
      </c>
      <c r="C573" s="245" t="s">
        <v>4956</v>
      </c>
      <c r="D573" s="245" t="str">
        <f t="shared" si="18"/>
        <v>OPĆINSKI SUD U ZLATARU (4462)</v>
      </c>
      <c r="E573" s="245" t="s">
        <v>4957</v>
      </c>
      <c r="F573" s="245" t="s">
        <v>4958</v>
      </c>
      <c r="G573" s="246">
        <v>3100952</v>
      </c>
      <c r="H573" s="247" t="s">
        <v>4959</v>
      </c>
      <c r="J573" s="236"/>
    </row>
    <row r="574" spans="1:10" ht="15" customHeight="1">
      <c r="A574" s="243">
        <f t="shared" si="19"/>
        <v>571</v>
      </c>
      <c r="B574" s="244">
        <v>4500</v>
      </c>
      <c r="C574" s="245" t="s">
        <v>4960</v>
      </c>
      <c r="D574" s="245" t="str">
        <f t="shared" si="18"/>
        <v>OPĆINSKO DRŽAVNO ODVJETNIŠTVO U BJELOVARU (4500)</v>
      </c>
      <c r="E574" s="245" t="s">
        <v>4745</v>
      </c>
      <c r="F574" s="245" t="s">
        <v>3654</v>
      </c>
      <c r="G574" s="246">
        <v>3308693</v>
      </c>
      <c r="H574" s="247" t="s">
        <v>4961</v>
      </c>
      <c r="J574" s="236"/>
    </row>
    <row r="575" spans="1:10" ht="15" customHeight="1">
      <c r="A575" s="243">
        <f t="shared" si="19"/>
        <v>572</v>
      </c>
      <c r="B575" s="244">
        <v>4526</v>
      </c>
      <c r="C575" s="245" t="s">
        <v>4962</v>
      </c>
      <c r="D575" s="245" t="str">
        <f t="shared" si="18"/>
        <v>OPĆINSKO DRŽAVNO ODVJETNIŠTVO U ČAKOVCU (4526)</v>
      </c>
      <c r="E575" s="245" t="s">
        <v>4878</v>
      </c>
      <c r="F575" s="245" t="s">
        <v>494</v>
      </c>
      <c r="G575" s="246">
        <v>3110770</v>
      </c>
      <c r="H575" s="247" t="s">
        <v>4963</v>
      </c>
      <c r="J575" s="236"/>
    </row>
    <row r="576" spans="1:10" ht="15" customHeight="1">
      <c r="A576" s="243">
        <f t="shared" si="19"/>
        <v>573</v>
      </c>
      <c r="B576" s="244">
        <v>4567</v>
      </c>
      <c r="C576" s="245" t="s">
        <v>4964</v>
      </c>
      <c r="D576" s="245" t="str">
        <f t="shared" si="18"/>
        <v>OPĆINSKO DRŽAVNO ODVJETNIŠTVO U DUBROVNIKU (4567)</v>
      </c>
      <c r="E576" s="245" t="s">
        <v>4792</v>
      </c>
      <c r="F576" s="245" t="s">
        <v>313</v>
      </c>
      <c r="G576" s="246">
        <v>3364968</v>
      </c>
      <c r="H576" s="247" t="s">
        <v>4965</v>
      </c>
      <c r="J576" s="236"/>
    </row>
    <row r="577" spans="1:10" ht="15" customHeight="1">
      <c r="A577" s="243">
        <f t="shared" si="19"/>
        <v>574</v>
      </c>
      <c r="B577" s="244">
        <v>4606</v>
      </c>
      <c r="C577" s="245" t="s">
        <v>4966</v>
      </c>
      <c r="D577" s="245" t="str">
        <f t="shared" si="18"/>
        <v>OPĆINSKO DRŽAVNO ODVJETNIŠTVO U GOSPIĆU (4606)</v>
      </c>
      <c r="E577" s="245" t="s">
        <v>4887</v>
      </c>
      <c r="F577" s="245" t="s">
        <v>509</v>
      </c>
      <c r="G577" s="246">
        <v>3315908</v>
      </c>
      <c r="H577" s="247" t="s">
        <v>4967</v>
      </c>
      <c r="J577" s="236"/>
    </row>
    <row r="578" spans="1:10" ht="15" customHeight="1">
      <c r="A578" s="243">
        <f t="shared" si="19"/>
        <v>575</v>
      </c>
      <c r="B578" s="244">
        <v>20270</v>
      </c>
      <c r="C578" s="245" t="s">
        <v>4968</v>
      </c>
      <c r="D578" s="245" t="str">
        <f t="shared" si="18"/>
        <v>OPĆINSKO DRŽAVNO ODVJETNIŠTVO U KARLOVCU (20270)</v>
      </c>
      <c r="E578" s="245" t="s">
        <v>4751</v>
      </c>
      <c r="F578" s="245" t="s">
        <v>513</v>
      </c>
      <c r="G578" s="246">
        <v>3123537</v>
      </c>
      <c r="H578" s="247" t="s">
        <v>4969</v>
      </c>
      <c r="J578" s="236"/>
    </row>
    <row r="579" spans="1:10" ht="15" customHeight="1">
      <c r="A579" s="243">
        <f t="shared" si="19"/>
        <v>576</v>
      </c>
      <c r="B579" s="244">
        <v>4655</v>
      </c>
      <c r="C579" s="245" t="s">
        <v>4970</v>
      </c>
      <c r="D579" s="245" t="str">
        <f t="shared" si="18"/>
        <v>OPĆINSKO DRŽAVNO ODVJETNIŠTVO U KOPRIVNICI (4655)</v>
      </c>
      <c r="E579" s="245" t="s">
        <v>4971</v>
      </c>
      <c r="F579" s="245" t="s">
        <v>309</v>
      </c>
      <c r="G579" s="246">
        <v>3010813</v>
      </c>
      <c r="H579" s="247" t="s">
        <v>4972</v>
      </c>
      <c r="J579" s="236"/>
    </row>
    <row r="580" spans="1:10" ht="15" customHeight="1">
      <c r="A580" s="243">
        <f t="shared" si="19"/>
        <v>577</v>
      </c>
      <c r="B580" s="244">
        <v>50483</v>
      </c>
      <c r="C580" s="245" t="s">
        <v>4973</v>
      </c>
      <c r="D580" s="245" t="str">
        <f t="shared" si="18"/>
        <v>OPĆINSKO DRŽAVNO ODVJETNIŠTVO U METKOVIĆU (50483)</v>
      </c>
      <c r="E580" s="245" t="s">
        <v>4903</v>
      </c>
      <c r="F580" s="245" t="s">
        <v>4294</v>
      </c>
      <c r="G580" s="248" t="s">
        <v>4974</v>
      </c>
      <c r="H580" s="247" t="s">
        <v>4975</v>
      </c>
      <c r="J580" s="236"/>
    </row>
    <row r="581" spans="1:10" ht="15" customHeight="1">
      <c r="A581" s="243">
        <f t="shared" si="19"/>
        <v>578</v>
      </c>
      <c r="B581" s="244">
        <v>48785</v>
      </c>
      <c r="C581" s="245" t="s">
        <v>4976</v>
      </c>
      <c r="D581" s="245" t="str">
        <f t="shared" si="18"/>
        <v>OPĆINSKO DRŽAVNO ODVJETNIŠTVO U NOVOM ZAGREBU (48785)</v>
      </c>
      <c r="E581" s="245" t="s">
        <v>4907</v>
      </c>
      <c r="F581" s="245" t="s">
        <v>275</v>
      </c>
      <c r="G581" s="246">
        <v>4355784</v>
      </c>
      <c r="H581" s="247" t="s">
        <v>4977</v>
      </c>
      <c r="J581" s="236"/>
    </row>
    <row r="582" spans="1:10" ht="15" customHeight="1">
      <c r="A582" s="243">
        <f t="shared" si="19"/>
        <v>579</v>
      </c>
      <c r="B582" s="244">
        <v>4760</v>
      </c>
      <c r="C582" s="245" t="s">
        <v>4978</v>
      </c>
      <c r="D582" s="245" t="str">
        <f t="shared" si="18"/>
        <v>OPĆINSKO DRŽAVNO ODVJETNIŠTVO U OSIJEKU (4760)</v>
      </c>
      <c r="E582" s="245" t="s">
        <v>4979</v>
      </c>
      <c r="F582" s="245" t="s">
        <v>278</v>
      </c>
      <c r="G582" s="246">
        <v>3014827</v>
      </c>
      <c r="H582" s="247" t="s">
        <v>4980</v>
      </c>
      <c r="J582" s="236"/>
    </row>
    <row r="583" spans="1:10" ht="15" customHeight="1">
      <c r="A583" s="243">
        <f t="shared" si="19"/>
        <v>580</v>
      </c>
      <c r="B583" s="244">
        <v>50491</v>
      </c>
      <c r="C583" s="245" t="s">
        <v>4981</v>
      </c>
      <c r="D583" s="245" t="str">
        <f t="shared" si="18"/>
        <v>OPĆINSKO DRŽAVNO ODVJETNIŠTVO U PAZINU (50491)</v>
      </c>
      <c r="E583" s="245" t="s">
        <v>4982</v>
      </c>
      <c r="F583" s="245" t="s">
        <v>3670</v>
      </c>
      <c r="G583" s="248" t="s">
        <v>4983</v>
      </c>
      <c r="H583" s="266" t="s">
        <v>4984</v>
      </c>
      <c r="J583" s="236"/>
    </row>
    <row r="584" spans="1:10" ht="15" customHeight="1">
      <c r="A584" s="243">
        <f t="shared" si="19"/>
        <v>581</v>
      </c>
      <c r="B584" s="244">
        <v>4809</v>
      </c>
      <c r="C584" s="245" t="s">
        <v>4985</v>
      </c>
      <c r="D584" s="245" t="str">
        <f t="shared" si="18"/>
        <v>OPĆINSKO DRŽAVNO ODVJETNIŠTVO U POŽEGI (4809)</v>
      </c>
      <c r="E584" s="245" t="s">
        <v>4917</v>
      </c>
      <c r="F584" s="245" t="s">
        <v>517</v>
      </c>
      <c r="G584" s="246">
        <v>3310744</v>
      </c>
      <c r="H584" s="247" t="s">
        <v>4986</v>
      </c>
      <c r="J584" s="236"/>
    </row>
    <row r="585" spans="1:10" ht="15" customHeight="1">
      <c r="A585" s="243">
        <f t="shared" si="19"/>
        <v>582</v>
      </c>
      <c r="B585" s="244">
        <v>4817</v>
      </c>
      <c r="C585" s="245" t="s">
        <v>4987</v>
      </c>
      <c r="D585" s="245" t="str">
        <f t="shared" si="18"/>
        <v>OPĆINSKO DRŽAVNO ODVJETNIŠTVO U PULI - POLA (4817)</v>
      </c>
      <c r="E585" s="245" t="s">
        <v>4827</v>
      </c>
      <c r="F585" s="245" t="s">
        <v>306</v>
      </c>
      <c r="G585" s="246">
        <v>3204146</v>
      </c>
      <c r="H585" s="247" t="s">
        <v>4988</v>
      </c>
      <c r="J585" s="236"/>
    </row>
    <row r="586" spans="1:10" ht="15" customHeight="1">
      <c r="A586" s="243">
        <f t="shared" si="19"/>
        <v>583</v>
      </c>
      <c r="B586" s="244">
        <v>4825</v>
      </c>
      <c r="C586" s="245" t="s">
        <v>4989</v>
      </c>
      <c r="D586" s="245" t="str">
        <f t="shared" si="18"/>
        <v>OPĆINSKO DRŽAVNO ODVJETNIŠTVO U RIJECI (4825)</v>
      </c>
      <c r="E586" s="245" t="s">
        <v>4990</v>
      </c>
      <c r="F586" s="245" t="s">
        <v>320</v>
      </c>
      <c r="G586" s="246">
        <v>3321436</v>
      </c>
      <c r="H586" s="247" t="s">
        <v>4991</v>
      </c>
      <c r="J586" s="236"/>
    </row>
    <row r="587" spans="1:10" ht="15" customHeight="1">
      <c r="A587" s="243">
        <f t="shared" si="19"/>
        <v>584</v>
      </c>
      <c r="B587" s="244">
        <v>4868</v>
      </c>
      <c r="C587" s="245" t="s">
        <v>4992</v>
      </c>
      <c r="D587" s="245" t="str">
        <f t="shared" si="18"/>
        <v>OPĆINSKO DRŽAVNO ODVJETNIŠTVO U SISKU (4868)</v>
      </c>
      <c r="E587" s="245" t="s">
        <v>4833</v>
      </c>
      <c r="F587" s="245" t="s">
        <v>1724</v>
      </c>
      <c r="G587" s="246">
        <v>3314740</v>
      </c>
      <c r="H587" s="247" t="s">
        <v>4993</v>
      </c>
      <c r="J587" s="236"/>
    </row>
    <row r="588" spans="1:10" ht="15" customHeight="1">
      <c r="A588" s="243">
        <f t="shared" si="19"/>
        <v>585</v>
      </c>
      <c r="B588" s="244">
        <v>4876</v>
      </c>
      <c r="C588" s="245" t="s">
        <v>4994</v>
      </c>
      <c r="D588" s="245" t="str">
        <f t="shared" si="18"/>
        <v>OPĆINSKO DRŽAVNO ODVJETNIŠTVO U SLAVONSKOM BRODU (4876)</v>
      </c>
      <c r="E588" s="245" t="s">
        <v>4995</v>
      </c>
      <c r="F588" s="245" t="s">
        <v>1769</v>
      </c>
      <c r="G588" s="246">
        <v>3071472</v>
      </c>
      <c r="H588" s="247" t="s">
        <v>4996</v>
      </c>
      <c r="J588" s="236"/>
    </row>
    <row r="589" spans="1:10" ht="15" customHeight="1">
      <c r="A589" s="243">
        <f t="shared" si="19"/>
        <v>586</v>
      </c>
      <c r="B589" s="244">
        <v>4884</v>
      </c>
      <c r="C589" s="245" t="s">
        <v>4997</v>
      </c>
      <c r="D589" s="245" t="str">
        <f t="shared" si="18"/>
        <v>OPĆINSKO DRŽAVNO ODVJETNIŠTVO U SPLITU (4884)</v>
      </c>
      <c r="E589" s="245" t="s">
        <v>4998</v>
      </c>
      <c r="F589" s="245" t="s">
        <v>360</v>
      </c>
      <c r="G589" s="246">
        <v>3161242</v>
      </c>
      <c r="H589" s="247" t="s">
        <v>4999</v>
      </c>
      <c r="J589" s="236"/>
    </row>
    <row r="590" spans="1:10" ht="15" customHeight="1">
      <c r="A590" s="243">
        <f t="shared" si="19"/>
        <v>587</v>
      </c>
      <c r="B590" s="244">
        <v>4892</v>
      </c>
      <c r="C590" s="245" t="s">
        <v>5000</v>
      </c>
      <c r="D590" s="245" t="str">
        <f t="shared" si="18"/>
        <v>OPĆINSKO DRŽAVNO ODVJETNIŠTVO U ŠIBENIKU (4892)</v>
      </c>
      <c r="E590" s="245" t="s">
        <v>5001</v>
      </c>
      <c r="F590" s="245" t="s">
        <v>524</v>
      </c>
      <c r="G590" s="246">
        <v>3019829</v>
      </c>
      <c r="H590" s="247" t="s">
        <v>5002</v>
      </c>
      <c r="J590" s="236"/>
    </row>
    <row r="591" spans="1:10" ht="15" customHeight="1">
      <c r="A591" s="243">
        <f t="shared" si="19"/>
        <v>588</v>
      </c>
      <c r="B591" s="244">
        <v>4913</v>
      </c>
      <c r="C591" s="245" t="s">
        <v>5003</v>
      </c>
      <c r="D591" s="245" t="str">
        <f t="shared" si="18"/>
        <v>OPĆINSKO DRŽAVNO ODVJETNIŠTVO U VARAŽDINU (4913)</v>
      </c>
      <c r="E591" s="245" t="s">
        <v>5004</v>
      </c>
      <c r="F591" s="245" t="s">
        <v>4808</v>
      </c>
      <c r="G591" s="246">
        <v>3006735</v>
      </c>
      <c r="H591" s="247" t="s">
        <v>5005</v>
      </c>
      <c r="J591" s="236"/>
    </row>
    <row r="592" spans="1:10" ht="15" customHeight="1">
      <c r="A592" s="243">
        <f t="shared" si="19"/>
        <v>589</v>
      </c>
      <c r="B592" s="244">
        <v>4921</v>
      </c>
      <c r="C592" s="245" t="s">
        <v>5006</v>
      </c>
      <c r="D592" s="245" t="str">
        <f t="shared" si="18"/>
        <v>OPĆINSKO DRŽAVNO ODVJETNIŠTVO U VELIKOJ GORICI (4921)</v>
      </c>
      <c r="E592" s="245" t="s">
        <v>4942</v>
      </c>
      <c r="F592" s="245" t="s">
        <v>3584</v>
      </c>
      <c r="G592" s="246">
        <v>3216373</v>
      </c>
      <c r="H592" s="247" t="s">
        <v>5007</v>
      </c>
      <c r="J592" s="236"/>
    </row>
    <row r="593" spans="1:10" ht="15" customHeight="1">
      <c r="A593" s="243">
        <f t="shared" si="19"/>
        <v>590</v>
      </c>
      <c r="B593" s="244">
        <v>50506</v>
      </c>
      <c r="C593" s="245" t="s">
        <v>5008</v>
      </c>
      <c r="D593" s="245" t="str">
        <f t="shared" si="18"/>
        <v>OPĆINSKO DRŽAVNO ODVJETNIŠTVO U VINKOVCIMA (50506)</v>
      </c>
      <c r="E593" s="245" t="s">
        <v>4883</v>
      </c>
      <c r="F593" s="245" t="s">
        <v>4449</v>
      </c>
      <c r="G593" s="248" t="s">
        <v>5009</v>
      </c>
      <c r="H593" s="247" t="s">
        <v>5010</v>
      </c>
      <c r="J593" s="236"/>
    </row>
    <row r="594" spans="1:10" ht="15" customHeight="1">
      <c r="A594" s="243">
        <f t="shared" si="19"/>
        <v>591</v>
      </c>
      <c r="B594" s="244">
        <v>4948</v>
      </c>
      <c r="C594" s="245" t="s">
        <v>5011</v>
      </c>
      <c r="D594" s="245" t="str">
        <f t="shared" si="18"/>
        <v>OPĆINSKO DRŽAVNO ODVJETNIŠTVO U VIROVITICI (4948)</v>
      </c>
      <c r="E594" s="245" t="s">
        <v>5012</v>
      </c>
      <c r="F594" s="245" t="s">
        <v>527</v>
      </c>
      <c r="G594" s="246">
        <v>3149625</v>
      </c>
      <c r="H594" s="247" t="s">
        <v>5013</v>
      </c>
      <c r="J594" s="236"/>
    </row>
    <row r="595" spans="1:10" ht="15" customHeight="1">
      <c r="A595" s="243">
        <f t="shared" si="19"/>
        <v>592</v>
      </c>
      <c r="B595" s="244">
        <v>4956</v>
      </c>
      <c r="C595" s="245" t="s">
        <v>5014</v>
      </c>
      <c r="D595" s="245" t="str">
        <f t="shared" si="18"/>
        <v>OPĆINSKO DRŽAVNO ODVJETNIŠTVO U VUKOVARU (4956)</v>
      </c>
      <c r="E595" s="245" t="s">
        <v>4849</v>
      </c>
      <c r="F595" s="245" t="s">
        <v>501</v>
      </c>
      <c r="G595" s="246">
        <v>3008894</v>
      </c>
      <c r="H595" s="247" t="s">
        <v>5015</v>
      </c>
      <c r="J595" s="236"/>
    </row>
    <row r="596" spans="1:10" ht="15" customHeight="1">
      <c r="A596" s="243">
        <f t="shared" si="19"/>
        <v>593</v>
      </c>
      <c r="B596" s="244">
        <v>4972</v>
      </c>
      <c r="C596" s="245" t="s">
        <v>5016</v>
      </c>
      <c r="D596" s="245" t="str">
        <f t="shared" si="18"/>
        <v>OPĆINSKO DRŽAVNO ODVJETNIŠTVO U ZADRU (4972)</v>
      </c>
      <c r="E596" s="245" t="s">
        <v>5017</v>
      </c>
      <c r="F596" s="245" t="s">
        <v>316</v>
      </c>
      <c r="G596" s="246">
        <v>3174786</v>
      </c>
      <c r="H596" s="247" t="s">
        <v>5018</v>
      </c>
      <c r="J596" s="236"/>
    </row>
    <row r="597" spans="1:10" ht="15" customHeight="1">
      <c r="A597" s="243">
        <f t="shared" si="19"/>
        <v>594</v>
      </c>
      <c r="B597" s="244">
        <v>4989</v>
      </c>
      <c r="C597" s="245" t="s">
        <v>5019</v>
      </c>
      <c r="D597" s="245" t="str">
        <f t="shared" si="18"/>
        <v>OPĆINSKO KAZNENO DRŽAVNO ODVJETNIŠTVO U ZAGREBU (4989)</v>
      </c>
      <c r="E597" s="245" t="s">
        <v>5020</v>
      </c>
      <c r="F597" s="245" t="s">
        <v>275</v>
      </c>
      <c r="G597" s="246">
        <v>3277135</v>
      </c>
      <c r="H597" s="247" t="s">
        <v>5021</v>
      </c>
      <c r="J597" s="236"/>
    </row>
    <row r="598" spans="1:10" ht="15" customHeight="1">
      <c r="A598" s="243">
        <f t="shared" si="19"/>
        <v>595</v>
      </c>
      <c r="B598" s="244">
        <v>4997</v>
      </c>
      <c r="C598" s="245" t="s">
        <v>5022</v>
      </c>
      <c r="D598" s="245" t="str">
        <f t="shared" si="18"/>
        <v>OPĆINSKO DRŽAVNO ODVJETNIŠTVO U ZLATARU (4997)</v>
      </c>
      <c r="E598" s="245" t="s">
        <v>4957</v>
      </c>
      <c r="F598" s="245" t="s">
        <v>4958</v>
      </c>
      <c r="G598" s="246">
        <v>3433811</v>
      </c>
      <c r="H598" s="247" t="s">
        <v>5023</v>
      </c>
      <c r="J598" s="236"/>
    </row>
    <row r="599" spans="1:10" ht="15" customHeight="1">
      <c r="A599" s="243">
        <f t="shared" si="19"/>
        <v>596</v>
      </c>
      <c r="B599" s="244">
        <v>52356</v>
      </c>
      <c r="C599" s="245" t="s">
        <v>5024</v>
      </c>
      <c r="D599" s="245" t="str">
        <f t="shared" si="18"/>
        <v>OPĆINSKO GRAĐANSKO DRŽAVNO ODVJETNIŠTVO U ZAGREBU (52356)</v>
      </c>
      <c r="E599" s="245" t="s">
        <v>5025</v>
      </c>
      <c r="F599" s="245" t="s">
        <v>275</v>
      </c>
      <c r="G599" s="246">
        <v>5545471</v>
      </c>
      <c r="H599" s="247" t="s">
        <v>5026</v>
      </c>
      <c r="J599" s="236"/>
    </row>
    <row r="600" spans="1:10" ht="15" customHeight="1">
      <c r="A600" s="243">
        <f t="shared" si="19"/>
        <v>597</v>
      </c>
      <c r="B600" s="244">
        <v>23649</v>
      </c>
      <c r="C600" s="245" t="s">
        <v>5027</v>
      </c>
      <c r="D600" s="245" t="str">
        <f t="shared" si="18"/>
        <v>DRŽAVNO ODVJETNIŠTVO URED ZA SUZBIJANJE KORUPCIJE I ORGANIZIRANOG KRIMINALITETA  (23649)</v>
      </c>
      <c r="E600" s="245" t="s">
        <v>5028</v>
      </c>
      <c r="F600" s="245" t="s">
        <v>275</v>
      </c>
      <c r="G600" s="246">
        <v>1597965</v>
      </c>
      <c r="H600" s="247" t="s">
        <v>5029</v>
      </c>
      <c r="J600" s="236"/>
    </row>
    <row r="601" spans="1:10" ht="15" customHeight="1">
      <c r="A601" s="243">
        <f t="shared" si="19"/>
        <v>598</v>
      </c>
      <c r="B601" s="244">
        <v>46420</v>
      </c>
      <c r="C601" s="269" t="s">
        <v>5030</v>
      </c>
      <c r="D601" s="245" t="str">
        <f t="shared" si="18"/>
        <v>DRŽAVNA ŠKOLA ZA JAVNU UPRAVU (46420)</v>
      </c>
      <c r="E601" s="245" t="s">
        <v>5031</v>
      </c>
      <c r="F601" s="245" t="s">
        <v>275</v>
      </c>
      <c r="G601" s="246">
        <v>2720736</v>
      </c>
      <c r="H601" s="247" t="s">
        <v>5032</v>
      </c>
      <c r="J601" s="236"/>
    </row>
    <row r="602" spans="1:10" ht="15" customHeight="1">
      <c r="A602" s="231">
        <f t="shared" si="19"/>
        <v>599</v>
      </c>
      <c r="B602" s="238">
        <v>6040</v>
      </c>
      <c r="C602" s="239" t="s">
        <v>5033</v>
      </c>
      <c r="D602" s="245" t="str">
        <f t="shared" si="18"/>
        <v>URED PUČKOG PRAVOBRANITELJA (6040)</v>
      </c>
      <c r="E602" s="239" t="s">
        <v>5034</v>
      </c>
      <c r="F602" s="239" t="s">
        <v>275</v>
      </c>
      <c r="G602" s="240">
        <v>515655</v>
      </c>
      <c r="H602" s="241" t="s">
        <v>5035</v>
      </c>
      <c r="J602" s="236"/>
    </row>
    <row r="603" spans="1:10" ht="15" customHeight="1">
      <c r="A603" s="231">
        <f t="shared" si="19"/>
        <v>600</v>
      </c>
      <c r="B603" s="238">
        <v>24027</v>
      </c>
      <c r="C603" s="239" t="s">
        <v>5036</v>
      </c>
      <c r="D603" s="245" t="str">
        <f t="shared" si="18"/>
        <v>PRAVOBRANITELJ ZA DJECU (24027)</v>
      </c>
      <c r="E603" s="239" t="s">
        <v>5037</v>
      </c>
      <c r="F603" s="239" t="s">
        <v>275</v>
      </c>
      <c r="G603" s="240">
        <v>1748068</v>
      </c>
      <c r="H603" s="241" t="s">
        <v>5038</v>
      </c>
      <c r="J603" s="236"/>
    </row>
    <row r="604" spans="1:10" ht="15" customHeight="1">
      <c r="A604" s="231">
        <f t="shared" si="19"/>
        <v>601</v>
      </c>
      <c r="B604" s="238">
        <v>24060</v>
      </c>
      <c r="C604" s="239" t="s">
        <v>5039</v>
      </c>
      <c r="D604" s="245" t="str">
        <f t="shared" si="18"/>
        <v>PRAVOBRANITELJ/ICA ZA RAVNOPRAVNOST SPOLOVA (24060)</v>
      </c>
      <c r="E604" s="239" t="s">
        <v>5040</v>
      </c>
      <c r="F604" s="239" t="s">
        <v>275</v>
      </c>
      <c r="G604" s="240">
        <v>1768832</v>
      </c>
      <c r="H604" s="241" t="s">
        <v>5041</v>
      </c>
      <c r="J604" s="236"/>
    </row>
    <row r="605" spans="1:10" ht="15" customHeight="1">
      <c r="A605" s="231">
        <f t="shared" si="19"/>
        <v>602</v>
      </c>
      <c r="B605" s="238">
        <v>43564</v>
      </c>
      <c r="C605" s="239" t="s">
        <v>5042</v>
      </c>
      <c r="D605" s="245" t="str">
        <f t="shared" si="18"/>
        <v>PRAVOBRANITELJICA ZA OSOBE S INVALIDITETOM (43564)</v>
      </c>
      <c r="E605" s="239" t="s">
        <v>5043</v>
      </c>
      <c r="F605" s="239" t="s">
        <v>275</v>
      </c>
      <c r="G605" s="240">
        <v>2397161</v>
      </c>
      <c r="H605" s="241" t="s">
        <v>5044</v>
      </c>
      <c r="J605" s="236"/>
    </row>
    <row r="606" spans="1:10" ht="15" customHeight="1">
      <c r="A606" s="231">
        <f t="shared" si="19"/>
        <v>603</v>
      </c>
      <c r="B606" s="238">
        <v>6099</v>
      </c>
      <c r="C606" s="239" t="s">
        <v>5045</v>
      </c>
      <c r="D606" s="245" t="str">
        <f t="shared" si="18"/>
        <v>DRŽAVNI ZAVOD ZA STATISTIKU (6099)</v>
      </c>
      <c r="E606" s="239" t="s">
        <v>5046</v>
      </c>
      <c r="F606" s="239" t="s">
        <v>275</v>
      </c>
      <c r="G606" s="240">
        <v>3220338</v>
      </c>
      <c r="H606" s="241" t="s">
        <v>5047</v>
      </c>
      <c r="J606" s="236"/>
    </row>
    <row r="607" spans="1:10" ht="15" customHeight="1">
      <c r="A607" s="231">
        <f t="shared" si="19"/>
        <v>604</v>
      </c>
      <c r="B607" s="238">
        <v>6138</v>
      </c>
      <c r="C607" s="239" t="s">
        <v>5048</v>
      </c>
      <c r="D607" s="245" t="str">
        <f t="shared" si="18"/>
        <v>DRŽAVNI URED ZA REVIZIJU (6138)</v>
      </c>
      <c r="E607" s="239" t="s">
        <v>5049</v>
      </c>
      <c r="F607" s="239" t="s">
        <v>275</v>
      </c>
      <c r="G607" s="240">
        <v>687979</v>
      </c>
      <c r="H607" s="241" t="s">
        <v>5050</v>
      </c>
      <c r="J607" s="236"/>
    </row>
    <row r="608" spans="1:10" ht="15" customHeight="1">
      <c r="A608" s="231">
        <f t="shared" si="19"/>
        <v>605</v>
      </c>
      <c r="B608" s="238">
        <v>24094</v>
      </c>
      <c r="C608" s="239" t="s">
        <v>5051</v>
      </c>
      <c r="D608" s="245" t="str">
        <f t="shared" si="18"/>
        <v>DRŽAVNA KOMISIJA ZA KONTROLU POSTUPAKA JAVNE NABAVE (24094)</v>
      </c>
      <c r="E608" s="239" t="s">
        <v>5052</v>
      </c>
      <c r="F608" s="239" t="s">
        <v>275</v>
      </c>
      <c r="G608" s="240">
        <v>1777831</v>
      </c>
      <c r="H608" s="241" t="s">
        <v>5053</v>
      </c>
      <c r="J608" s="236"/>
    </row>
    <row r="609" spans="1:10" ht="15" customHeight="1">
      <c r="A609" s="231">
        <f t="shared" si="19"/>
        <v>606</v>
      </c>
      <c r="B609" s="238">
        <v>50709</v>
      </c>
      <c r="C609" s="239" t="s">
        <v>5054</v>
      </c>
      <c r="D609" s="245" t="str">
        <f t="shared" si="18"/>
        <v>DRŽAVNI INSPEKTORAT (50709)</v>
      </c>
      <c r="E609" s="239" t="s">
        <v>5055</v>
      </c>
      <c r="F609" s="239" t="s">
        <v>275</v>
      </c>
      <c r="G609" s="240">
        <v>5068711</v>
      </c>
      <c r="H609" s="241" t="s">
        <v>5056</v>
      </c>
      <c r="J609" s="236"/>
    </row>
    <row r="610" spans="1:10" ht="15" customHeight="1">
      <c r="A610" s="231">
        <f t="shared" si="19"/>
        <v>607</v>
      </c>
      <c r="B610" s="238">
        <v>23987</v>
      </c>
      <c r="C610" s="239" t="s">
        <v>5057</v>
      </c>
      <c r="D610" s="245" t="str">
        <f t="shared" si="18"/>
        <v>URED VIJEĆA ZA NACIONALNU SIGURNOST (23987)</v>
      </c>
      <c r="E610" s="239" t="s">
        <v>5058</v>
      </c>
      <c r="F610" s="239" t="s">
        <v>275</v>
      </c>
      <c r="G610" s="240">
        <v>1730100</v>
      </c>
      <c r="H610" s="241" t="s">
        <v>5059</v>
      </c>
      <c r="J610" s="236"/>
    </row>
    <row r="611" spans="1:10" ht="15" customHeight="1">
      <c r="A611" s="231">
        <f t="shared" si="19"/>
        <v>608</v>
      </c>
      <c r="B611" s="238">
        <v>42750</v>
      </c>
      <c r="C611" s="239" t="s">
        <v>5060</v>
      </c>
      <c r="D611" s="245" t="str">
        <f t="shared" si="18"/>
        <v>OPERATIVNO-TEHNIČKI CENTAR ZA NADZOR TELEKOMUNIKACIJA (42750)</v>
      </c>
      <c r="E611" s="239" t="s">
        <v>5061</v>
      </c>
      <c r="F611" s="239" t="s">
        <v>275</v>
      </c>
      <c r="G611" s="240">
        <v>2255308</v>
      </c>
      <c r="H611" s="241" t="s">
        <v>5062</v>
      </c>
      <c r="J611" s="236"/>
    </row>
    <row r="612" spans="1:10" ht="15" customHeight="1">
      <c r="A612" s="231">
        <f t="shared" si="19"/>
        <v>609</v>
      </c>
      <c r="B612" s="238">
        <v>42768</v>
      </c>
      <c r="C612" s="239" t="s">
        <v>5063</v>
      </c>
      <c r="D612" s="245" t="str">
        <f t="shared" si="18"/>
        <v>ZAVOD ZA SIGURNOST INFORMACIJSKIH SUSTAVA (42768)</v>
      </c>
      <c r="E612" s="239" t="s">
        <v>5064</v>
      </c>
      <c r="F612" s="239" t="s">
        <v>275</v>
      </c>
      <c r="G612" s="240">
        <v>2255294</v>
      </c>
      <c r="H612" s="241" t="s">
        <v>5065</v>
      </c>
      <c r="J612" s="236"/>
    </row>
    <row r="613" spans="1:10" ht="15" customHeight="1">
      <c r="A613" s="231">
        <f t="shared" si="19"/>
        <v>610</v>
      </c>
      <c r="B613" s="238">
        <v>25860</v>
      </c>
      <c r="C613" s="239" t="s">
        <v>5066</v>
      </c>
      <c r="D613" s="245" t="str">
        <f t="shared" si="18"/>
        <v>AGENCIJA ZA ZAŠTITU OSOBNIH PODATAKA (25860)</v>
      </c>
      <c r="E613" s="239" t="s">
        <v>5067</v>
      </c>
      <c r="F613" s="239" t="s">
        <v>275</v>
      </c>
      <c r="G613" s="240">
        <v>1837907</v>
      </c>
      <c r="H613" s="241" t="s">
        <v>5068</v>
      </c>
      <c r="J613" s="236"/>
    </row>
    <row r="614" spans="1:10" ht="15" customHeight="1" thickBot="1">
      <c r="A614" s="231">
        <f t="shared" si="19"/>
        <v>611</v>
      </c>
      <c r="B614" s="238">
        <v>48226</v>
      </c>
      <c r="C614" s="270" t="s">
        <v>5069</v>
      </c>
      <c r="D614" s="245" t="str">
        <f t="shared" si="18"/>
        <v>POVJERENIK ZA INFORMIRANJE (48226)</v>
      </c>
      <c r="E614" s="270" t="s">
        <v>5070</v>
      </c>
      <c r="F614" s="270" t="s">
        <v>275</v>
      </c>
      <c r="G614" s="271">
        <v>4126904</v>
      </c>
      <c r="H614" s="272">
        <v>68011638990</v>
      </c>
      <c r="J614" s="236"/>
    </row>
    <row r="615" spans="1:10" ht="29.25" customHeight="1" thickTop="1">
      <c r="A615" s="408" t="s">
        <v>5071</v>
      </c>
      <c r="B615" s="408"/>
      <c r="C615" s="408"/>
      <c r="D615" s="408"/>
      <c r="E615" s="408"/>
      <c r="F615" s="408"/>
      <c r="G615" s="408"/>
      <c r="H615" s="408"/>
    </row>
    <row r="616" spans="1:10" ht="15" customHeight="1">
      <c r="B616" s="274"/>
      <c r="H616" s="276"/>
    </row>
    <row r="617" spans="1:10" ht="15" customHeight="1">
      <c r="B617" s="274"/>
      <c r="H617" s="276"/>
    </row>
    <row r="618" spans="1:10" ht="15" customHeight="1">
      <c r="B618" s="274"/>
      <c r="H618" s="276"/>
    </row>
    <row r="619" spans="1:10" ht="15" customHeight="1">
      <c r="B619" s="274"/>
      <c r="H619" s="276"/>
    </row>
    <row r="620" spans="1:10" ht="15" customHeight="1">
      <c r="B620" s="274"/>
      <c r="H620" s="276"/>
    </row>
    <row r="621" spans="1:10" ht="15" customHeight="1">
      <c r="A621" s="221"/>
      <c r="B621" s="274"/>
      <c r="H621" s="276"/>
    </row>
    <row r="622" spans="1:10" ht="15" customHeight="1">
      <c r="A622" s="221"/>
      <c r="B622" s="274"/>
      <c r="H622" s="276"/>
    </row>
    <row r="623" spans="1:10" ht="15" customHeight="1">
      <c r="A623" s="221"/>
      <c r="B623" s="274"/>
      <c r="H623" s="276"/>
    </row>
    <row r="624" spans="1:10" ht="15" customHeight="1">
      <c r="A624" s="221"/>
      <c r="B624" s="274"/>
      <c r="H624" s="276"/>
    </row>
    <row r="625" spans="1:8" ht="15" customHeight="1">
      <c r="A625" s="221"/>
      <c r="B625" s="274"/>
      <c r="H625" s="276"/>
    </row>
    <row r="626" spans="1:8" ht="15" customHeight="1">
      <c r="A626" s="221"/>
      <c r="B626" s="274"/>
      <c r="H626" s="276"/>
    </row>
    <row r="627" spans="1:8" ht="15" customHeight="1">
      <c r="A627" s="221"/>
      <c r="B627" s="274"/>
      <c r="H627" s="276"/>
    </row>
    <row r="628" spans="1:8" ht="15" customHeight="1">
      <c r="A628" s="221"/>
      <c r="B628" s="274"/>
      <c r="H628" s="276"/>
    </row>
    <row r="629" spans="1:8" ht="15" customHeight="1">
      <c r="A629" s="221"/>
      <c r="B629" s="274"/>
      <c r="H629" s="276"/>
    </row>
    <row r="630" spans="1:8" ht="15" customHeight="1">
      <c r="A630" s="221"/>
      <c r="B630" s="274"/>
      <c r="H630" s="276"/>
    </row>
    <row r="631" spans="1:8" ht="15" customHeight="1">
      <c r="A631" s="221"/>
      <c r="B631" s="274"/>
      <c r="H631" s="276"/>
    </row>
    <row r="632" spans="1:8" ht="15" customHeight="1">
      <c r="A632" s="221"/>
      <c r="B632" s="274"/>
      <c r="H632" s="276"/>
    </row>
    <row r="633" spans="1:8" ht="15" customHeight="1">
      <c r="A633" s="221"/>
      <c r="B633" s="274"/>
      <c r="H633" s="276"/>
    </row>
    <row r="634" spans="1:8" ht="15" customHeight="1">
      <c r="A634" s="221"/>
      <c r="B634" s="274"/>
      <c r="H634" s="276"/>
    </row>
    <row r="635" spans="1:8" ht="15" customHeight="1">
      <c r="A635" s="221"/>
      <c r="B635" s="274"/>
      <c r="H635" s="276"/>
    </row>
    <row r="636" spans="1:8" ht="15" customHeight="1">
      <c r="A636" s="221"/>
      <c r="B636" s="274"/>
      <c r="H636" s="276"/>
    </row>
    <row r="637" spans="1:8" ht="15" customHeight="1">
      <c r="A637" s="221"/>
      <c r="B637" s="274"/>
      <c r="H637" s="276"/>
    </row>
    <row r="638" spans="1:8" ht="15" customHeight="1">
      <c r="A638" s="221"/>
      <c r="B638" s="274"/>
      <c r="H638" s="276"/>
    </row>
    <row r="639" spans="1:8" ht="15" customHeight="1">
      <c r="A639" s="221"/>
      <c r="B639" s="274"/>
      <c r="H639" s="276"/>
    </row>
    <row r="640" spans="1:8" ht="15" customHeight="1">
      <c r="A640" s="221"/>
      <c r="B640" s="274"/>
      <c r="H640" s="276"/>
    </row>
    <row r="641" spans="1:8" ht="15" customHeight="1">
      <c r="A641" s="221"/>
      <c r="B641" s="274"/>
      <c r="H641" s="276"/>
    </row>
    <row r="642" spans="1:8" ht="15" customHeight="1">
      <c r="A642" s="221"/>
      <c r="B642" s="274"/>
      <c r="H642" s="276"/>
    </row>
    <row r="643" spans="1:8" ht="15" customHeight="1">
      <c r="A643" s="221"/>
      <c r="B643" s="274"/>
      <c r="H643" s="276"/>
    </row>
    <row r="644" spans="1:8" ht="15" customHeight="1">
      <c r="A644" s="221"/>
      <c r="B644" s="274"/>
      <c r="H644" s="276"/>
    </row>
    <row r="645" spans="1:8" ht="15" customHeight="1">
      <c r="A645" s="221"/>
      <c r="B645" s="274"/>
      <c r="H645" s="276"/>
    </row>
    <row r="646" spans="1:8" ht="15" customHeight="1">
      <c r="A646" s="221"/>
      <c r="B646" s="274"/>
      <c r="H646" s="276"/>
    </row>
    <row r="647" spans="1:8" ht="15" customHeight="1">
      <c r="A647" s="221"/>
      <c r="B647" s="274"/>
      <c r="H647" s="276"/>
    </row>
    <row r="648" spans="1:8" ht="15" customHeight="1">
      <c r="A648" s="221"/>
      <c r="B648" s="274"/>
      <c r="H648" s="276"/>
    </row>
    <row r="649" spans="1:8" ht="15" customHeight="1">
      <c r="A649" s="221"/>
      <c r="B649" s="274"/>
      <c r="H649" s="276"/>
    </row>
    <row r="650" spans="1:8" ht="15" customHeight="1">
      <c r="A650" s="221"/>
      <c r="B650" s="274"/>
      <c r="H650" s="276"/>
    </row>
    <row r="651" spans="1:8" ht="15" customHeight="1">
      <c r="A651" s="221"/>
      <c r="B651" s="274"/>
      <c r="H651" s="276"/>
    </row>
    <row r="652" spans="1:8" ht="15" customHeight="1">
      <c r="A652" s="221"/>
      <c r="B652" s="274"/>
      <c r="H652" s="276"/>
    </row>
    <row r="653" spans="1:8" ht="15" customHeight="1">
      <c r="A653" s="221"/>
      <c r="B653" s="274"/>
      <c r="H653" s="276"/>
    </row>
    <row r="654" spans="1:8" ht="15" customHeight="1">
      <c r="A654" s="221"/>
      <c r="B654" s="274"/>
      <c r="H654" s="276"/>
    </row>
    <row r="655" spans="1:8" ht="15" customHeight="1">
      <c r="A655" s="221"/>
      <c r="B655" s="274"/>
      <c r="H655" s="276"/>
    </row>
    <row r="656" spans="1:8" ht="15" customHeight="1">
      <c r="A656" s="221"/>
      <c r="B656" s="274"/>
      <c r="H656" s="276"/>
    </row>
    <row r="657" spans="1:8" ht="15" customHeight="1">
      <c r="A657" s="221"/>
      <c r="B657" s="274"/>
      <c r="H657" s="276"/>
    </row>
    <row r="658" spans="1:8" ht="15" customHeight="1">
      <c r="A658" s="221"/>
      <c r="B658" s="274"/>
      <c r="H658" s="276"/>
    </row>
    <row r="659" spans="1:8" ht="15" customHeight="1">
      <c r="A659" s="221"/>
      <c r="B659" s="274"/>
      <c r="H659" s="276"/>
    </row>
    <row r="660" spans="1:8" ht="15" customHeight="1">
      <c r="A660" s="221"/>
      <c r="B660" s="274"/>
      <c r="H660" s="276"/>
    </row>
    <row r="661" spans="1:8" ht="15" customHeight="1">
      <c r="A661" s="221"/>
      <c r="B661" s="274"/>
      <c r="H661" s="276"/>
    </row>
    <row r="662" spans="1:8" ht="15" customHeight="1">
      <c r="A662" s="221"/>
      <c r="B662" s="274"/>
      <c r="H662" s="276"/>
    </row>
    <row r="663" spans="1:8" ht="15" customHeight="1">
      <c r="A663" s="221"/>
      <c r="B663" s="274"/>
      <c r="H663" s="276"/>
    </row>
    <row r="664" spans="1:8" ht="15" customHeight="1">
      <c r="A664" s="221"/>
      <c r="B664" s="274"/>
      <c r="H664" s="276"/>
    </row>
    <row r="665" spans="1:8" ht="15" customHeight="1">
      <c r="A665" s="221"/>
      <c r="B665" s="274"/>
      <c r="H665" s="276"/>
    </row>
    <row r="666" spans="1:8" ht="15" customHeight="1">
      <c r="A666" s="221"/>
      <c r="B666" s="274"/>
      <c r="H666" s="276"/>
    </row>
    <row r="667" spans="1:8" ht="15" customHeight="1">
      <c r="A667" s="221"/>
      <c r="B667" s="274"/>
      <c r="H667" s="276"/>
    </row>
    <row r="668" spans="1:8" ht="15" customHeight="1">
      <c r="A668" s="221"/>
      <c r="B668" s="274"/>
      <c r="H668" s="276"/>
    </row>
    <row r="669" spans="1:8" ht="15" customHeight="1">
      <c r="A669" s="221"/>
      <c r="B669" s="274"/>
      <c r="H669" s="276"/>
    </row>
    <row r="670" spans="1:8" ht="15" customHeight="1">
      <c r="A670" s="221"/>
      <c r="B670" s="274"/>
      <c r="H670" s="276"/>
    </row>
    <row r="671" spans="1:8" ht="15" customHeight="1">
      <c r="A671" s="221"/>
      <c r="B671" s="274"/>
      <c r="H671" s="276"/>
    </row>
    <row r="672" spans="1:8" ht="15" customHeight="1">
      <c r="A672" s="221"/>
      <c r="B672" s="274"/>
      <c r="H672" s="276"/>
    </row>
    <row r="673" spans="1:8" ht="15" customHeight="1">
      <c r="A673" s="221"/>
      <c r="B673" s="274"/>
      <c r="H673" s="276"/>
    </row>
    <row r="674" spans="1:8" ht="15" customHeight="1">
      <c r="A674" s="221"/>
      <c r="B674" s="274"/>
      <c r="H674" s="276"/>
    </row>
    <row r="675" spans="1:8" ht="15" customHeight="1">
      <c r="A675" s="221"/>
      <c r="B675" s="274"/>
      <c r="H675" s="276"/>
    </row>
    <row r="676" spans="1:8" ht="15" customHeight="1">
      <c r="A676" s="221"/>
      <c r="B676" s="274"/>
      <c r="H676" s="276"/>
    </row>
    <row r="677" spans="1:8" ht="15" customHeight="1">
      <c r="A677" s="221"/>
      <c r="B677" s="274"/>
      <c r="H677" s="276"/>
    </row>
    <row r="678" spans="1:8" ht="15" customHeight="1">
      <c r="A678" s="221"/>
      <c r="B678" s="274"/>
      <c r="H678" s="276"/>
    </row>
    <row r="679" spans="1:8" ht="15" customHeight="1">
      <c r="A679" s="221"/>
      <c r="B679" s="274"/>
      <c r="H679" s="276"/>
    </row>
    <row r="680" spans="1:8" ht="15" customHeight="1">
      <c r="A680" s="221"/>
      <c r="B680" s="274"/>
      <c r="H680" s="276"/>
    </row>
    <row r="681" spans="1:8" ht="15" customHeight="1">
      <c r="A681" s="221"/>
      <c r="B681" s="274"/>
      <c r="H681" s="276"/>
    </row>
    <row r="682" spans="1:8" ht="15" customHeight="1">
      <c r="A682" s="221"/>
      <c r="B682" s="274"/>
      <c r="H682" s="276"/>
    </row>
    <row r="683" spans="1:8" ht="15" customHeight="1">
      <c r="A683" s="221"/>
      <c r="B683" s="274"/>
      <c r="H683" s="276"/>
    </row>
    <row r="684" spans="1:8" ht="15" customHeight="1">
      <c r="A684" s="221"/>
      <c r="B684" s="274"/>
      <c r="H684" s="276"/>
    </row>
    <row r="685" spans="1:8" ht="15" customHeight="1">
      <c r="B685" s="274"/>
      <c r="H685" s="276"/>
    </row>
    <row r="686" spans="1:8" s="236" customFormat="1" ht="15" customHeight="1">
      <c r="A686" s="273"/>
      <c r="B686" s="274"/>
      <c r="C686" s="274"/>
      <c r="D686" s="274"/>
      <c r="E686" s="274"/>
      <c r="F686" s="275"/>
      <c r="G686" s="274"/>
      <c r="H686" s="276"/>
    </row>
    <row r="687" spans="1:8" s="236" customFormat="1" ht="15" customHeight="1">
      <c r="A687" s="273"/>
      <c r="B687" s="274"/>
      <c r="C687" s="274"/>
      <c r="D687" s="274"/>
      <c r="E687" s="274"/>
      <c r="F687" s="275"/>
      <c r="G687" s="274"/>
      <c r="H687" s="277"/>
    </row>
    <row r="688" spans="1:8" s="236" customFormat="1" ht="15" customHeight="1">
      <c r="A688" s="273"/>
      <c r="B688" s="274"/>
      <c r="C688" s="274"/>
      <c r="D688" s="274"/>
      <c r="E688" s="274"/>
      <c r="F688" s="275"/>
      <c r="G688" s="274"/>
      <c r="H688" s="277"/>
    </row>
    <row r="689" spans="1:8" s="236" customFormat="1" ht="15" customHeight="1">
      <c r="A689" s="273"/>
      <c r="B689" s="274"/>
      <c r="C689" s="274"/>
      <c r="D689" s="274"/>
      <c r="E689" s="274"/>
      <c r="F689" s="275"/>
      <c r="G689" s="274"/>
      <c r="H689" s="277"/>
    </row>
    <row r="690" spans="1:8" s="236" customFormat="1" ht="15" customHeight="1">
      <c r="A690" s="273"/>
      <c r="B690" s="274"/>
      <c r="C690" s="274"/>
      <c r="D690" s="274"/>
      <c r="E690" s="274"/>
      <c r="F690" s="275"/>
      <c r="G690" s="274"/>
      <c r="H690" s="277"/>
    </row>
    <row r="691" spans="1:8" s="236" customFormat="1" ht="15" customHeight="1">
      <c r="A691" s="273"/>
      <c r="B691" s="274"/>
      <c r="C691" s="274"/>
      <c r="D691" s="274"/>
      <c r="E691" s="274"/>
      <c r="F691" s="275"/>
      <c r="G691" s="274"/>
      <c r="H691" s="277"/>
    </row>
    <row r="692" spans="1:8" s="236" customFormat="1" ht="15" customHeight="1">
      <c r="A692" s="273"/>
      <c r="B692" s="274"/>
      <c r="C692" s="274"/>
      <c r="D692" s="274"/>
      <c r="E692" s="274"/>
      <c r="F692" s="275"/>
      <c r="G692" s="274"/>
      <c r="H692" s="277"/>
    </row>
    <row r="693" spans="1:8" s="236" customFormat="1" ht="15" customHeight="1">
      <c r="A693" s="273"/>
      <c r="B693" s="274"/>
      <c r="C693" s="274"/>
      <c r="D693" s="274"/>
      <c r="E693" s="274"/>
      <c r="F693" s="275"/>
      <c r="G693" s="274"/>
      <c r="H693" s="277"/>
    </row>
    <row r="694" spans="1:8" s="236" customFormat="1" ht="15" customHeight="1">
      <c r="A694" s="273"/>
      <c r="B694" s="274"/>
      <c r="C694" s="274"/>
      <c r="D694" s="274"/>
      <c r="E694" s="274"/>
      <c r="F694" s="275"/>
      <c r="G694" s="274"/>
      <c r="H694" s="277"/>
    </row>
    <row r="695" spans="1:8" s="236" customFormat="1" ht="15" customHeight="1">
      <c r="A695" s="273"/>
      <c r="B695" s="274"/>
      <c r="C695" s="274"/>
      <c r="D695" s="274"/>
      <c r="E695" s="274"/>
      <c r="F695" s="275"/>
      <c r="G695" s="274"/>
      <c r="H695" s="277"/>
    </row>
    <row r="696" spans="1:8" s="236" customFormat="1" ht="15" customHeight="1">
      <c r="A696" s="273"/>
      <c r="B696" s="274"/>
      <c r="C696" s="274"/>
      <c r="D696" s="274"/>
      <c r="E696" s="274"/>
      <c r="F696" s="275"/>
      <c r="G696" s="274"/>
      <c r="H696" s="277"/>
    </row>
    <row r="697" spans="1:8" s="236" customFormat="1" ht="15" customHeight="1">
      <c r="A697" s="273"/>
      <c r="B697" s="274"/>
      <c r="C697" s="274"/>
      <c r="D697" s="274"/>
      <c r="E697" s="274"/>
      <c r="F697" s="275"/>
      <c r="G697" s="274"/>
      <c r="H697" s="277"/>
    </row>
    <row r="698" spans="1:8" s="236" customFormat="1" ht="15" customHeight="1">
      <c r="A698" s="273"/>
      <c r="B698" s="274"/>
      <c r="C698" s="274"/>
      <c r="D698" s="274"/>
      <c r="E698" s="274"/>
      <c r="F698" s="275"/>
      <c r="G698" s="274"/>
      <c r="H698" s="277"/>
    </row>
    <row r="699" spans="1:8" ht="15" customHeight="1">
      <c r="B699" s="274"/>
      <c r="H699" s="277"/>
    </row>
    <row r="700" spans="1:8" s="236" customFormat="1" ht="15" customHeight="1">
      <c r="A700" s="273"/>
      <c r="B700" s="274"/>
      <c r="C700" s="274"/>
      <c r="D700" s="274"/>
      <c r="E700" s="274"/>
      <c r="F700" s="275"/>
      <c r="G700" s="274"/>
      <c r="H700" s="276"/>
    </row>
    <row r="701" spans="1:8" s="236" customFormat="1" ht="15" customHeight="1">
      <c r="A701" s="273"/>
      <c r="B701" s="274"/>
      <c r="C701" s="274"/>
      <c r="D701" s="274"/>
      <c r="E701" s="274"/>
      <c r="F701" s="275"/>
      <c r="G701" s="274"/>
      <c r="H701" s="277"/>
    </row>
    <row r="702" spans="1:8" s="236" customFormat="1" ht="15" customHeight="1">
      <c r="A702" s="273"/>
      <c r="B702" s="274"/>
      <c r="C702" s="274"/>
      <c r="D702" s="274"/>
      <c r="E702" s="274"/>
      <c r="F702" s="275"/>
      <c r="G702" s="274"/>
      <c r="H702" s="277"/>
    </row>
    <row r="703" spans="1:8" s="236" customFormat="1" ht="15" customHeight="1">
      <c r="A703" s="273"/>
      <c r="B703" s="274"/>
      <c r="C703" s="274"/>
      <c r="D703" s="274"/>
      <c r="E703" s="274"/>
      <c r="F703" s="275"/>
      <c r="G703" s="274"/>
      <c r="H703" s="277"/>
    </row>
    <row r="704" spans="1:8" s="236" customFormat="1" ht="15" customHeight="1">
      <c r="A704" s="273"/>
      <c r="B704" s="274"/>
      <c r="C704" s="274"/>
      <c r="D704" s="274"/>
      <c r="E704" s="274"/>
      <c r="F704" s="275"/>
      <c r="G704" s="274"/>
      <c r="H704" s="277"/>
    </row>
    <row r="705" spans="1:8" s="236" customFormat="1" ht="15" customHeight="1">
      <c r="A705" s="273"/>
      <c r="B705" s="274"/>
      <c r="C705" s="274"/>
      <c r="D705" s="274"/>
      <c r="E705" s="274"/>
      <c r="F705" s="275"/>
      <c r="G705" s="274"/>
      <c r="H705" s="277"/>
    </row>
    <row r="706" spans="1:8" s="236" customFormat="1" ht="15" customHeight="1">
      <c r="A706" s="273"/>
      <c r="B706" s="274"/>
      <c r="C706" s="274"/>
      <c r="D706" s="274"/>
      <c r="E706" s="274"/>
      <c r="F706" s="275"/>
      <c r="G706" s="274"/>
      <c r="H706" s="277"/>
    </row>
    <row r="707" spans="1:8" s="236" customFormat="1" ht="15" customHeight="1">
      <c r="A707" s="273"/>
      <c r="B707" s="278"/>
      <c r="C707" s="274"/>
      <c r="D707" s="274"/>
      <c r="E707" s="274"/>
      <c r="F707" s="275"/>
      <c r="G707" s="274"/>
      <c r="H707" s="277"/>
    </row>
    <row r="708" spans="1:8" s="236" customFormat="1" ht="15" customHeight="1">
      <c r="A708" s="273"/>
      <c r="B708" s="278"/>
      <c r="C708" s="274"/>
      <c r="D708" s="274"/>
      <c r="E708" s="274"/>
      <c r="F708" s="275"/>
      <c r="G708" s="274"/>
      <c r="H708" s="277"/>
    </row>
    <row r="709" spans="1:8" s="236" customFormat="1" ht="15" customHeight="1">
      <c r="A709" s="273"/>
      <c r="B709" s="278"/>
      <c r="C709" s="274"/>
      <c r="D709" s="274"/>
      <c r="E709" s="274"/>
      <c r="F709" s="275"/>
      <c r="G709" s="274"/>
      <c r="H709" s="277"/>
    </row>
    <row r="710" spans="1:8" s="236" customFormat="1" ht="15" customHeight="1">
      <c r="A710" s="273"/>
      <c r="B710" s="278"/>
      <c r="C710" s="274"/>
      <c r="D710" s="274"/>
      <c r="E710" s="274"/>
      <c r="F710" s="275"/>
      <c r="G710" s="274"/>
      <c r="H710" s="277"/>
    </row>
    <row r="711" spans="1:8" s="236" customFormat="1" ht="15" customHeight="1">
      <c r="A711" s="273"/>
      <c r="B711" s="278"/>
      <c r="C711" s="274"/>
      <c r="D711" s="274"/>
      <c r="E711" s="274"/>
      <c r="F711" s="275"/>
      <c r="G711" s="274"/>
      <c r="H711" s="277"/>
    </row>
    <row r="712" spans="1:8" ht="15" customHeight="1">
      <c r="H712" s="277"/>
    </row>
    <row r="713" spans="1:8" ht="15" customHeight="1">
      <c r="H713" s="276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2023-11-09T13:31:12Z</cp:lastPrinted>
  <dcterms:created xsi:type="dcterms:W3CDTF">2018-09-10T07:36:17Z</dcterms:created>
  <dcterms:modified xsi:type="dcterms:W3CDTF">2023-12-21T09:10:50Z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