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sve ostalo\FINANCIJSKI PLAN 2024\rebalans 2024\rektorat rebalans- konačno\"/>
    </mc:Choice>
  </mc:AlternateContent>
  <xr:revisionPtr revIDLastSave="0" documentId="13_ncr:1_{EF806055-6781-4E4B-A45B-7EB1B504088A}" xr6:coauthVersionLast="36" xr6:coauthVersionMax="47" xr10:uidLastSave="{00000000-0000-0000-0000-000000000000}"/>
  <bookViews>
    <workbookView xWindow="-120" yWindow="-120" windowWidth="38640" windowHeight="21120" firstSheet="2" activeTab="3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externalReferences>
    <externalReference r:id="rId14"/>
    <externalReference r:id="rId15"/>
  </externalReference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primitaka'!$R$5:$V$118</definedName>
    <definedName name="_xlnm._FilterDatabase" localSheetId="2" hidden="1">'Unos rashoda i izdataka'!$A$2:$M$498</definedName>
    <definedName name="_xlnm._FilterDatabase" localSheetId="3" hidden="1">'Unos rashoda P4'!$A$2:$J$23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primitaka'!$C$3:$J$17</definedName>
    <definedName name="_xlnm.Print_Area" localSheetId="2">'Unos rashoda i izdataka'!$A$1:$L$127</definedName>
    <definedName name="_xlnm.Print_Area" localSheetId="3">'Unos rashoda P4'!$A$4:$K$57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I4" i="25" l="1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3" i="25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3" i="4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3" i="17"/>
  <c r="C60" i="14" l="1"/>
  <c r="C61" i="14"/>
  <c r="C62" i="14"/>
  <c r="C63" i="14"/>
  <c r="C65" i="14"/>
  <c r="C66" i="14"/>
  <c r="C67" i="14"/>
  <c r="C68" i="14"/>
  <c r="I3" i="17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AF57" i="25" l="1"/>
  <c r="AG57" i="25" s="1"/>
  <c r="AB57" i="25"/>
  <c r="AA57" i="25"/>
  <c r="S57" i="25"/>
  <c r="R57" i="25"/>
  <c r="T57" i="25"/>
  <c r="AF56" i="25"/>
  <c r="AG56" i="25" s="1"/>
  <c r="AB56" i="25"/>
  <c r="AA56" i="25"/>
  <c r="S56" i="25"/>
  <c r="R56" i="25"/>
  <c r="T56" i="25"/>
  <c r="AF55" i="25"/>
  <c r="AG55" i="25" s="1"/>
  <c r="AB55" i="25"/>
  <c r="AA55" i="25"/>
  <c r="S55" i="25"/>
  <c r="R55" i="25"/>
  <c r="T55" i="25"/>
  <c r="AF54" i="25"/>
  <c r="AG54" i="25" s="1"/>
  <c r="AB54" i="25"/>
  <c r="AA54" i="25"/>
  <c r="S54" i="25"/>
  <c r="R54" i="25"/>
  <c r="T54" i="25"/>
  <c r="AF53" i="25"/>
  <c r="AG53" i="25" s="1"/>
  <c r="AB53" i="25"/>
  <c r="AA53" i="25"/>
  <c r="S53" i="25"/>
  <c r="R53" i="25"/>
  <c r="T53" i="25"/>
  <c r="AB52" i="25"/>
  <c r="AA52" i="25"/>
  <c r="S52" i="25"/>
  <c r="R52" i="25"/>
  <c r="T52" i="25"/>
  <c r="AF51" i="25"/>
  <c r="AG51" i="25" s="1"/>
  <c r="AB51" i="25"/>
  <c r="AA51" i="25"/>
  <c r="S51" i="25"/>
  <c r="R51" i="25"/>
  <c r="T51" i="25"/>
  <c r="AF50" i="25"/>
  <c r="AG50" i="25" s="1"/>
  <c r="AB50" i="25"/>
  <c r="AA50" i="25"/>
  <c r="S50" i="25"/>
  <c r="R50" i="25"/>
  <c r="T50" i="25"/>
  <c r="AF49" i="25"/>
  <c r="AG49" i="25" s="1"/>
  <c r="AB49" i="25"/>
  <c r="AA49" i="25"/>
  <c r="S49" i="25"/>
  <c r="R49" i="25"/>
  <c r="T49" i="25"/>
  <c r="AF48" i="25"/>
  <c r="AG48" i="25" s="1"/>
  <c r="AB48" i="25"/>
  <c r="AA48" i="25"/>
  <c r="S48" i="25"/>
  <c r="R48" i="25"/>
  <c r="T48" i="25"/>
  <c r="AF47" i="25"/>
  <c r="AG47" i="25" s="1"/>
  <c r="AB47" i="25"/>
  <c r="AA47" i="25"/>
  <c r="S47" i="25"/>
  <c r="R47" i="25"/>
  <c r="T47" i="25"/>
  <c r="AF46" i="25"/>
  <c r="AG46" i="25" s="1"/>
  <c r="AB46" i="25"/>
  <c r="AA46" i="25"/>
  <c r="S46" i="25"/>
  <c r="R46" i="25"/>
  <c r="T46" i="25"/>
  <c r="AF45" i="25"/>
  <c r="AG45" i="25" s="1"/>
  <c r="AB45" i="25"/>
  <c r="AA45" i="25"/>
  <c r="S45" i="25"/>
  <c r="R45" i="25"/>
  <c r="T45" i="25"/>
  <c r="AF44" i="25"/>
  <c r="AG44" i="25" s="1"/>
  <c r="AB44" i="25"/>
  <c r="AA44" i="25"/>
  <c r="S44" i="25"/>
  <c r="R44" i="25"/>
  <c r="T44" i="25"/>
  <c r="AF43" i="25"/>
  <c r="AG43" i="25" s="1"/>
  <c r="AB43" i="25"/>
  <c r="AA43" i="25"/>
  <c r="S43" i="25"/>
  <c r="R43" i="25"/>
  <c r="T43" i="25"/>
  <c r="Z93" i="17" l="1"/>
  <c r="Y93" i="17"/>
  <c r="Q93" i="17"/>
  <c r="P93" i="17"/>
  <c r="O93" i="17"/>
  <c r="R93" i="17"/>
  <c r="M12" i="4" l="1"/>
  <c r="L12" i="4"/>
  <c r="S4" i="25" l="1"/>
  <c r="R4" i="25"/>
  <c r="AF18" i="25" l="1"/>
  <c r="AG18" i="25" s="1"/>
  <c r="AB18" i="25"/>
  <c r="AA18" i="25"/>
  <c r="S18" i="25"/>
  <c r="R18" i="25"/>
  <c r="AF14" i="25" l="1"/>
  <c r="AG14" i="25" s="1"/>
  <c r="AB14" i="25"/>
  <c r="AA14" i="25"/>
  <c r="S14" i="25"/>
  <c r="R14" i="25"/>
  <c r="Z51" i="17" l="1"/>
  <c r="Y51" i="17"/>
  <c r="Q51" i="17"/>
  <c r="P51" i="17"/>
  <c r="O51" i="17"/>
  <c r="R51" i="17"/>
  <c r="Z112" i="17"/>
  <c r="Y112" i="17"/>
  <c r="Q112" i="17"/>
  <c r="P112" i="17"/>
  <c r="O112" i="17"/>
  <c r="R112" i="17"/>
  <c r="T37" i="25" l="1"/>
  <c r="AF40" i="25"/>
  <c r="AG40" i="25" s="1"/>
  <c r="AB40" i="25"/>
  <c r="AA40" i="25"/>
  <c r="S40" i="25"/>
  <c r="R40" i="25"/>
  <c r="T40" i="25"/>
  <c r="AF37" i="25"/>
  <c r="AG37" i="25" s="1"/>
  <c r="AB37" i="25"/>
  <c r="AA37" i="25"/>
  <c r="S37" i="25"/>
  <c r="R37" i="25"/>
  <c r="AF36" i="25"/>
  <c r="AG36" i="25" s="1"/>
  <c r="AB36" i="25"/>
  <c r="AA36" i="25"/>
  <c r="S36" i="25"/>
  <c r="R36" i="25"/>
  <c r="T36" i="25"/>
  <c r="R19" i="25"/>
  <c r="S19" i="25"/>
  <c r="AA19" i="25"/>
  <c r="AB19" i="25"/>
  <c r="AF19" i="25"/>
  <c r="AG19" i="25" s="1"/>
  <c r="AF9" i="25"/>
  <c r="AG9" i="25" s="1"/>
  <c r="AB9" i="25"/>
  <c r="AA9" i="25"/>
  <c r="S9" i="25"/>
  <c r="R9" i="25"/>
  <c r="Z97" i="17"/>
  <c r="Y97" i="17"/>
  <c r="Q97" i="17"/>
  <c r="P97" i="17"/>
  <c r="O97" i="17"/>
  <c r="R97" i="17"/>
  <c r="Z95" i="17"/>
  <c r="Y95" i="17"/>
  <c r="Q95" i="17"/>
  <c r="P95" i="17"/>
  <c r="O95" i="17"/>
  <c r="R95" i="17"/>
  <c r="Z94" i="17"/>
  <c r="Y94" i="17"/>
  <c r="Q94" i="17"/>
  <c r="P94" i="17"/>
  <c r="O94" i="17"/>
  <c r="R94" i="17"/>
  <c r="Z107" i="17"/>
  <c r="Y107" i="17"/>
  <c r="Q107" i="17"/>
  <c r="P107" i="17"/>
  <c r="O107" i="17"/>
  <c r="R107" i="17"/>
  <c r="Z106" i="17"/>
  <c r="Y106" i="17"/>
  <c r="Q106" i="17"/>
  <c r="P106" i="17"/>
  <c r="O106" i="17"/>
  <c r="R106" i="17"/>
  <c r="Z119" i="17" l="1"/>
  <c r="Y119" i="17"/>
  <c r="Q119" i="17"/>
  <c r="P119" i="17"/>
  <c r="O119" i="17"/>
  <c r="R119" i="17"/>
  <c r="Z105" i="17"/>
  <c r="Y105" i="17"/>
  <c r="Q105" i="17"/>
  <c r="P105" i="17"/>
  <c r="O105" i="17"/>
  <c r="R105" i="17"/>
  <c r="Z104" i="17"/>
  <c r="Y104" i="17"/>
  <c r="Q104" i="17"/>
  <c r="P104" i="17"/>
  <c r="O104" i="17"/>
  <c r="R104" i="17"/>
  <c r="Z103" i="17"/>
  <c r="Y103" i="17"/>
  <c r="Q103" i="17"/>
  <c r="P103" i="17"/>
  <c r="O103" i="17"/>
  <c r="R103" i="17"/>
  <c r="Z102" i="17"/>
  <c r="Y102" i="17"/>
  <c r="Q102" i="17"/>
  <c r="P102" i="17"/>
  <c r="O102" i="17"/>
  <c r="R102" i="17"/>
  <c r="Z98" i="17"/>
  <c r="Y98" i="17"/>
  <c r="Q98" i="17"/>
  <c r="P98" i="17"/>
  <c r="O98" i="17"/>
  <c r="R98" i="17"/>
  <c r="Z79" i="17"/>
  <c r="Y79" i="17"/>
  <c r="Q79" i="17"/>
  <c r="P79" i="17"/>
  <c r="O79" i="17"/>
  <c r="R79" i="17"/>
  <c r="Z52" i="17"/>
  <c r="Y52" i="17"/>
  <c r="Q52" i="17"/>
  <c r="P52" i="17"/>
  <c r="O52" i="17"/>
  <c r="R52" i="17"/>
  <c r="Z50" i="17"/>
  <c r="Y50" i="17"/>
  <c r="Q50" i="17"/>
  <c r="P50" i="17"/>
  <c r="O50" i="17"/>
  <c r="R50" i="17"/>
  <c r="Z45" i="17"/>
  <c r="Y45" i="17"/>
  <c r="Q45" i="17"/>
  <c r="P45" i="17"/>
  <c r="O45" i="17"/>
  <c r="R45" i="17"/>
  <c r="Z40" i="17"/>
  <c r="Y40" i="17"/>
  <c r="Q40" i="17"/>
  <c r="P40" i="17"/>
  <c r="O40" i="17"/>
  <c r="R40" i="17"/>
  <c r="Z37" i="17"/>
  <c r="Y37" i="17"/>
  <c r="Q37" i="17"/>
  <c r="P37" i="17"/>
  <c r="O37" i="17"/>
  <c r="R37" i="17"/>
  <c r="Z30" i="17"/>
  <c r="Y30" i="17"/>
  <c r="Q30" i="17"/>
  <c r="P30" i="17"/>
  <c r="O30" i="17"/>
  <c r="R30" i="17"/>
  <c r="Z29" i="17"/>
  <c r="Y29" i="17"/>
  <c r="Q29" i="17"/>
  <c r="P29" i="17"/>
  <c r="O29" i="17"/>
  <c r="R29" i="17"/>
  <c r="Z25" i="17"/>
  <c r="Y25" i="17"/>
  <c r="Q25" i="17"/>
  <c r="P25" i="17"/>
  <c r="O25" i="17"/>
  <c r="R25" i="17"/>
  <c r="Z18" i="17"/>
  <c r="Y18" i="17"/>
  <c r="Q18" i="17"/>
  <c r="P18" i="17"/>
  <c r="O18" i="17"/>
  <c r="R18" i="17"/>
  <c r="Z15" i="17"/>
  <c r="Y15" i="17"/>
  <c r="Q15" i="17"/>
  <c r="P15" i="17"/>
  <c r="O15" i="17"/>
  <c r="R15" i="17"/>
  <c r="C14" i="14" l="1"/>
  <c r="C15" i="14"/>
  <c r="C13" i="14"/>
  <c r="C7" i="14"/>
  <c r="C8" i="14"/>
  <c r="C9" i="14"/>
  <c r="C10" i="14"/>
  <c r="C11" i="14"/>
  <c r="M39" i="4" l="1"/>
  <c r="AF932" i="25" l="1"/>
  <c r="AG932" i="25" s="1"/>
  <c r="V13" i="31"/>
  <c r="T13" i="31"/>
  <c r="R13" i="31"/>
  <c r="P13" i="31"/>
  <c r="O13" i="31"/>
  <c r="L13" i="31"/>
  <c r="G13" i="31"/>
  <c r="V12" i="31"/>
  <c r="T12" i="31"/>
  <c r="R12" i="31"/>
  <c r="P12" i="31"/>
  <c r="O12" i="31"/>
  <c r="L12" i="31"/>
  <c r="G12" i="31"/>
  <c r="V35" i="31"/>
  <c r="T35" i="31"/>
  <c r="R35" i="31"/>
  <c r="P35" i="31"/>
  <c r="O35" i="31"/>
  <c r="L35" i="31"/>
  <c r="G35" i="31"/>
  <c r="V34" i="31"/>
  <c r="T34" i="31"/>
  <c r="R34" i="31"/>
  <c r="P34" i="31"/>
  <c r="O34" i="31"/>
  <c r="L34" i="31"/>
  <c r="G34" i="31"/>
  <c r="V23" i="31"/>
  <c r="T23" i="31"/>
  <c r="R23" i="31"/>
  <c r="P23" i="31"/>
  <c r="O23" i="31"/>
  <c r="L23" i="31"/>
  <c r="G23" i="31"/>
  <c r="V24" i="31"/>
  <c r="T24" i="31"/>
  <c r="R24" i="31"/>
  <c r="P24" i="31"/>
  <c r="O24" i="31"/>
  <c r="L24" i="31"/>
  <c r="G24" i="31"/>
  <c r="T23" i="25" l="1"/>
  <c r="T32" i="25"/>
  <c r="T38" i="25"/>
  <c r="T59" i="25"/>
  <c r="T62" i="25"/>
  <c r="T63" i="25"/>
  <c r="G68" i="25"/>
  <c r="T68" i="25" s="1"/>
  <c r="G74" i="25"/>
  <c r="T74" i="25" s="1"/>
  <c r="G75" i="25"/>
  <c r="T75" i="25" s="1"/>
  <c r="G80" i="25"/>
  <c r="T80" i="25" s="1"/>
  <c r="G84" i="25"/>
  <c r="T84" i="25" s="1"/>
  <c r="G86" i="25"/>
  <c r="T86" i="25" s="1"/>
  <c r="G91" i="25"/>
  <c r="T91" i="25" s="1"/>
  <c r="G94" i="25"/>
  <c r="T94" i="25" s="1"/>
  <c r="G95" i="25"/>
  <c r="T95" i="25" s="1"/>
  <c r="G96" i="25"/>
  <c r="T96" i="25" s="1"/>
  <c r="G97" i="25"/>
  <c r="T97" i="25" s="1"/>
  <c r="G98" i="25"/>
  <c r="T98" i="25" s="1"/>
  <c r="G99" i="25"/>
  <c r="T99" i="25" s="1"/>
  <c r="G100" i="25"/>
  <c r="T100" i="25" s="1"/>
  <c r="G101" i="25"/>
  <c r="T101" i="25" s="1"/>
  <c r="G102" i="25"/>
  <c r="T102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AF10" i="25"/>
  <c r="AG10" i="25" s="1"/>
  <c r="AF11" i="25"/>
  <c r="AG11" i="25" s="1"/>
  <c r="AF12" i="25"/>
  <c r="AG12" i="25" s="1"/>
  <c r="AF13" i="25"/>
  <c r="AG13" i="25" s="1"/>
  <c r="AF15" i="25"/>
  <c r="AG15" i="25" s="1"/>
  <c r="AF16" i="25"/>
  <c r="AG16" i="25" s="1"/>
  <c r="AF17" i="25"/>
  <c r="AG17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8" i="25"/>
  <c r="AG38" i="25" s="1"/>
  <c r="AF39" i="25"/>
  <c r="AG39" i="25" s="1"/>
  <c r="AF41" i="25"/>
  <c r="AG41" i="25" s="1"/>
  <c r="AF42" i="25"/>
  <c r="AG42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T18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T42" i="25" s="1"/>
  <c r="AF237" i="25"/>
  <c r="AG237" i="25" s="1"/>
  <c r="T24" i="25" s="1"/>
  <c r="AF238" i="25"/>
  <c r="AG238" i="25" s="1"/>
  <c r="AF239" i="25"/>
  <c r="AG239" i="25" s="1"/>
  <c r="G66" i="25" s="1"/>
  <c r="T66" i="25" s="1"/>
  <c r="AF240" i="25"/>
  <c r="AG240" i="25" s="1"/>
  <c r="AF241" i="25"/>
  <c r="AG241" i="25" s="1"/>
  <c r="AF242" i="25"/>
  <c r="AG242" i="25" s="1"/>
  <c r="AF243" i="25"/>
  <c r="AG243" i="25" s="1"/>
  <c r="T34" i="25" s="1"/>
  <c r="AF244" i="25"/>
  <c r="AG244" i="25" s="1"/>
  <c r="T60" i="25" s="1"/>
  <c r="AF245" i="25"/>
  <c r="AG245" i="25" s="1"/>
  <c r="AF246" i="25"/>
  <c r="AG246" i="25" s="1"/>
  <c r="G78" i="25" s="1"/>
  <c r="T78" i="25" s="1"/>
  <c r="AF247" i="25"/>
  <c r="AG247" i="25" s="1"/>
  <c r="AF248" i="25"/>
  <c r="AG248" i="25" s="1"/>
  <c r="AF249" i="25"/>
  <c r="AG249" i="25" s="1"/>
  <c r="AF250" i="25"/>
  <c r="AG250" i="25" s="1"/>
  <c r="AF251" i="25"/>
  <c r="AG251" i="25" s="1"/>
  <c r="AF252" i="25"/>
  <c r="AG252" i="25" s="1"/>
  <c r="AF253" i="25"/>
  <c r="AG253" i="25" s="1"/>
  <c r="AF254" i="25"/>
  <c r="AG254" i="25" s="1"/>
  <c r="AF255" i="25"/>
  <c r="AG255" i="25" s="1"/>
  <c r="AF256" i="25"/>
  <c r="AG256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G92" i="25" s="1"/>
  <c r="T92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G90" i="25" s="1"/>
  <c r="T90" i="25" s="1"/>
  <c r="AF929" i="25"/>
  <c r="AG929" i="25" s="1"/>
  <c r="AF930" i="25"/>
  <c r="AG930" i="25" s="1"/>
  <c r="AF931" i="25"/>
  <c r="AG93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AF938" i="25"/>
  <c r="AG938" i="25" s="1"/>
  <c r="AF939" i="25"/>
  <c r="AG939" i="25" s="1"/>
  <c r="AF940" i="25"/>
  <c r="AG940" i="25" s="1"/>
  <c r="AF941" i="25"/>
  <c r="AG941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8" i="25"/>
  <c r="AG8" i="25" s="1"/>
  <c r="T9" i="25" l="1"/>
  <c r="T4" i="25"/>
  <c r="T19" i="25"/>
  <c r="T14" i="25"/>
  <c r="T16" i="25"/>
  <c r="T15" i="25"/>
  <c r="T17" i="25"/>
  <c r="T13" i="25"/>
  <c r="T8" i="25"/>
  <c r="T6" i="25"/>
  <c r="T3" i="25"/>
  <c r="T12" i="25"/>
  <c r="T11" i="25"/>
  <c r="T10" i="25"/>
  <c r="T7" i="25"/>
  <c r="T5" i="25"/>
  <c r="G89" i="25"/>
  <c r="T89" i="25" s="1"/>
  <c r="G83" i="25"/>
  <c r="T83" i="25" s="1"/>
  <c r="G77" i="25"/>
  <c r="T77" i="25" s="1"/>
  <c r="G71" i="25"/>
  <c r="T71" i="25" s="1"/>
  <c r="T65" i="25"/>
  <c r="T41" i="25"/>
  <c r="T33" i="25"/>
  <c r="T28" i="25"/>
  <c r="G88" i="25"/>
  <c r="T88" i="25" s="1"/>
  <c r="G82" i="25"/>
  <c r="T82" i="25" s="1"/>
  <c r="G76" i="25"/>
  <c r="T76" i="25" s="1"/>
  <c r="G70" i="25"/>
  <c r="T70" i="25" s="1"/>
  <c r="T64" i="25"/>
  <c r="T58" i="25"/>
  <c r="T22" i="25"/>
  <c r="G93" i="25"/>
  <c r="T93" i="25" s="1"/>
  <c r="G87" i="25"/>
  <c r="T87" i="25" s="1"/>
  <c r="G81" i="25"/>
  <c r="T81" i="25" s="1"/>
  <c r="G69" i="25"/>
  <c r="T69" i="25" s="1"/>
  <c r="T39" i="25"/>
  <c r="T31" i="25"/>
  <c r="T27" i="25"/>
  <c r="T26" i="25"/>
  <c r="T21" i="25"/>
  <c r="G85" i="25"/>
  <c r="T85" i="25" s="1"/>
  <c r="G79" i="25"/>
  <c r="T79" i="25" s="1"/>
  <c r="G73" i="25"/>
  <c r="T73" i="25" s="1"/>
  <c r="G67" i="25"/>
  <c r="T67" i="25" s="1"/>
  <c r="T61" i="25"/>
  <c r="T35" i="25"/>
  <c r="T30" i="25"/>
  <c r="T25" i="25"/>
  <c r="T20" i="25"/>
  <c r="G72" i="25"/>
  <c r="T72" i="25" s="1"/>
  <c r="T29" i="25"/>
  <c r="V79" i="14"/>
  <c r="T79" i="14"/>
  <c r="R79" i="14"/>
  <c r="P79" i="14"/>
  <c r="O79" i="14"/>
  <c r="L79" i="14"/>
  <c r="G79" i="14"/>
  <c r="V78" i="14"/>
  <c r="T78" i="14"/>
  <c r="R78" i="14"/>
  <c r="P78" i="14"/>
  <c r="O78" i="14"/>
  <c r="L78" i="14"/>
  <c r="G78" i="14"/>
  <c r="V77" i="14"/>
  <c r="T77" i="14"/>
  <c r="R77" i="14"/>
  <c r="P77" i="14"/>
  <c r="O77" i="14"/>
  <c r="L77" i="14"/>
  <c r="G77" i="14"/>
  <c r="V76" i="14"/>
  <c r="T76" i="14"/>
  <c r="R76" i="14"/>
  <c r="P76" i="14"/>
  <c r="O76" i="14"/>
  <c r="L76" i="14"/>
  <c r="G76" i="14"/>
  <c r="V75" i="14"/>
  <c r="T75" i="14"/>
  <c r="R75" i="14"/>
  <c r="P75" i="14"/>
  <c r="O75" i="14"/>
  <c r="O74" i="14" s="1"/>
  <c r="L75" i="14"/>
  <c r="G75" i="14"/>
  <c r="V73" i="14"/>
  <c r="T73" i="14"/>
  <c r="R73" i="14"/>
  <c r="P73" i="14"/>
  <c r="O73" i="14"/>
  <c r="L73" i="14"/>
  <c r="G73" i="14"/>
  <c r="V72" i="14"/>
  <c r="T72" i="14"/>
  <c r="R72" i="14"/>
  <c r="P72" i="14"/>
  <c r="O72" i="14"/>
  <c r="L72" i="14"/>
  <c r="G72" i="14"/>
  <c r="V71" i="14"/>
  <c r="T71" i="14"/>
  <c r="R71" i="14"/>
  <c r="P71" i="14"/>
  <c r="O71" i="14"/>
  <c r="L71" i="14"/>
  <c r="G71" i="14"/>
  <c r="V70" i="14"/>
  <c r="T70" i="14"/>
  <c r="R70" i="14"/>
  <c r="P70" i="14"/>
  <c r="O70" i="14"/>
  <c r="L70" i="14"/>
  <c r="G70" i="14"/>
  <c r="V69" i="14"/>
  <c r="T69" i="14"/>
  <c r="R69" i="14"/>
  <c r="P69" i="14"/>
  <c r="O69" i="14"/>
  <c r="L69" i="14"/>
  <c r="G69" i="14"/>
  <c r="V64" i="14"/>
  <c r="T64" i="14"/>
  <c r="R64" i="14"/>
  <c r="P64" i="14"/>
  <c r="O64" i="14"/>
  <c r="L64" i="14"/>
  <c r="G64" i="14"/>
  <c r="V59" i="14"/>
  <c r="T59" i="14"/>
  <c r="R59" i="14"/>
  <c r="P59" i="14"/>
  <c r="P58" i="14" s="1"/>
  <c r="O59" i="14"/>
  <c r="L59" i="14"/>
  <c r="G59" i="14"/>
  <c r="V54" i="14"/>
  <c r="T54" i="14"/>
  <c r="R54" i="14"/>
  <c r="P54" i="14"/>
  <c r="O54" i="14"/>
  <c r="L54" i="14"/>
  <c r="G54" i="14"/>
  <c r="V53" i="14"/>
  <c r="T53" i="14"/>
  <c r="R53" i="14"/>
  <c r="P53" i="14"/>
  <c r="O53" i="14"/>
  <c r="L53" i="14"/>
  <c r="G53" i="14"/>
  <c r="V52" i="14"/>
  <c r="T52" i="14"/>
  <c r="R52" i="14"/>
  <c r="P52" i="14"/>
  <c r="O52" i="14"/>
  <c r="L52" i="14"/>
  <c r="G52" i="14"/>
  <c r="V51" i="14"/>
  <c r="T51" i="14"/>
  <c r="R51" i="14"/>
  <c r="P51" i="14"/>
  <c r="O51" i="14"/>
  <c r="L51" i="14"/>
  <c r="G51" i="14"/>
  <c r="V50" i="14"/>
  <c r="T50" i="14"/>
  <c r="R50" i="14"/>
  <c r="P50" i="14"/>
  <c r="O50" i="14"/>
  <c r="L50" i="14"/>
  <c r="G50" i="14"/>
  <c r="V48" i="14"/>
  <c r="T48" i="14"/>
  <c r="R48" i="14"/>
  <c r="P48" i="14"/>
  <c r="O48" i="14"/>
  <c r="L48" i="14"/>
  <c r="G48" i="14"/>
  <c r="V47" i="14"/>
  <c r="T47" i="14"/>
  <c r="R47" i="14"/>
  <c r="P47" i="14"/>
  <c r="O47" i="14"/>
  <c r="L47" i="14"/>
  <c r="G47" i="14"/>
  <c r="V46" i="14"/>
  <c r="T46" i="14"/>
  <c r="R46" i="14"/>
  <c r="P46" i="14"/>
  <c r="O46" i="14"/>
  <c r="L46" i="14"/>
  <c r="G46" i="14"/>
  <c r="V45" i="14"/>
  <c r="T45" i="14"/>
  <c r="R45" i="14"/>
  <c r="P45" i="14"/>
  <c r="O45" i="14"/>
  <c r="L45" i="14"/>
  <c r="G45" i="14"/>
  <c r="V44" i="14"/>
  <c r="T44" i="14"/>
  <c r="R44" i="14"/>
  <c r="P44" i="14"/>
  <c r="O44" i="14"/>
  <c r="L44" i="14"/>
  <c r="G44" i="14"/>
  <c r="V43" i="14"/>
  <c r="T43" i="14"/>
  <c r="R43" i="14"/>
  <c r="P43" i="14"/>
  <c r="O43" i="14"/>
  <c r="L43" i="14"/>
  <c r="G43" i="14"/>
  <c r="V42" i="14"/>
  <c r="T42" i="14"/>
  <c r="R42" i="14"/>
  <c r="P42" i="14"/>
  <c r="O42" i="14"/>
  <c r="L42" i="14"/>
  <c r="G42" i="14"/>
  <c r="V37" i="14"/>
  <c r="T37" i="14"/>
  <c r="R37" i="14"/>
  <c r="P37" i="14"/>
  <c r="O37" i="14"/>
  <c r="L37" i="14"/>
  <c r="G37" i="14"/>
  <c r="V36" i="14"/>
  <c r="T36" i="14"/>
  <c r="R36" i="14"/>
  <c r="P36" i="14"/>
  <c r="O36" i="14"/>
  <c r="L36" i="14"/>
  <c r="G36" i="14"/>
  <c r="V35" i="14"/>
  <c r="T35" i="14"/>
  <c r="R35" i="14"/>
  <c r="P35" i="14"/>
  <c r="O35" i="14"/>
  <c r="L35" i="14"/>
  <c r="G35" i="14"/>
  <c r="V34" i="14"/>
  <c r="T34" i="14"/>
  <c r="R34" i="14"/>
  <c r="P34" i="14"/>
  <c r="O34" i="14"/>
  <c r="L34" i="14"/>
  <c r="G34" i="14"/>
  <c r="V33" i="14"/>
  <c r="T33" i="14"/>
  <c r="R33" i="14"/>
  <c r="P33" i="14"/>
  <c r="O33" i="14"/>
  <c r="L33" i="14"/>
  <c r="G33" i="14"/>
  <c r="V31" i="14"/>
  <c r="T31" i="14"/>
  <c r="R31" i="14"/>
  <c r="P31" i="14"/>
  <c r="O31" i="14"/>
  <c r="L31" i="14"/>
  <c r="G31" i="14"/>
  <c r="V30" i="14"/>
  <c r="T30" i="14"/>
  <c r="R30" i="14"/>
  <c r="P30" i="14"/>
  <c r="O30" i="14"/>
  <c r="L30" i="14"/>
  <c r="G30" i="14"/>
  <c r="V25" i="14"/>
  <c r="T25" i="14"/>
  <c r="R25" i="14"/>
  <c r="P25" i="14"/>
  <c r="O25" i="14"/>
  <c r="L25" i="14"/>
  <c r="G25" i="14"/>
  <c r="V21" i="14"/>
  <c r="T21" i="14"/>
  <c r="R21" i="14"/>
  <c r="P21" i="14"/>
  <c r="O21" i="14"/>
  <c r="L21" i="14"/>
  <c r="G21" i="14"/>
  <c r="V17" i="14"/>
  <c r="T17" i="14"/>
  <c r="R17" i="14"/>
  <c r="P17" i="14"/>
  <c r="O17" i="14"/>
  <c r="L17" i="14"/>
  <c r="G17" i="14"/>
  <c r="V12" i="14"/>
  <c r="T12" i="14"/>
  <c r="R12" i="14"/>
  <c r="P12" i="14"/>
  <c r="O12" i="14"/>
  <c r="L12" i="14"/>
  <c r="G12" i="14"/>
  <c r="V6" i="14"/>
  <c r="T6" i="14"/>
  <c r="R6" i="14"/>
  <c r="P6" i="14"/>
  <c r="O6" i="14"/>
  <c r="L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3" i="4"/>
  <c r="M13" i="4"/>
  <c r="L14" i="4"/>
  <c r="M14" i="4"/>
  <c r="L10" i="4"/>
  <c r="M10" i="4"/>
  <c r="L11" i="4"/>
  <c r="M11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M24" i="4"/>
  <c r="M25" i="4"/>
  <c r="M26" i="4"/>
  <c r="M27" i="4"/>
  <c r="M28" i="4"/>
  <c r="M29" i="4"/>
  <c r="M30" i="4"/>
  <c r="M31" i="4"/>
  <c r="M32" i="4"/>
  <c r="M33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R74" i="14" l="1"/>
  <c r="P74" i="14"/>
  <c r="P57" i="14" s="1"/>
  <c r="V74" i="14"/>
  <c r="O58" i="14"/>
  <c r="O57" i="14" s="1"/>
  <c r="R58" i="14"/>
  <c r="T58" i="14"/>
  <c r="V58" i="14"/>
  <c r="T74" i="14"/>
  <c r="G58" i="14"/>
  <c r="L58" i="14"/>
  <c r="G74" i="14"/>
  <c r="L74" i="14"/>
  <c r="P5" i="14"/>
  <c r="P41" i="14"/>
  <c r="R41" i="14"/>
  <c r="V41" i="14"/>
  <c r="O32" i="14"/>
  <c r="O49" i="14"/>
  <c r="O5" i="14"/>
  <c r="V32" i="14"/>
  <c r="O41" i="14"/>
  <c r="V49" i="14"/>
  <c r="L5" i="14"/>
  <c r="L41" i="14"/>
  <c r="T49" i="14"/>
  <c r="R32" i="14"/>
  <c r="R49" i="14"/>
  <c r="R5" i="14"/>
  <c r="V5" i="14"/>
  <c r="G32" i="14"/>
  <c r="T32" i="14"/>
  <c r="L32" i="14"/>
  <c r="L49" i="14"/>
  <c r="T5" i="14"/>
  <c r="G5" i="14"/>
  <c r="P32" i="14"/>
  <c r="G41" i="14"/>
  <c r="P49" i="14"/>
  <c r="T41" i="14"/>
  <c r="G49" i="14"/>
  <c r="C31" i="4"/>
  <c r="R16" i="17"/>
  <c r="R17" i="17"/>
  <c r="R19" i="17"/>
  <c r="R20" i="17"/>
  <c r="R21" i="17"/>
  <c r="R22" i="17"/>
  <c r="R23" i="17"/>
  <c r="R24" i="17"/>
  <c r="R26" i="17"/>
  <c r="R27" i="17"/>
  <c r="R28" i="17"/>
  <c r="R31" i="17"/>
  <c r="R32" i="17"/>
  <c r="R33" i="17"/>
  <c r="R34" i="17"/>
  <c r="R35" i="17"/>
  <c r="R36" i="17"/>
  <c r="R38" i="17"/>
  <c r="R39" i="17"/>
  <c r="R41" i="17"/>
  <c r="R42" i="17"/>
  <c r="R43" i="17"/>
  <c r="R44" i="17"/>
  <c r="R46" i="17"/>
  <c r="R47" i="17"/>
  <c r="R48" i="17"/>
  <c r="R49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9" i="17"/>
  <c r="R100" i="17"/>
  <c r="R101" i="17"/>
  <c r="R108" i="17"/>
  <c r="R109" i="17"/>
  <c r="R110" i="17"/>
  <c r="R111" i="17"/>
  <c r="R96" i="17"/>
  <c r="R113" i="17"/>
  <c r="R114" i="17"/>
  <c r="R115" i="17"/>
  <c r="R116" i="17"/>
  <c r="R117" i="17"/>
  <c r="R118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R4" i="17"/>
  <c r="R5" i="17"/>
  <c r="R6" i="17"/>
  <c r="R7" i="17"/>
  <c r="R8" i="17"/>
  <c r="R9" i="17"/>
  <c r="R10" i="17"/>
  <c r="R11" i="17"/>
  <c r="R12" i="17"/>
  <c r="R13" i="17"/>
  <c r="R14" i="17"/>
  <c r="R3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V57" i="14" l="1"/>
  <c r="R57" i="14"/>
  <c r="L57" i="14"/>
  <c r="G57" i="14"/>
  <c r="T57" i="14"/>
  <c r="E71" i="33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L33" i="31"/>
  <c r="O33" i="31"/>
  <c r="P33" i="31"/>
  <c r="R33" i="31"/>
  <c r="T33" i="31"/>
  <c r="V33" i="31"/>
  <c r="G22" i="31"/>
  <c r="L22" i="31"/>
  <c r="O22" i="31"/>
  <c r="P22" i="31"/>
  <c r="R22" i="31"/>
  <c r="T22" i="31"/>
  <c r="V22" i="31"/>
  <c r="G11" i="31"/>
  <c r="L11" i="31"/>
  <c r="O11" i="31"/>
  <c r="P11" i="31"/>
  <c r="R11" i="31"/>
  <c r="T11" i="31"/>
  <c r="V11" i="31"/>
  <c r="L25" i="12" l="1"/>
  <c r="L26" i="12"/>
  <c r="T4" i="14" l="1"/>
  <c r="V4" i="14"/>
  <c r="R4" i="14"/>
  <c r="G4" i="14"/>
  <c r="L4" i="14"/>
  <c r="O4" i="14"/>
  <c r="P4" i="14"/>
  <c r="C12" i="32" l="1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66" i="25" l="1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6" i="17"/>
  <c r="Q17" i="17"/>
  <c r="Q19" i="17"/>
  <c r="Q20" i="17"/>
  <c r="Q21" i="17"/>
  <c r="Q22" i="17"/>
  <c r="Q23" i="17"/>
  <c r="Q24" i="17"/>
  <c r="Q26" i="17"/>
  <c r="Q27" i="17"/>
  <c r="Q28" i="17"/>
  <c r="Q31" i="17"/>
  <c r="Q32" i="17"/>
  <c r="Q33" i="17"/>
  <c r="Q34" i="17"/>
  <c r="Q35" i="17"/>
  <c r="Q36" i="17"/>
  <c r="Q38" i="17"/>
  <c r="Q39" i="17"/>
  <c r="Q41" i="17"/>
  <c r="Q42" i="17"/>
  <c r="Q43" i="17"/>
  <c r="Q44" i="17"/>
  <c r="Q46" i="17"/>
  <c r="Q47" i="17"/>
  <c r="Q48" i="17"/>
  <c r="Q49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9" i="17"/>
  <c r="Q100" i="17"/>
  <c r="Q101" i="17"/>
  <c r="Q108" i="17"/>
  <c r="Q109" i="17"/>
  <c r="Q110" i="17"/>
  <c r="Q111" i="17"/>
  <c r="Q96" i="17"/>
  <c r="Q113" i="17"/>
  <c r="Q114" i="17"/>
  <c r="Q115" i="17"/>
  <c r="Q116" i="17"/>
  <c r="Q117" i="17"/>
  <c r="Q118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Q74" i="14" l="1"/>
  <c r="Q58" i="14"/>
  <c r="Q41" i="14"/>
  <c r="Q49" i="14"/>
  <c r="Q5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Q57" i="14" l="1"/>
  <c r="U61" i="13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E21" i="32" l="1"/>
  <c r="E29" i="32"/>
  <c r="E28" i="32" s="1"/>
  <c r="E31" i="32"/>
  <c r="E30" i="32" s="1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S129" i="25"/>
  <c r="R129" i="25"/>
  <c r="S128" i="25"/>
  <c r="R128" i="25"/>
  <c r="S127" i="25"/>
  <c r="R127" i="25"/>
  <c r="S126" i="25"/>
  <c r="R126" i="25"/>
  <c r="S125" i="25"/>
  <c r="R125" i="25"/>
  <c r="S124" i="25"/>
  <c r="R124" i="25"/>
  <c r="S123" i="25"/>
  <c r="R123" i="25"/>
  <c r="S122" i="25"/>
  <c r="R122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42" i="25"/>
  <c r="AA42" i="25"/>
  <c r="S42" i="25"/>
  <c r="R42" i="25"/>
  <c r="AB41" i="25"/>
  <c r="AA41" i="25"/>
  <c r="S41" i="25"/>
  <c r="R41" i="25"/>
  <c r="AB39" i="25"/>
  <c r="AA39" i="25"/>
  <c r="S39" i="25"/>
  <c r="R39" i="25"/>
  <c r="AB38" i="25"/>
  <c r="AA38" i="25"/>
  <c r="S38" i="25"/>
  <c r="R38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8" i="25"/>
  <c r="AA8" i="25"/>
  <c r="S8" i="25"/>
  <c r="R8" i="25"/>
  <c r="AB7" i="25"/>
  <c r="AA7" i="25"/>
  <c r="S7" i="25"/>
  <c r="R7" i="25"/>
  <c r="AB6" i="25"/>
  <c r="AA6" i="25"/>
  <c r="S6" i="25"/>
  <c r="R6" i="25"/>
  <c r="S5" i="25"/>
  <c r="R5" i="25"/>
  <c r="S3" i="25"/>
  <c r="R3" i="25"/>
  <c r="K13" i="31" l="1"/>
  <c r="K12" i="31"/>
  <c r="K35" i="31"/>
  <c r="K34" i="31"/>
  <c r="K23" i="31"/>
  <c r="K24" i="31"/>
  <c r="K79" i="14"/>
  <c r="K78" i="14"/>
  <c r="K77" i="14"/>
  <c r="K76" i="14"/>
  <c r="K75" i="14"/>
  <c r="K73" i="14"/>
  <c r="K72" i="14"/>
  <c r="K71" i="14"/>
  <c r="K70" i="14"/>
  <c r="K69" i="14"/>
  <c r="K64" i="14"/>
  <c r="K59" i="14"/>
  <c r="K54" i="14"/>
  <c r="K53" i="14"/>
  <c r="K52" i="14"/>
  <c r="K51" i="14"/>
  <c r="K50" i="14"/>
  <c r="K48" i="14"/>
  <c r="K47" i="14"/>
  <c r="K46" i="14"/>
  <c r="K45" i="14"/>
  <c r="K44" i="14"/>
  <c r="K43" i="14"/>
  <c r="K42" i="14"/>
  <c r="K37" i="14"/>
  <c r="K36" i="14"/>
  <c r="K35" i="14"/>
  <c r="K34" i="14"/>
  <c r="K33" i="14"/>
  <c r="K31" i="14"/>
  <c r="K30" i="14"/>
  <c r="K25" i="14"/>
  <c r="K21" i="14"/>
  <c r="K17" i="14"/>
  <c r="K12" i="14"/>
  <c r="K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87" i="17"/>
  <c r="Z87" i="17"/>
  <c r="Y86" i="17"/>
  <c r="Z86" i="17"/>
  <c r="I58" i="14" l="1"/>
  <c r="K74" i="14"/>
  <c r="K58" i="14"/>
  <c r="M58" i="14"/>
  <c r="I74" i="14"/>
  <c r="M74" i="14"/>
  <c r="K32" i="14"/>
  <c r="K49" i="14"/>
  <c r="K22" i="31"/>
  <c r="K33" i="31"/>
  <c r="K5" i="14"/>
  <c r="K4" i="14" s="1"/>
  <c r="C17" i="32" s="1"/>
  <c r="K41" i="14"/>
  <c r="K11" i="31"/>
  <c r="M11" i="31"/>
  <c r="I41" i="14"/>
  <c r="M32" i="14"/>
  <c r="I49" i="14"/>
  <c r="M41" i="14"/>
  <c r="I5" i="14"/>
  <c r="M5" i="14"/>
  <c r="I32" i="14"/>
  <c r="M49" i="14"/>
  <c r="M22" i="31"/>
  <c r="M33" i="31"/>
  <c r="I22" i="31"/>
  <c r="I33" i="31"/>
  <c r="I11" i="31"/>
  <c r="Y10" i="17"/>
  <c r="Z10" i="17"/>
  <c r="I57" i="14" l="1"/>
  <c r="K57" i="14"/>
  <c r="M57" i="14"/>
  <c r="E17" i="32"/>
  <c r="E19" i="32"/>
  <c r="M4" i="14"/>
  <c r="C19" i="32" s="1"/>
  <c r="Z85" i="17"/>
  <c r="Y85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E27" i="12"/>
  <c r="Q33" i="13"/>
  <c r="Q47" i="13"/>
  <c r="Y122" i="17"/>
  <c r="Z122" i="17"/>
  <c r="Y123" i="17"/>
  <c r="Z123" i="17"/>
  <c r="Y124" i="17"/>
  <c r="Z124" i="17"/>
  <c r="Y125" i="17"/>
  <c r="Z125" i="17"/>
  <c r="Y126" i="17"/>
  <c r="Z126" i="17"/>
  <c r="D30" i="13" l="1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6" i="17"/>
  <c r="Z17" i="17"/>
  <c r="Z19" i="17"/>
  <c r="Z20" i="17"/>
  <c r="Z21" i="17"/>
  <c r="Z22" i="17"/>
  <c r="Z23" i="17"/>
  <c r="Z24" i="17"/>
  <c r="Z26" i="17"/>
  <c r="Z27" i="17"/>
  <c r="Z28" i="17"/>
  <c r="Z31" i="17"/>
  <c r="Z32" i="17"/>
  <c r="Z33" i="17"/>
  <c r="Z34" i="17"/>
  <c r="Z35" i="17"/>
  <c r="Z36" i="17"/>
  <c r="Z38" i="17"/>
  <c r="Z39" i="17"/>
  <c r="Z41" i="17"/>
  <c r="Z42" i="17"/>
  <c r="Z43" i="17"/>
  <c r="Z44" i="17"/>
  <c r="Z46" i="17"/>
  <c r="Z47" i="17"/>
  <c r="Z48" i="17"/>
  <c r="Z49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80" i="17"/>
  <c r="Z81" i="17"/>
  <c r="Z82" i="17"/>
  <c r="Z83" i="17"/>
  <c r="Z84" i="17"/>
  <c r="Z88" i="17"/>
  <c r="Z89" i="17"/>
  <c r="Z90" i="17"/>
  <c r="Z91" i="17"/>
  <c r="Z92" i="17"/>
  <c r="Z99" i="17"/>
  <c r="Z100" i="17"/>
  <c r="Z101" i="17"/>
  <c r="Z108" i="17"/>
  <c r="Z109" i="17"/>
  <c r="Z110" i="17"/>
  <c r="Z111" i="17"/>
  <c r="Z96" i="17"/>
  <c r="Z113" i="17"/>
  <c r="Z114" i="17"/>
  <c r="Z115" i="17"/>
  <c r="Z116" i="17"/>
  <c r="Z117" i="17"/>
  <c r="Z118" i="17"/>
  <c r="Z120" i="17"/>
  <c r="Z121" i="17"/>
  <c r="Z5" i="17"/>
  <c r="C27" i="13" l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6" i="17"/>
  <c r="P16" i="17"/>
  <c r="O17" i="17"/>
  <c r="P17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6" i="17"/>
  <c r="P26" i="17"/>
  <c r="O27" i="17"/>
  <c r="P27" i="17"/>
  <c r="O28" i="17"/>
  <c r="P28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8" i="17"/>
  <c r="P38" i="17"/>
  <c r="O39" i="17"/>
  <c r="P39" i="17"/>
  <c r="O41" i="17"/>
  <c r="P41" i="17"/>
  <c r="O42" i="17"/>
  <c r="P42" i="17"/>
  <c r="O43" i="17"/>
  <c r="P43" i="17"/>
  <c r="O44" i="17"/>
  <c r="P44" i="17"/>
  <c r="O46" i="17"/>
  <c r="P46" i="17"/>
  <c r="O47" i="17"/>
  <c r="P47" i="17"/>
  <c r="O48" i="17"/>
  <c r="P48" i="17"/>
  <c r="O49" i="17"/>
  <c r="P49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9" i="17"/>
  <c r="P99" i="17"/>
  <c r="O100" i="17"/>
  <c r="P100" i="17"/>
  <c r="O101" i="17"/>
  <c r="P101" i="17"/>
  <c r="O108" i="17"/>
  <c r="P108" i="17"/>
  <c r="O109" i="17"/>
  <c r="P109" i="17"/>
  <c r="O110" i="17"/>
  <c r="P110" i="17"/>
  <c r="O111" i="17"/>
  <c r="P111" i="17"/>
  <c r="O96" i="17"/>
  <c r="P96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Y9" i="17"/>
  <c r="Y12" i="17"/>
  <c r="Y32" i="17"/>
  <c r="Y44" i="17"/>
  <c r="Y75" i="17"/>
  <c r="Y47" i="17"/>
  <c r="Y99" i="17"/>
  <c r="Y39" i="17"/>
  <c r="Y11" i="17"/>
  <c r="Y20" i="17"/>
  <c r="Y33" i="17"/>
  <c r="Y77" i="17"/>
  <c r="Y108" i="17"/>
  <c r="Y13" i="17"/>
  <c r="Y16" i="17"/>
  <c r="Y35" i="17"/>
  <c r="Y36" i="17"/>
  <c r="Y41" i="17"/>
  <c r="Y43" i="17"/>
  <c r="Y59" i="17"/>
  <c r="Y109" i="17"/>
  <c r="Y111" i="17"/>
  <c r="Y117" i="17"/>
  <c r="Y17" i="17"/>
  <c r="Y19" i="17"/>
  <c r="Y21" i="17"/>
  <c r="Y24" i="17"/>
  <c r="Y26" i="17"/>
  <c r="Y27" i="17"/>
  <c r="Y34" i="17"/>
  <c r="Y61" i="17"/>
  <c r="Y65" i="17"/>
  <c r="Y72" i="17"/>
  <c r="Y74" i="17"/>
  <c r="Y96" i="17"/>
  <c r="Y28" i="17"/>
  <c r="Y31" i="17"/>
  <c r="Y23" i="17"/>
  <c r="Y55" i="17"/>
  <c r="Y110" i="17"/>
  <c r="Y67" i="17"/>
  <c r="Y7" i="17"/>
  <c r="Y14" i="17"/>
  <c r="Y71" i="17"/>
  <c r="Y89" i="17"/>
  <c r="Y114" i="17"/>
  <c r="Y42" i="17"/>
  <c r="Y54" i="17"/>
  <c r="Y63" i="17"/>
  <c r="Y90" i="17"/>
  <c r="Y38" i="17"/>
  <c r="Y56" i="17"/>
  <c r="Y118" i="17"/>
  <c r="Y68" i="17"/>
  <c r="Y6" i="17"/>
  <c r="Y8" i="17"/>
  <c r="Y46" i="17"/>
  <c r="Y49" i="17"/>
  <c r="Y73" i="17"/>
  <c r="Y76" i="17"/>
  <c r="Y80" i="17"/>
  <c r="Y81" i="17"/>
  <c r="Y82" i="17"/>
  <c r="Y83" i="17"/>
  <c r="Y84" i="17"/>
  <c r="Y88" i="17"/>
  <c r="Y91" i="17"/>
  <c r="Y100" i="17"/>
  <c r="Y101" i="17"/>
  <c r="Y113" i="17"/>
  <c r="Y115" i="17"/>
  <c r="Y121" i="17"/>
  <c r="Y69" i="17"/>
  <c r="Y78" i="17"/>
  <c r="Y116" i="17"/>
  <c r="Y120" i="17"/>
  <c r="Y92" i="17"/>
  <c r="Y22" i="17"/>
  <c r="Y64" i="17"/>
  <c r="Y57" i="17"/>
  <c r="Y60" i="17"/>
  <c r="Y62" i="17"/>
  <c r="Y48" i="17"/>
  <c r="Y70" i="17"/>
  <c r="Y53" i="17"/>
  <c r="Y58" i="17"/>
  <c r="Y66" i="17"/>
  <c r="Y5" i="17"/>
  <c r="H69" i="14" l="1"/>
  <c r="N76" i="14"/>
  <c r="N77" i="14"/>
  <c r="N47" i="14"/>
  <c r="N71" i="14"/>
  <c r="N72" i="14"/>
  <c r="N78" i="14"/>
  <c r="N59" i="14"/>
  <c r="N64" i="14"/>
  <c r="N73" i="14"/>
  <c r="N51" i="14"/>
  <c r="N52" i="14"/>
  <c r="N69" i="14"/>
  <c r="N42" i="14"/>
  <c r="N43" i="14"/>
  <c r="N48" i="14"/>
  <c r="N34" i="31"/>
  <c r="N34" i="14"/>
  <c r="N35" i="14"/>
  <c r="N44" i="14"/>
  <c r="N13" i="31"/>
  <c r="N30" i="14"/>
  <c r="N25" i="14"/>
  <c r="N36" i="14"/>
  <c r="N53" i="14"/>
  <c r="N35" i="31"/>
  <c r="N6" i="14"/>
  <c r="N12" i="14"/>
  <c r="N31" i="14"/>
  <c r="N12" i="31"/>
  <c r="N79" i="14"/>
  <c r="N17" i="14"/>
  <c r="N70" i="14"/>
  <c r="N37" i="14"/>
  <c r="N46" i="14"/>
  <c r="N24" i="31"/>
  <c r="N75" i="14"/>
  <c r="N54" i="14"/>
  <c r="N45" i="14"/>
  <c r="N23" i="31"/>
  <c r="N33" i="14"/>
  <c r="N50" i="14"/>
  <c r="N21" i="14"/>
  <c r="E79" i="14"/>
  <c r="E17" i="14"/>
  <c r="E77" i="14"/>
  <c r="E75" i="14"/>
  <c r="E76" i="14"/>
  <c r="E72" i="14"/>
  <c r="E70" i="14"/>
  <c r="E71" i="14"/>
  <c r="E64" i="14"/>
  <c r="E54" i="14"/>
  <c r="E59" i="14"/>
  <c r="E52" i="14"/>
  <c r="E50" i="14"/>
  <c r="E51" i="14"/>
  <c r="E47" i="14"/>
  <c r="E45" i="14"/>
  <c r="E46" i="14"/>
  <c r="E43" i="14"/>
  <c r="E13" i="31"/>
  <c r="E37" i="14"/>
  <c r="E42" i="14"/>
  <c r="E35" i="14"/>
  <c r="E23" i="31"/>
  <c r="E33" i="14"/>
  <c r="E34" i="14"/>
  <c r="E30" i="14"/>
  <c r="E12" i="31"/>
  <c r="E21" i="14"/>
  <c r="E25" i="14"/>
  <c r="E12" i="14"/>
  <c r="E34" i="31"/>
  <c r="E69" i="14"/>
  <c r="E6" i="14"/>
  <c r="E78" i="14"/>
  <c r="E24" i="31"/>
  <c r="E48" i="14"/>
  <c r="E73" i="14"/>
  <c r="E53" i="14"/>
  <c r="E35" i="31"/>
  <c r="E44" i="14"/>
  <c r="E31" i="14"/>
  <c r="E36" i="14"/>
  <c r="D6" i="14"/>
  <c r="C17" i="12"/>
  <c r="U34" i="3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52" i="14"/>
  <c r="H47" i="14"/>
  <c r="H35" i="14"/>
  <c r="H30" i="14"/>
  <c r="H12" i="14"/>
  <c r="H6" i="14"/>
  <c r="H78" i="14"/>
  <c r="H73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U74" i="14" l="1"/>
  <c r="H58" i="14"/>
  <c r="C70" i="14"/>
  <c r="C79" i="14"/>
  <c r="F58" i="14"/>
  <c r="C78" i="14"/>
  <c r="N74" i="14"/>
  <c r="H74" i="14"/>
  <c r="U58" i="14"/>
  <c r="E74" i="14"/>
  <c r="J58" i="14"/>
  <c r="C76" i="14"/>
  <c r="J74" i="14"/>
  <c r="N58" i="14"/>
  <c r="C71" i="14"/>
  <c r="C59" i="14"/>
  <c r="D58" i="14"/>
  <c r="E58" i="14"/>
  <c r="D74" i="14"/>
  <c r="C75" i="14"/>
  <c r="C77" i="14"/>
  <c r="C72" i="14"/>
  <c r="S58" i="14"/>
  <c r="C64" i="14"/>
  <c r="C73" i="14"/>
  <c r="S74" i="14"/>
  <c r="F74" i="14"/>
  <c r="C69" i="14"/>
  <c r="E11" i="31"/>
  <c r="N22" i="31"/>
  <c r="N49" i="14"/>
  <c r="N32" i="14"/>
  <c r="E49" i="14"/>
  <c r="E32" i="14"/>
  <c r="E22" i="31"/>
  <c r="N11" i="31"/>
  <c r="N33" i="31"/>
  <c r="E5" i="14"/>
  <c r="E41" i="14"/>
  <c r="N5" i="14"/>
  <c r="E33" i="31"/>
  <c r="N41" i="14"/>
  <c r="D5" i="14"/>
  <c r="F49" i="14"/>
  <c r="F5" i="14"/>
  <c r="D49" i="14"/>
  <c r="H32" i="14"/>
  <c r="J41" i="14"/>
  <c r="S5" i="14"/>
  <c r="F32" i="14"/>
  <c r="H41" i="14"/>
  <c r="J49" i="14"/>
  <c r="S41" i="14"/>
  <c r="U41" i="14"/>
  <c r="F41" i="14"/>
  <c r="H49" i="14"/>
  <c r="J32" i="14"/>
  <c r="U5" i="14"/>
  <c r="C6" i="14"/>
  <c r="D41" i="14"/>
  <c r="H5" i="14"/>
  <c r="S49" i="14"/>
  <c r="U32" i="14"/>
  <c r="D32" i="14"/>
  <c r="J5" i="14"/>
  <c r="S32" i="14"/>
  <c r="U49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34" i="14"/>
  <c r="C17" i="14"/>
  <c r="C35" i="14"/>
  <c r="C21" i="14"/>
  <c r="C37" i="14"/>
  <c r="C54" i="14"/>
  <c r="C31" i="14"/>
  <c r="C30" i="14"/>
  <c r="C25" i="14"/>
  <c r="C52" i="14"/>
  <c r="C12" i="14"/>
  <c r="C33" i="14"/>
  <c r="K40" i="14"/>
  <c r="C45" i="14"/>
  <c r="C53" i="14"/>
  <c r="C43" i="14"/>
  <c r="C48" i="14"/>
  <c r="C51" i="14"/>
  <c r="C50" i="14"/>
  <c r="C46" i="14"/>
  <c r="C47" i="14"/>
  <c r="C42" i="14"/>
  <c r="F57" i="14" l="1"/>
  <c r="U57" i="14"/>
  <c r="H57" i="14"/>
  <c r="E13" i="32" s="1"/>
  <c r="N57" i="14"/>
  <c r="E20" i="32" s="1"/>
  <c r="S57" i="14"/>
  <c r="J57" i="14"/>
  <c r="C74" i="14"/>
  <c r="E57" i="14"/>
  <c r="D57" i="14"/>
  <c r="C58" i="14"/>
  <c r="E4" i="14"/>
  <c r="C8" i="32" s="1"/>
  <c r="E8" i="32"/>
  <c r="N4" i="14"/>
  <c r="C20" i="32" s="1"/>
  <c r="C5" i="14"/>
  <c r="C20" i="12" s="1"/>
  <c r="C22" i="31"/>
  <c r="D28" i="12" s="1"/>
  <c r="C11" i="31"/>
  <c r="C28" i="12" s="1"/>
  <c r="C33" i="31"/>
  <c r="E28" i="12" s="1"/>
  <c r="J4" i="14"/>
  <c r="S4" i="14"/>
  <c r="D17" i="32"/>
  <c r="Q40" i="14"/>
  <c r="E15" i="32"/>
  <c r="U4" i="14"/>
  <c r="F4" i="14"/>
  <c r="D4" i="14"/>
  <c r="I4" i="14"/>
  <c r="R40" i="14"/>
  <c r="Q4" i="14"/>
  <c r="H4" i="14"/>
  <c r="C32" i="14"/>
  <c r="C21" i="12" s="1"/>
  <c r="C57" i="14" l="1"/>
  <c r="C31" i="12"/>
  <c r="C26" i="32"/>
  <c r="C25" i="32" s="1"/>
  <c r="C7" i="32"/>
  <c r="C6" i="32" s="1"/>
  <c r="C4" i="14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1" i="32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F40" i="14"/>
  <c r="L40" i="14"/>
  <c r="T40" i="14"/>
  <c r="I40" i="14"/>
  <c r="N40" i="14"/>
  <c r="V40" i="14"/>
  <c r="E20" i="12"/>
  <c r="E21" i="12"/>
  <c r="C41" i="14"/>
  <c r="D20" i="12" s="1"/>
  <c r="C49" i="14"/>
  <c r="D21" i="12" s="1"/>
  <c r="C5" i="32" l="1"/>
  <c r="D6" i="32"/>
  <c r="D27" i="32"/>
  <c r="D25" i="32" s="1"/>
  <c r="D20" i="32"/>
  <c r="D18" i="32"/>
  <c r="D31" i="32"/>
  <c r="D30" i="32" s="1"/>
  <c r="D15" i="32"/>
  <c r="D10" i="32"/>
  <c r="D9" i="32" s="1"/>
  <c r="C40" i="14"/>
  <c r="D14" i="32" l="1"/>
  <c r="C19" i="12"/>
  <c r="D5" i="32" l="1"/>
  <c r="E31" i="12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4" i="32" l="1"/>
  <c r="C33" i="13"/>
  <c r="F8" i="13"/>
  <c r="E8" i="13"/>
  <c r="C30" i="13"/>
  <c r="C18" i="12" s="1"/>
  <c r="I8" i="13"/>
  <c r="H8" i="13"/>
  <c r="C64" i="13"/>
  <c r="E18" i="12" s="1"/>
  <c r="C44" i="13"/>
  <c r="D18" i="12" s="1"/>
  <c r="C61" i="13"/>
  <c r="E17" i="12" s="1"/>
  <c r="C41" i="13"/>
  <c r="D17" i="12" s="1"/>
  <c r="E5" i="32" l="1"/>
  <c r="C16" i="12"/>
  <c r="C8" i="13"/>
  <c r="C47" i="13"/>
  <c r="D16" i="12"/>
  <c r="D22" i="12" s="1"/>
  <c r="D33" i="12" s="1"/>
  <c r="E16" i="12"/>
  <c r="E22" i="12" s="1"/>
  <c r="E33" i="12" s="1"/>
  <c r="C22" i="12"/>
  <c r="C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H64" authorId="0" shapeId="0" xr:uid="{450849AB-03A4-44F5-8692-40B01A9521B4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ručno dodano, ne povlači formulu</t>
        </r>
      </text>
    </comment>
  </commentList>
</comments>
</file>

<file path=xl/sharedStrings.xml><?xml version="1.0" encoding="utf-8"?>
<sst xmlns="http://schemas.openxmlformats.org/spreadsheetml/2006/main" count="14384" uniqueCount="5286">
  <si>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</si>
  <si>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</si>
  <si>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</si>
  <si>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</si>
  <si>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</si>
  <si>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</si>
  <si>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</si>
  <si>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</si>
  <si>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</si>
  <si>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</si>
  <si>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</si>
  <si>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</si>
  <si>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</si>
  <si>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</si>
  <si>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</si>
  <si>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</si>
  <si>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</si>
  <si>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</si>
  <si>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</si>
  <si>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</si>
  <si>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</si>
  <si>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</si>
  <si>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</si>
  <si>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</si>
  <si>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</si>
  <si>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</si>
  <si>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</si>
  <si>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</si>
  <si>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</si>
  <si>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</si>
  <si>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</si>
  <si>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</si>
  <si>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</si>
  <si>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</si>
  <si>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</si>
  <si>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</si>
  <si>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</si>
  <si>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</si>
  <si>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</si>
  <si>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</si>
  <si>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</si>
  <si>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</si>
  <si>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</si>
  <si>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</si>
  <si>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</si>
  <si>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</si>
  <si>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</si>
  <si>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</si>
  <si>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</si>
  <si>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</si>
  <si>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</si>
  <si>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</si>
  <si>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</si>
  <si>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</si>
  <si>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</si>
  <si>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</si>
  <si>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</si>
  <si>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</si>
  <si>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</si>
  <si>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</si>
  <si>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</si>
  <si>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</si>
  <si>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</si>
  <si>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</si>
  <si>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</si>
  <si>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</si>
  <si>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</si>
  <si>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</si>
  <si>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</si>
  <si>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</si>
  <si>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</si>
  <si>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</si>
  <si>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</si>
  <si>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</si>
  <si>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</si>
  <si>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</si>
  <si>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</si>
  <si>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</si>
  <si>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</si>
  <si>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</si>
  <si>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</si>
  <si>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</si>
  <si>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</si>
  <si>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</si>
  <si>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</si>
  <si>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</si>
  <si>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</si>
  <si>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</si>
  <si>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</si>
  <si>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</si>
  <si>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</si>
  <si>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</si>
  <si>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</si>
  <si>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</si>
  <si>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</si>
  <si>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</si>
  <si>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</si>
  <si>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</si>
  <si>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</si>
  <si>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</si>
  <si>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</si>
  <si>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</si>
  <si>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</si>
  <si>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</si>
  <si>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</si>
  <si>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</si>
  <si>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</si>
  <si>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</si>
  <si>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</si>
  <si>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</si>
  <si>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</si>
  <si>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</si>
  <si>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</si>
  <si>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</si>
  <si>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</si>
  <si>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</si>
  <si>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</si>
  <si>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</si>
  <si>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</si>
  <si>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</si>
  <si>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</si>
  <si>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</si>
  <si>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</si>
  <si>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</si>
  <si>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</si>
  <si>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</si>
  <si>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</si>
  <si>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</si>
  <si>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</si>
  <si>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</si>
  <si>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</si>
  <si>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</si>
  <si>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</si>
  <si>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</si>
  <si>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</si>
  <si>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</si>
  <si>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</si>
  <si>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</si>
  <si>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</si>
  <si>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</si>
  <si>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</si>
  <si>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</si>
  <si>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</si>
  <si>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</si>
  <si>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</si>
  <si>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</si>
  <si>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</si>
  <si>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</si>
  <si>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</si>
  <si>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</si>
  <si>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</si>
  <si>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</si>
  <si>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</si>
  <si>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</si>
  <si>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</si>
  <si>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</si>
  <si>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</si>
  <si>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</si>
  <si>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</si>
  <si>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</si>
  <si>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</si>
  <si>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</si>
  <si>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</si>
  <si>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</si>
  <si>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</si>
  <si>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</si>
  <si>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</si>
  <si>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</si>
  <si>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</si>
  <si>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</si>
  <si>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</si>
  <si>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</si>
  <si>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</si>
  <si>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</si>
  <si>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</si>
  <si>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</si>
  <si>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</si>
  <si>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</si>
  <si>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</si>
  <si>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</si>
  <si>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</si>
  <si>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</si>
  <si>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</si>
  <si>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</si>
  <si>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</si>
  <si>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</si>
  <si>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</si>
  <si>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</si>
  <si>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</si>
  <si>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</si>
  <si>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</si>
  <si>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</si>
  <si>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</si>
  <si>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</si>
  <si>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</si>
  <si>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</si>
  <si>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</si>
  <si>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</si>
  <si>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</si>
  <si>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</si>
  <si>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</si>
  <si>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</si>
  <si>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</si>
  <si>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</si>
  <si>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</si>
  <si>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</si>
  <si>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</si>
  <si>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</si>
  <si>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</si>
  <si>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</si>
  <si>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</si>
  <si>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</si>
  <si>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</si>
  <si>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</si>
  <si>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</si>
  <si>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</si>
  <si>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</si>
  <si>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</si>
  <si>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</si>
  <si>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</si>
  <si>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</si>
  <si>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</si>
  <si>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</si>
  <si>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</si>
  <si>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</si>
  <si>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</si>
  <si>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</si>
  <si>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</si>
  <si>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</si>
  <si>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</si>
  <si>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</si>
  <si>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</si>
  <si>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</si>
  <si>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</si>
  <si>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</si>
  <si>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</si>
  <si>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</si>
  <si>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</si>
  <si>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</si>
  <si>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</si>
  <si>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</si>
  <si>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</si>
  <si>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</si>
  <si>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</si>
  <si>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</si>
  <si>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</si>
  <si>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</si>
  <si>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</si>
  <si>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</si>
  <si>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</si>
  <si>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</si>
  <si>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</si>
  <si>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</si>
  <si>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</si>
  <si>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</si>
  <si>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</si>
  <si>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</si>
  <si>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</si>
  <si>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</si>
  <si>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</si>
  <si>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</si>
  <si>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</si>
  <si>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</si>
  <si>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</si>
  <si>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</si>
  <si>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</si>
  <si>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</si>
  <si>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</si>
  <si>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</si>
  <si>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</si>
  <si>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</si>
  <si>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</si>
  <si>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</si>
  <si>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</si>
  <si>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</si>
  <si>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</si>
  <si>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</si>
  <si>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</si>
  <si>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</si>
  <si>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</si>
  <si>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</si>
  <si>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</si>
  <si>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</si>
  <si>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</si>
  <si>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</si>
  <si>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</si>
  <si>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</si>
  <si>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</si>
  <si>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</si>
  <si>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</si>
  <si>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</si>
  <si>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</si>
  <si>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</si>
  <si>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</si>
  <si>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</si>
  <si>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</si>
  <si>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</si>
  <si>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</si>
  <si>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</si>
  <si>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</si>
  <si>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</si>
  <si>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</si>
  <si>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</si>
  <si>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</si>
  <si>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</si>
  <si>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</si>
  <si>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</si>
  <si>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</si>
  <si>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</si>
  <si>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</si>
  <si>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</si>
  <si>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</si>
  <si>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</si>
  <si>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</si>
  <si>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</si>
  <si>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</si>
  <si>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</si>
  <si>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</si>
  <si>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</si>
  <si>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</si>
  <si>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</si>
  <si>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</si>
  <si>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</si>
  <si>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</si>
  <si>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</si>
  <si>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</si>
  <si>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</si>
  <si>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</si>
  <si>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</si>
  <si>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</si>
  <si>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</si>
  <si>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</si>
  <si>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</si>
  <si>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</si>
  <si>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</si>
  <si>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</si>
  <si>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</si>
  <si>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</si>
  <si>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</si>
  <si>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</si>
  <si>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</si>
  <si>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</si>
  <si>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</si>
  <si>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</si>
  <si>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</si>
  <si>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</si>
  <si>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</si>
  <si>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</si>
  <si>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</si>
  <si>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</si>
  <si>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</si>
  <si>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</si>
  <si>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</si>
  <si>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</si>
  <si>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</si>
  <si>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</si>
  <si>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</si>
  <si>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</si>
  <si>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</si>
  <si>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</si>
  <si>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</si>
  <si>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</si>
  <si>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</si>
  <si>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</si>
  <si>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</si>
  <si>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</si>
  <si>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</si>
  <si>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</si>
  <si>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</si>
  <si>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</si>
  <si>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</si>
  <si>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</si>
  <si>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</si>
  <si>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</si>
  <si>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</si>
  <si>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</si>
  <si>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</si>
  <si>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</si>
  <si>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</si>
  <si>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</si>
  <si>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</si>
  <si>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</si>
  <si>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</si>
  <si>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</si>
  <si>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</si>
  <si>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</si>
  <si>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</si>
  <si>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</si>
  <si>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</si>
  <si>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</si>
  <si>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</si>
  <si>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</si>
  <si>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</si>
  <si>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</si>
  <si>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</si>
  <si>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</si>
  <si>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</si>
  <si>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</si>
  <si>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</si>
  <si>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</si>
  <si>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</si>
  <si>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</si>
  <si>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</si>
  <si>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</si>
  <si>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</si>
  <si>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</si>
  <si>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</si>
  <si>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</si>
  <si>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</si>
  <si>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</si>
  <si>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</si>
  <si>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</si>
  <si>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</si>
  <si>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</si>
  <si>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</si>
  <si>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</si>
  <si>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</si>
  <si>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</si>
  <si>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</si>
  <si>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</si>
  <si>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</si>
  <si>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</si>
  <si>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</si>
  <si>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</si>
  <si>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</si>
  <si>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</si>
  <si>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</si>
  <si>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</si>
  <si>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</si>
  <si>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</si>
  <si>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</si>
  <si>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</si>
  <si>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</si>
  <si>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</si>
  <si>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</si>
  <si>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</si>
  <si>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</si>
  <si>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</si>
  <si>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</si>
  <si>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</si>
  <si>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</si>
  <si>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</si>
  <si>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</si>
  <si>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</si>
  <si>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</si>
  <si>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</si>
  <si>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</si>
  <si>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</si>
  <si>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</si>
  <si>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</si>
  <si>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</si>
  <si>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</si>
  <si>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</si>
  <si>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</si>
  <si>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</si>
  <si>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</si>
  <si>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</si>
  <si>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</si>
  <si>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</si>
  <si>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</si>
  <si>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</si>
  <si>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</si>
  <si>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</si>
  <si>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</si>
  <si>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</si>
  <si>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</si>
  <si>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</si>
  <si>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</si>
  <si>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</si>
  <si>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</si>
  <si>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</si>
  <si>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</si>
  <si>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</si>
  <si>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</si>
  <si>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</si>
  <si>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</si>
  <si>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</si>
  <si>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</si>
  <si>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</si>
  <si>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</si>
  <si>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</si>
  <si>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</si>
  <si>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</si>
  <si>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</si>
  <si>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</si>
  <si>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</si>
  <si>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</si>
  <si>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</si>
  <si>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</si>
  <si>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</si>
  <si>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</si>
  <si>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</si>
  <si>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</si>
  <si>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</si>
  <si>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</si>
  <si>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</si>
  <si>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</si>
  <si>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</si>
  <si>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</si>
  <si>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</si>
  <si>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</si>
  <si>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</si>
  <si>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</si>
  <si>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</si>
  <si>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</si>
  <si>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</si>
  <si>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</si>
  <si>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</si>
  <si>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</si>
  <si>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</si>
  <si>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</si>
  <si>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</si>
  <si>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</si>
  <si>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</si>
  <si>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</si>
  <si>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</si>
  <si>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</si>
  <si>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</si>
  <si>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</si>
  <si>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</si>
  <si>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</si>
  <si>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</si>
  <si>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</si>
  <si>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</si>
  <si>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</si>
  <si>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</si>
  <si>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</si>
  <si>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</si>
  <si>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</si>
  <si>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</si>
  <si>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</si>
  <si>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</si>
  <si>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</si>
  <si>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</si>
  <si>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</si>
  <si>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</si>
  <si>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</si>
  <si>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</si>
  <si>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</si>
  <si>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</si>
  <si>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</si>
  <si>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</si>
  <si>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</si>
  <si>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</si>
  <si>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</si>
  <si>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</si>
  <si>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</si>
  <si>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</si>
  <si>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</si>
  <si>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</si>
  <si>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</si>
  <si>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</si>
  <si>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</si>
  <si>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</si>
  <si>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</si>
  <si>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</si>
  <si>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</si>
  <si>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</si>
  <si>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</si>
  <si>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</si>
  <si>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</si>
  <si>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</si>
  <si>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</si>
  <si>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</si>
  <si>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</si>
  <si>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</si>
  <si>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</si>
  <si>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</si>
  <si>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</si>
  <si>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</si>
  <si>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</si>
  <si>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</si>
  <si>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</si>
  <si>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</si>
  <si>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</si>
  <si>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</si>
  <si>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</si>
  <si>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</si>
  <si>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</si>
  <si>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</si>
  <si>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</si>
  <si>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</si>
  <si>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</si>
  <si>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</si>
  <si>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</si>
  <si>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</si>
  <si>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</si>
  <si>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</si>
  <si>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</si>
  <si>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</si>
  <si>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</si>
  <si>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</si>
  <si>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</si>
  <si>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</si>
  <si>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</si>
  <si>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</si>
  <si>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</si>
  <si>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</si>
  <si>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</si>
  <si>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</si>
  <si>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</si>
  <si>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</si>
  <si>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</si>
  <si>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</si>
  <si>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</si>
  <si>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</si>
  <si>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</si>
  <si>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</si>
  <si>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</si>
  <si>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</si>
  <si>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</si>
  <si>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</si>
  <si>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</si>
  <si>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</si>
  <si>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</si>
  <si>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</si>
  <si>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</si>
  <si>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</si>
  <si>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</si>
  <si>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</si>
  <si>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</si>
  <si>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</si>
  <si>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</si>
  <si>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</si>
  <si>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</si>
  <si>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</si>
  <si>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</si>
  <si>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</si>
  <si>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</si>
  <si>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</si>
  <si>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</si>
  <si>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</si>
  <si>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</si>
  <si>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</si>
  <si>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</si>
  <si>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</si>
  <si>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</si>
  <si>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</si>
  <si>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</si>
  <si>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</si>
  <si>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</si>
  <si>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</si>
  <si>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</si>
  <si>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</si>
  <si>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</si>
  <si>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</si>
  <si>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</si>
  <si>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</si>
  <si>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</si>
  <si>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</si>
  <si>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</si>
  <si>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</si>
  <si>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</si>
  <si>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</si>
  <si>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</si>
  <si>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</si>
  <si>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</si>
  <si>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</si>
  <si>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</si>
  <si>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</si>
  <si>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</si>
  <si>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</si>
  <si>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</si>
  <si>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</si>
  <si>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</si>
  <si>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</si>
  <si>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</si>
  <si>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</si>
  <si>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</si>
  <si>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</si>
  <si>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</si>
  <si>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</si>
  <si>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</si>
  <si>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</si>
  <si>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</si>
  <si>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</si>
  <si>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</si>
  <si>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</si>
  <si>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</si>
  <si>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</si>
  <si>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</si>
  <si>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</si>
  <si>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</si>
  <si>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</si>
  <si>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</si>
  <si>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</si>
  <si>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</si>
  <si>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</si>
  <si>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</si>
  <si>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</si>
  <si>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</si>
  <si>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</si>
  <si>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</si>
  <si>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</si>
  <si>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</si>
  <si>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</si>
  <si>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</si>
  <si>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</si>
  <si>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</si>
  <si>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</si>
  <si>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</si>
  <si>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</si>
  <si>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</si>
  <si>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</si>
  <si>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</si>
  <si>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</si>
  <si>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</si>
  <si>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</si>
  <si>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</si>
  <si>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</si>
  <si>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</si>
  <si>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</si>
  <si>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</si>
  <si>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</si>
  <si>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</si>
  <si>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</si>
  <si>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</si>
  <si>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</si>
  <si>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</si>
  <si>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</si>
  <si>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</si>
  <si>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</si>
  <si>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</si>
  <si>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</si>
  <si>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</si>
  <si>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</si>
  <si>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</si>
  <si>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</si>
  <si>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</si>
  <si>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</si>
  <si>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</si>
  <si>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</si>
  <si>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</si>
  <si>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</si>
  <si>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</si>
  <si>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</si>
  <si>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</si>
  <si>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</si>
  <si>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</si>
  <si>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</si>
  <si>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</si>
  <si>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</si>
  <si>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</si>
  <si>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</si>
  <si>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</si>
  <si>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</si>
  <si>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</si>
  <si>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</si>
  <si>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</si>
  <si>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</si>
  <si>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</si>
  <si>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</si>
  <si>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</si>
  <si>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</si>
  <si>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</si>
  <si>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</si>
  <si>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</si>
  <si>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</si>
  <si>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</si>
  <si>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</si>
  <si>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</si>
  <si>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</si>
  <si>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</si>
  <si>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</si>
  <si>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</si>
  <si>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</si>
  <si>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</si>
  <si>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</si>
  <si>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</si>
  <si>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</si>
  <si>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</si>
  <si>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</si>
  <si>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</si>
  <si>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</si>
  <si>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</si>
  <si>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</si>
  <si>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</si>
  <si>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</si>
  <si>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</si>
  <si>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</si>
  <si>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</si>
  <si>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</si>
  <si>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</si>
  <si>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</si>
  <si>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</si>
  <si>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</si>
  <si>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</si>
  <si>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</si>
  <si>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</si>
  <si>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</si>
  <si>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</si>
  <si>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</si>
  <si>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</si>
  <si>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</si>
  <si>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</si>
  <si>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</si>
  <si>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</si>
  <si>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</si>
  <si>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</si>
  <si>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</si>
  <si>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</si>
  <si>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</si>
  <si>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</si>
  <si>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</si>
  <si>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</si>
  <si>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</si>
  <si>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</si>
  <si>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</si>
  <si>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</si>
  <si>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</si>
  <si>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</si>
  <si>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</si>
  <si>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</si>
  <si>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</si>
  <si>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</si>
  <si>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</si>
  <si>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</si>
  <si>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</si>
  <si>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</si>
  <si>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</si>
  <si>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</si>
  <si>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</si>
  <si>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</si>
  <si>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</si>
  <si>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</si>
  <si>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</si>
  <si>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</si>
  <si>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</si>
  <si>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</si>
  <si>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</si>
  <si>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</si>
  <si>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</si>
  <si>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</si>
  <si>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</si>
  <si>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</si>
  <si>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</si>
  <si>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</si>
  <si>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</si>
  <si>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</si>
  <si>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</si>
  <si>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</si>
  <si>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</si>
  <si>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</si>
  <si>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</si>
  <si>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</si>
  <si>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</si>
  <si>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</si>
  <si>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</si>
  <si>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</si>
  <si>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</si>
  <si>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</si>
  <si>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</si>
  <si>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</si>
  <si>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</si>
  <si>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</si>
  <si>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</si>
  <si>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</si>
  <si>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</si>
  <si>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</si>
  <si>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</si>
  <si>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</si>
  <si>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</si>
  <si>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</si>
  <si>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</si>
  <si>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</si>
  <si>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</si>
  <si>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</si>
  <si>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</si>
  <si>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</si>
  <si>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</si>
  <si>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</si>
  <si>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</si>
  <si>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</si>
  <si>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</si>
  <si>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</si>
  <si>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</si>
  <si>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</si>
  <si>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</si>
  <si>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</si>
  <si>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</si>
  <si>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</si>
  <si>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</si>
  <si>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</si>
  <si>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</si>
  <si>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</si>
  <si>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</si>
  <si>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</si>
  <si>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</si>
  <si>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</si>
  <si>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</si>
  <si>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</si>
  <si>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</si>
  <si>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</si>
  <si>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</si>
  <si>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</si>
  <si>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</si>
  <si>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</si>
  <si>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</si>
  <si>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</si>
  <si>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</si>
  <si>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</si>
  <si>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</si>
  <si>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</si>
  <si>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</si>
  <si>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</si>
  <si>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</si>
  <si>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</si>
  <si>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</si>
  <si>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</si>
  <si>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</si>
  <si>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</si>
  <si>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</si>
  <si>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</si>
  <si>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</si>
  <si>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</si>
  <si>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</si>
  <si>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</si>
  <si>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</si>
  <si>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</si>
  <si>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</si>
  <si>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</si>
  <si>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</si>
  <si>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</si>
  <si>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</si>
  <si>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</si>
  <si>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</si>
  <si>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</si>
  <si>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</si>
  <si>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</si>
  <si>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</si>
  <si>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</si>
  <si>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</si>
  <si>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</si>
  <si>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</si>
  <si>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</si>
  <si>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</si>
  <si>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</si>
  <si>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</si>
  <si>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</si>
  <si>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</si>
  <si>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</si>
  <si>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</si>
  <si>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</si>
  <si>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</si>
  <si>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</si>
  <si>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</si>
  <si>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</si>
  <si>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</si>
  <si>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</si>
  <si>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</si>
  <si>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</si>
  <si>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</si>
  <si>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</si>
  <si>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</si>
  <si>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</si>
  <si>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</si>
  <si>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</si>
  <si>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</si>
  <si>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</si>
  <si>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</si>
  <si>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</si>
  <si>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</si>
  <si>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</si>
  <si>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</si>
  <si>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</si>
  <si>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</si>
  <si>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</si>
  <si>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</si>
  <si>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</si>
  <si>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</si>
  <si>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</si>
  <si>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</si>
  <si>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</si>
  <si>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</si>
  <si>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</si>
  <si>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</si>
  <si>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</si>
  <si>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</si>
  <si>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</si>
  <si>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</si>
  <si>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</si>
  <si>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</si>
  <si>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</si>
  <si>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</si>
  <si>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</si>
  <si>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</si>
  <si>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</si>
  <si>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</si>
  <si>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</si>
  <si>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</si>
  <si>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</si>
  <si>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</si>
  <si>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</si>
  <si>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</si>
  <si>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</si>
  <si>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</si>
  <si>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</si>
  <si>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</si>
  <si>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</si>
  <si>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</si>
  <si>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</si>
  <si>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</si>
  <si>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</si>
  <si>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</si>
  <si>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</si>
  <si>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</si>
  <si>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</si>
  <si>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</si>
  <si>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</si>
  <si>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</si>
  <si>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</si>
  <si>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</si>
  <si>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</si>
  <si>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</si>
  <si>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</si>
  <si>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</si>
  <si>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</si>
  <si>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</si>
  <si>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</si>
  <si>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</si>
  <si>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</si>
  <si>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</si>
  <si>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</si>
  <si>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</si>
  <si>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</si>
  <si>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</si>
  <si>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</si>
  <si>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</si>
  <si>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</si>
  <si>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</si>
  <si>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</si>
  <si>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</si>
  <si>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</si>
  <si>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</si>
  <si>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</si>
  <si>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</si>
  <si>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</si>
  <si>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</si>
  <si>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</si>
  <si>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</si>
  <si>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</si>
  <si>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</si>
  <si>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</si>
  <si>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</si>
  <si>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</si>
  <si>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</si>
  <si>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</si>
  <si>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</si>
  <si>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</si>
  <si>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</si>
  <si>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</si>
  <si>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</si>
  <si>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</si>
  <si>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</si>
  <si>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</si>
  <si>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</si>
  <si>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</si>
  <si>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</si>
  <si>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</si>
  <si>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</si>
  <si>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</si>
  <si>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</si>
  <si>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</si>
  <si>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</si>
  <si>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</si>
  <si>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</si>
  <si>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</si>
  <si>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</si>
  <si>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</si>
  <si>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</si>
  <si>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</si>
  <si>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</si>
  <si>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</si>
  <si>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</si>
  <si>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</si>
  <si>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</si>
  <si>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</si>
  <si>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</si>
  <si>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</si>
  <si>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</si>
  <si>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</si>
  <si>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</si>
  <si>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</si>
  <si>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</si>
  <si>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</si>
  <si>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</si>
  <si>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</si>
  <si>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</si>
  <si>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</si>
  <si>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</si>
  <si>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</si>
  <si>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</si>
  <si>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</si>
  <si>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</si>
  <si>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</si>
  <si>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</si>
  <si>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</si>
  <si>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</si>
  <si>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</si>
  <si>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</si>
  <si>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</si>
  <si>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</si>
  <si>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</si>
  <si>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</si>
  <si>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</si>
  <si>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</si>
  <si>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</si>
  <si>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</si>
  <si>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</si>
  <si>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</si>
  <si>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</si>
  <si>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</si>
  <si>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</si>
  <si>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</si>
  <si>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</si>
  <si>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</si>
  <si>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</si>
  <si>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</si>
  <si>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</si>
  <si>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</si>
  <si>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</si>
  <si>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</si>
  <si>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</si>
  <si>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</si>
  <si>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</si>
  <si>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</si>
  <si>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</si>
  <si>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</si>
  <si>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</si>
  <si>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</si>
  <si>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</si>
  <si>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</si>
  <si>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</si>
  <si>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</si>
  <si>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</si>
  <si>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</si>
  <si>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</si>
  <si>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</si>
  <si>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</si>
  <si>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</si>
  <si>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</si>
  <si>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</si>
  <si>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</si>
  <si>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</si>
  <si>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</si>
  <si>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</si>
  <si>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</si>
  <si>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</si>
  <si>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</si>
  <si>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</si>
  <si>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</si>
  <si>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</si>
  <si>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</si>
  <si>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</si>
  <si>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</si>
  <si>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</si>
  <si>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</si>
  <si>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</si>
  <si>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</si>
  <si>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</si>
  <si>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</si>
  <si>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</si>
  <si>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</si>
  <si>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</si>
  <si>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</si>
  <si>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</si>
  <si>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</si>
  <si>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</si>
  <si>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</si>
  <si>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</si>
  <si>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</si>
  <si>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</si>
  <si>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</si>
  <si>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</si>
  <si>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</si>
  <si>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</si>
  <si>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</si>
  <si>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</si>
  <si>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</si>
  <si>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</si>
  <si>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</si>
  <si>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</si>
  <si>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</si>
  <si>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</si>
  <si>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</si>
  <si>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</si>
  <si>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</si>
  <si>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</si>
  <si>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</si>
  <si>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</si>
  <si>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</si>
  <si>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</si>
  <si>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</si>
  <si>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</si>
  <si>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</si>
  <si>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</si>
  <si>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</si>
  <si>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</si>
  <si>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</si>
  <si>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</si>
  <si>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</si>
  <si>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</si>
  <si>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</si>
  <si>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</si>
  <si>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</si>
  <si>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</si>
  <si>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</si>
  <si>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</si>
  <si>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</si>
  <si>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</si>
  <si>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</si>
  <si>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</si>
  <si>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</si>
  <si>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</si>
  <si>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</si>
  <si>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</si>
  <si>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</si>
  <si>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</si>
  <si>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</si>
  <si>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</si>
  <si>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</si>
  <si>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</si>
  <si>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</si>
  <si>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</si>
  <si>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</si>
  <si>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</si>
  <si>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</si>
  <si>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</si>
  <si>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</si>
  <si>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</si>
  <si>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</si>
  <si>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</si>
  <si>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</si>
  <si>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</si>
  <si>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</si>
  <si>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</si>
  <si>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</si>
  <si>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</si>
  <si>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</si>
  <si>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</si>
  <si>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</si>
  <si>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</si>
  <si>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</si>
  <si>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</si>
  <si>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</si>
  <si>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</si>
  <si>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</si>
  <si>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</si>
  <si>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</si>
  <si>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</si>
  <si>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</si>
  <si>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</si>
  <si>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</si>
  <si>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</si>
  <si>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</si>
  <si>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</si>
  <si>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</si>
  <si>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</si>
  <si>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</si>
  <si>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</si>
  <si>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</si>
  <si>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</si>
  <si>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</si>
  <si>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</si>
  <si>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</si>
  <si>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</si>
  <si>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</si>
  <si>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</si>
  <si>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</si>
  <si>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</si>
  <si>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</si>
  <si>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</si>
  <si>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</si>
  <si>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</si>
  <si>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</si>
  <si>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</si>
  <si>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</si>
  <si>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</si>
  <si>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</si>
  <si>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</si>
  <si>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</si>
  <si>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</si>
  <si>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</si>
  <si>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</si>
  <si>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</si>
  <si>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</si>
  <si>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</si>
  <si>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</si>
  <si>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</si>
  <si>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</si>
  <si>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</si>
  <si>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</si>
  <si>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</si>
  <si>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</si>
  <si>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</si>
  <si>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</si>
  <si>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</si>
  <si>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</si>
  <si>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</si>
  <si>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</si>
  <si>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</si>
  <si>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</si>
  <si>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</si>
  <si>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</si>
  <si>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</si>
  <si>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</si>
  <si>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</si>
  <si>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</si>
  <si>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</si>
  <si>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</si>
  <si>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</si>
  <si>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</si>
  <si>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</si>
  <si>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</si>
  <si>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</si>
  <si>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</si>
  <si>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</si>
  <si>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</si>
  <si>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</si>
  <si>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</si>
  <si>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</si>
  <si>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</si>
  <si>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</si>
  <si>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</si>
  <si>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</si>
  <si>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</si>
  <si>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</si>
  <si>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</si>
  <si>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</si>
  <si>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</si>
  <si>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</si>
  <si>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</si>
  <si>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</si>
  <si>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</si>
  <si>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</si>
  <si>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</si>
  <si>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</si>
  <si>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</si>
  <si>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</si>
  <si>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</si>
  <si>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</si>
  <si>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</si>
  <si>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</si>
  <si>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</si>
  <si>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</si>
  <si>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</si>
  <si>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</si>
  <si>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</si>
  <si>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</si>
  <si>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</si>
  <si>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</si>
  <si>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</si>
  <si>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</si>
  <si>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</si>
  <si>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</si>
  <si>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</si>
  <si>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</si>
  <si>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</si>
  <si>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</si>
  <si>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</si>
  <si>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</si>
  <si>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</si>
  <si>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</si>
  <si>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</si>
  <si>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</si>
  <si>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</si>
  <si>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</si>
  <si>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</si>
  <si>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</si>
  <si>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</si>
  <si>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</si>
  <si>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</si>
  <si>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</si>
  <si>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</si>
  <si>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</si>
  <si>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</si>
  <si>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</si>
  <si>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</si>
  <si>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</si>
  <si>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</si>
  <si>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</si>
  <si>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</si>
  <si>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</si>
  <si>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</si>
  <si>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</si>
  <si>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</si>
  <si>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</si>
  <si>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</si>
  <si>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</si>
  <si>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</si>
  <si>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</si>
  <si>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</si>
  <si>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</si>
  <si>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</si>
  <si>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</si>
  <si>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</si>
  <si>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</si>
  <si>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</si>
  <si>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</si>
  <si>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</si>
  <si>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</si>
  <si>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</si>
  <si>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</si>
  <si>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</si>
  <si>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</si>
  <si>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</si>
  <si>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</si>
  <si>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</si>
  <si>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</si>
  <si>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</si>
  <si>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</si>
  <si>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</si>
  <si>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</si>
  <si>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</si>
  <si>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</si>
  <si>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</si>
  <si>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</si>
  <si>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</si>
  <si>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</si>
  <si>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</si>
  <si>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</si>
  <si>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</si>
  <si>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</si>
  <si>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</si>
  <si>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</si>
  <si>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</si>
  <si>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</si>
  <si>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</si>
  <si>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</si>
  <si>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</si>
  <si>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</si>
  <si>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</si>
  <si>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</si>
  <si>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</si>
  <si>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</si>
  <si>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</si>
  <si>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</si>
  <si>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</si>
  <si>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</si>
  <si>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</si>
  <si>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</si>
  <si>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</si>
  <si>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</si>
  <si>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</si>
  <si>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</si>
  <si>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</si>
  <si>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</si>
  <si>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</si>
  <si>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</si>
  <si>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</si>
  <si>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</si>
  <si>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</si>
  <si>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</si>
  <si>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</si>
  <si>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</si>
  <si>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</si>
  <si>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</si>
  <si>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</si>
  <si>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</si>
  <si>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</si>
  <si>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</si>
  <si>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</si>
  <si>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</si>
  <si>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</si>
  <si>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</si>
  <si>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</si>
  <si>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</si>
  <si>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</si>
  <si>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</si>
  <si>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</si>
  <si>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</si>
  <si>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</si>
  <si>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</si>
  <si>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</si>
  <si>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</si>
  <si>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</si>
  <si>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</si>
  <si>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</si>
  <si>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</si>
  <si>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</si>
  <si>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</si>
  <si>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</si>
  <si>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</si>
  <si>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</si>
  <si>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</si>
  <si>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</si>
  <si>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</si>
  <si>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</si>
  <si>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</si>
  <si>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</si>
  <si>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</si>
  <si>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</si>
  <si>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</si>
  <si>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</si>
  <si>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</si>
  <si>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</si>
  <si>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</si>
  <si>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</si>
  <si>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</si>
  <si>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</si>
  <si>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</si>
  <si>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</si>
  <si>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</si>
  <si>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</si>
  <si>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</si>
  <si>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</si>
  <si>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</si>
  <si>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</si>
  <si>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</si>
  <si>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</si>
  <si>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</si>
  <si>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</si>
  <si>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</si>
  <si>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</si>
  <si>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</si>
  <si>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</si>
  <si>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</si>
  <si>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</si>
  <si>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</si>
  <si>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</si>
  <si>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</si>
  <si>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</si>
  <si>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</si>
  <si>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</si>
  <si>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</si>
  <si>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</si>
  <si>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</si>
  <si>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</si>
  <si>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</si>
  <si>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</si>
  <si>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</si>
  <si>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</si>
  <si>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</si>
  <si>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</si>
  <si>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</si>
  <si>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</si>
  <si>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</si>
  <si>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</si>
  <si>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</si>
  <si>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</si>
  <si>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</si>
  <si>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</si>
  <si>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</si>
  <si>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</si>
  <si>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</si>
  <si>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</si>
  <si>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</si>
  <si>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</si>
  <si>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</si>
  <si>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</si>
  <si>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</si>
  <si>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</si>
  <si>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</si>
  <si>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</si>
  <si>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</si>
  <si>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</si>
  <si>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</si>
  <si>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</si>
  <si>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</si>
  <si>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</si>
  <si>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</si>
  <si>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</si>
  <si>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</si>
  <si>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</si>
  <si>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</si>
  <si>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</si>
  <si>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</si>
  <si>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</si>
  <si>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</si>
  <si>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</si>
  <si>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</si>
  <si>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</si>
  <si>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</si>
  <si>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</si>
  <si>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</si>
  <si>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</si>
  <si>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</si>
  <si>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</si>
  <si>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</si>
  <si>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</si>
  <si>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</si>
  <si>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</si>
  <si>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</si>
  <si>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</si>
  <si>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</si>
  <si>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</si>
  <si>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</si>
  <si>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</si>
  <si>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</si>
  <si>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</si>
  <si>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</si>
  <si>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</si>
  <si>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</si>
  <si>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</si>
  <si>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</si>
  <si>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</si>
  <si>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</si>
  <si>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</si>
  <si>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</si>
  <si>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</si>
  <si>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</si>
  <si>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</si>
  <si>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</si>
  <si>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</si>
  <si>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</si>
  <si>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</si>
  <si>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</si>
  <si>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</si>
  <si>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</si>
  <si>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</si>
  <si>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</si>
  <si>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</si>
  <si>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</si>
  <si>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</si>
  <si>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</si>
  <si>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</si>
  <si>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</si>
  <si>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</si>
  <si>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</si>
  <si>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</si>
  <si>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</si>
  <si>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</si>
  <si>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</si>
  <si>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</si>
  <si>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</si>
  <si>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</si>
  <si>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</si>
  <si>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</si>
  <si>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</si>
  <si>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</si>
  <si>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</si>
  <si>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</si>
  <si>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</si>
  <si>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</si>
  <si>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</si>
  <si>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</si>
  <si>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</si>
  <si>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</si>
  <si>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</si>
  <si>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</si>
  <si>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</si>
  <si>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</si>
  <si>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</si>
  <si>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</si>
  <si>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</si>
  <si>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</si>
  <si>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</si>
  <si>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</si>
  <si>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</si>
  <si>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</si>
  <si>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</si>
  <si>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</si>
  <si>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</si>
  <si>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</si>
  <si>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</si>
  <si>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</si>
  <si>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</si>
  <si>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</si>
  <si>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</si>
  <si>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</si>
  <si>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</si>
  <si>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</si>
  <si>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</si>
  <si>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</si>
  <si>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</si>
  <si>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</si>
  <si>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</si>
  <si>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</si>
  <si>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</si>
  <si>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</si>
  <si>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</si>
  <si>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</si>
  <si>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</si>
  <si>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</si>
  <si>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</si>
  <si>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</si>
  <si>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</si>
  <si>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</si>
  <si>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</si>
  <si>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</si>
  <si>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</si>
  <si>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</si>
  <si>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</si>
  <si>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</si>
  <si>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</si>
  <si>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</si>
  <si>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</si>
  <si>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</si>
  <si>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</si>
  <si>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</si>
  <si>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</si>
  <si>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</si>
  <si>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</si>
  <si>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</si>
  <si>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</si>
  <si>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</si>
  <si>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</si>
  <si>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</si>
  <si>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</si>
  <si>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</si>
  <si>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</si>
  <si>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</si>
  <si>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</si>
  <si>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</si>
  <si>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</si>
  <si>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</si>
  <si>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</si>
  <si>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</si>
  <si>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</si>
  <si>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</si>
  <si>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</si>
  <si>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</si>
  <si>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</si>
  <si>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</si>
  <si>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</si>
  <si>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</si>
  <si>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</si>
  <si>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</si>
  <si>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</si>
  <si>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</si>
  <si>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</si>
  <si>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</si>
  <si>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</si>
  <si>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</si>
  <si>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</si>
  <si>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</si>
  <si>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</si>
  <si>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</si>
  <si>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</si>
  <si>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</si>
  <si>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</si>
  <si>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</si>
  <si>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</si>
  <si>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</si>
  <si>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</si>
  <si>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</si>
  <si>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</si>
  <si>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</si>
  <si>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</si>
  <si>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</si>
  <si>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</si>
  <si>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</si>
  <si>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</si>
  <si>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</si>
  <si>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</si>
  <si>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</si>
  <si>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</si>
  <si>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</si>
  <si>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</si>
  <si>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</si>
  <si>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</si>
  <si>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</si>
  <si>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</si>
  <si>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</si>
  <si>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</si>
  <si>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</si>
  <si>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</si>
  <si>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</si>
  <si>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</si>
  <si>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</si>
  <si>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</si>
  <si>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</si>
  <si>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</si>
  <si>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</si>
  <si>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</si>
  <si>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</si>
  <si>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</si>
  <si>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</si>
  <si>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</si>
  <si>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</si>
  <si>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</si>
  <si>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</si>
  <si>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</si>
  <si>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</si>
  <si>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</si>
  <si>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</si>
  <si>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</si>
  <si>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</si>
  <si>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</si>
  <si>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</si>
  <si>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</si>
  <si>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</si>
  <si>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</si>
  <si>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</si>
  <si>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</si>
  <si>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</si>
  <si>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</si>
  <si>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</si>
  <si>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</si>
  <si>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</si>
  <si>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</si>
  <si>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</si>
  <si>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</si>
  <si>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</si>
  <si>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</si>
  <si>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</si>
  <si>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</si>
  <si>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</si>
  <si>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</si>
  <si>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</si>
  <si>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</si>
  <si>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</si>
  <si>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</si>
  <si>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</si>
  <si>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</si>
  <si>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</si>
  <si>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</si>
  <si>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</si>
  <si>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</si>
  <si>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</si>
  <si>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</si>
  <si>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</si>
  <si>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</si>
  <si>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</si>
  <si>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</si>
  <si>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</si>
  <si>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</si>
  <si>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</si>
  <si>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</si>
  <si>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</si>
  <si>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</si>
  <si>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</si>
  <si>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</si>
  <si>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</si>
  <si>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</si>
  <si>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</si>
  <si>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</si>
  <si>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</si>
  <si>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</si>
  <si>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</si>
  <si>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</si>
  <si>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</si>
  <si>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</si>
  <si>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</si>
  <si>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</si>
  <si>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</si>
  <si>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</si>
  <si>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</si>
  <si>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</si>
  <si>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</si>
  <si>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</si>
  <si>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</si>
  <si>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</si>
  <si>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</si>
  <si>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</si>
  <si>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</si>
  <si>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</si>
  <si>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</si>
  <si>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</si>
  <si>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</si>
  <si>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</si>
  <si>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</si>
  <si>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</si>
  <si>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</si>
  <si>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</si>
  <si>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</si>
  <si>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</si>
  <si>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</si>
  <si>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</si>
  <si>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</si>
  <si>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</si>
  <si>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</si>
  <si>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</si>
  <si>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</si>
  <si>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</si>
  <si>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</si>
  <si>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</si>
  <si>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</si>
  <si>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</si>
  <si>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</si>
  <si>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</si>
  <si>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</si>
  <si>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</si>
  <si>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</si>
  <si>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</si>
  <si>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</si>
  <si>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</si>
  <si>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</si>
  <si>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</si>
  <si>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</si>
  <si>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</si>
  <si>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</si>
  <si>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</si>
  <si>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</si>
  <si>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</si>
  <si>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</si>
  <si>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</si>
  <si>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</si>
  <si>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</si>
  <si>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</si>
  <si>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</si>
  <si>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</si>
  <si>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</si>
  <si>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</si>
  <si>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</si>
  <si>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</si>
  <si>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</si>
  <si>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</si>
  <si>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</si>
  <si>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</si>
  <si>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</si>
  <si>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</si>
  <si>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</si>
  <si>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</si>
  <si>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</si>
  <si>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</si>
  <si>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</si>
  <si>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</si>
  <si>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</si>
  <si>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</si>
  <si>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</si>
  <si>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</si>
  <si>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</si>
  <si>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</si>
  <si>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</si>
  <si>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</si>
  <si>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</si>
  <si>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</si>
  <si>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</si>
  <si>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</si>
  <si>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</si>
  <si>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</si>
  <si>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</si>
  <si>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</si>
  <si>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</si>
  <si>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</si>
  <si>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</si>
  <si>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</si>
  <si>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</si>
  <si>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</si>
  <si>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</si>
  <si>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</si>
  <si>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</si>
  <si>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</si>
  <si>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</si>
  <si>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</si>
  <si>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</si>
  <si>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</si>
  <si>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</si>
  <si>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</si>
  <si>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</si>
  <si>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</si>
  <si>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</si>
  <si>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</si>
  <si>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</si>
  <si>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</si>
  <si>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</si>
  <si>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</si>
  <si>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</si>
  <si>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</si>
  <si>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</si>
  <si>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</si>
  <si>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</si>
  <si>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</si>
  <si>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</si>
  <si>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</si>
  <si>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</si>
  <si>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</si>
  <si>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</si>
  <si>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</si>
  <si>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</si>
  <si>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</si>
  <si>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</si>
  <si>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</si>
  <si>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</si>
  <si>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</si>
  <si>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</si>
  <si>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</si>
  <si>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</si>
  <si>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</si>
  <si>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</si>
  <si>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</si>
  <si>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</si>
  <si>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</si>
  <si>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</si>
  <si>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</si>
  <si>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</si>
  <si>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</si>
  <si>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</si>
  <si>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</si>
  <si>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</si>
  <si>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</si>
  <si>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</si>
  <si>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</si>
  <si>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</si>
  <si>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</si>
  <si>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</si>
  <si>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</si>
  <si>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</si>
  <si>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</si>
  <si>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</si>
  <si>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</si>
  <si>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</si>
  <si>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</si>
  <si>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</si>
  <si>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</si>
  <si>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</si>
  <si>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</si>
  <si>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</si>
  <si>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</si>
  <si>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</si>
  <si>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</si>
  <si>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</si>
  <si>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</si>
  <si>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</si>
  <si>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</si>
  <si>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</si>
  <si>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</si>
  <si>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</si>
  <si>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</si>
  <si>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</si>
  <si>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</si>
  <si>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</si>
  <si>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</si>
  <si>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</si>
  <si>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</si>
  <si>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</si>
  <si>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</si>
  <si>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</si>
  <si>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</si>
  <si>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</si>
  <si>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</si>
  <si>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</si>
  <si>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</si>
  <si>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</si>
  <si>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</si>
  <si>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</si>
  <si>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</si>
  <si>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</si>
  <si>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</si>
  <si>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</si>
  <si>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</si>
  <si>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</si>
  <si>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</si>
  <si>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</si>
  <si>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</si>
  <si>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</si>
  <si>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</si>
  <si>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</si>
  <si>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</si>
  <si>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</si>
  <si>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</si>
  <si>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</si>
  <si>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</si>
  <si>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</si>
  <si>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</si>
  <si>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</si>
  <si>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</si>
  <si>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</si>
  <si>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</si>
  <si>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</si>
  <si>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</si>
  <si>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</si>
  <si>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</si>
  <si>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</si>
  <si>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</si>
  <si>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</si>
  <si>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</si>
  <si>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</si>
  <si>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</si>
  <si>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</si>
  <si>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</si>
  <si>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</si>
  <si>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</si>
  <si>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</si>
  <si>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</si>
  <si>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</si>
  <si>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</si>
  <si>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</si>
  <si>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</si>
  <si>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</si>
  <si>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</si>
  <si>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</si>
  <si>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</si>
  <si>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</si>
  <si>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</si>
  <si>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</si>
  <si>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</si>
  <si>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</si>
  <si>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</si>
  <si>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</si>
  <si>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</si>
  <si>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</si>
  <si>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</si>
  <si>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</si>
  <si>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</si>
  <si>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</si>
  <si>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</si>
  <si>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</si>
  <si>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</si>
  <si>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</si>
  <si>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</si>
  <si>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</si>
  <si>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</si>
  <si>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</si>
  <si>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</si>
  <si>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</si>
  <si>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</si>
  <si>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</si>
  <si>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</si>
  <si>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</si>
  <si>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</si>
  <si>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</si>
  <si>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</si>
  <si>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</si>
  <si>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</si>
  <si>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</si>
  <si>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</si>
  <si>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</si>
  <si>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</si>
  <si>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</si>
  <si>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</si>
  <si>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</si>
  <si>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</si>
  <si>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</si>
  <si>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</si>
  <si>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</si>
  <si>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</si>
  <si>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</si>
  <si>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</si>
  <si>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</si>
  <si>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</si>
  <si>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</si>
  <si>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</si>
  <si>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</si>
  <si>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</si>
  <si>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</si>
  <si>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</si>
  <si>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</si>
  <si>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</si>
  <si>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</si>
  <si>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</si>
  <si>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</si>
  <si>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</si>
  <si>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</si>
  <si>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</si>
  <si>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</si>
  <si>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</si>
  <si>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</si>
  <si>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</si>
  <si>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</si>
  <si>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</si>
  <si>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</si>
  <si>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</si>
  <si>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</si>
  <si>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</si>
  <si>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</si>
  <si>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</si>
  <si>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</si>
  <si>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</si>
  <si>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</si>
  <si>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</si>
  <si>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</si>
  <si>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</si>
  <si>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</si>
  <si>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</si>
  <si>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</si>
  <si>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</si>
  <si>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</si>
  <si>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</si>
  <si>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</si>
  <si>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</si>
  <si>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</si>
  <si>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</si>
  <si>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</si>
  <si>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</si>
  <si>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</si>
  <si>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</si>
  <si>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</si>
  <si>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</si>
  <si>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</si>
  <si>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</si>
  <si>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</si>
  <si>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</si>
  <si>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</si>
  <si>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</si>
  <si>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</si>
  <si>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</si>
  <si>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</si>
  <si>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</si>
  <si>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</si>
  <si>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</si>
  <si>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</si>
  <si>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</si>
  <si>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</si>
  <si>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</si>
  <si>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</si>
  <si>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</si>
  <si>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</si>
  <si>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</si>
  <si>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</si>
  <si>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</si>
  <si>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</si>
  <si>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</si>
  <si>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</si>
  <si>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</si>
  <si>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</si>
  <si>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</si>
  <si>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</si>
  <si>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</si>
  <si>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</si>
  <si>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</si>
  <si>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</si>
  <si>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</si>
  <si>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</si>
  <si>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</si>
  <si>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</si>
  <si>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</si>
  <si>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</si>
  <si>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</si>
  <si>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</si>
  <si>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</si>
  <si>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</si>
  <si>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</si>
  <si>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</si>
  <si>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</si>
  <si>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</si>
  <si>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</si>
  <si>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</si>
  <si>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</si>
  <si>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</si>
  <si>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</si>
  <si>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</si>
  <si>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</si>
  <si>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</si>
  <si>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</si>
  <si>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</si>
  <si>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</si>
  <si>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</si>
  <si>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</si>
  <si>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</si>
  <si>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</si>
  <si>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</si>
  <si>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</si>
  <si>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</si>
  <si>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</si>
  <si>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</si>
  <si>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</si>
  <si>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</si>
  <si>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</si>
  <si>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</si>
  <si>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</si>
  <si>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</si>
  <si>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</si>
  <si>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</si>
  <si>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</si>
  <si>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</si>
  <si>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</si>
  <si>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</si>
  <si>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</si>
  <si>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</si>
  <si>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</si>
  <si>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</si>
  <si>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</si>
  <si>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</si>
  <si>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</si>
  <si>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</si>
  <si>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</si>
  <si>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</si>
  <si>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</si>
  <si>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</si>
  <si>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</si>
  <si>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</si>
  <si>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</si>
  <si>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</si>
  <si>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</si>
  <si>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</si>
  <si>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</si>
  <si>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</si>
  <si>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</si>
  <si>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</si>
  <si>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</si>
  <si>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</si>
  <si>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</si>
  <si>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</si>
  <si>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</si>
  <si>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</si>
  <si>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</si>
  <si>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</si>
  <si>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</si>
  <si>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</si>
  <si>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</si>
  <si>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</si>
  <si>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</si>
  <si>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</si>
  <si>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</si>
  <si>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</si>
  <si>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</si>
  <si>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</si>
  <si>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</si>
  <si>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</si>
  <si>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</si>
  <si>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</si>
  <si>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</si>
  <si>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</si>
  <si>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</si>
  <si>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</si>
  <si>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</si>
  <si>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</si>
  <si>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</si>
  <si>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</si>
  <si>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</si>
  <si>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</si>
  <si>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</si>
  <si>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</si>
  <si>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</si>
  <si>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</si>
  <si>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</si>
  <si>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</si>
  <si>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</si>
  <si>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</si>
  <si>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</si>
  <si>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</si>
  <si>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</si>
  <si>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</si>
  <si>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</si>
  <si>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</si>
  <si>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</si>
  <si>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</si>
  <si>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</si>
  <si>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</si>
  <si>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</si>
  <si>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</si>
  <si>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</si>
  <si>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</si>
  <si>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</si>
  <si>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</si>
  <si>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</si>
  <si>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</si>
  <si>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</si>
  <si>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</si>
  <si>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</si>
  <si>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</si>
  <si>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</si>
  <si>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</si>
  <si>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</si>
  <si>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</si>
  <si>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</si>
  <si>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</si>
  <si>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</si>
  <si>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</si>
  <si>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</si>
  <si>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</si>
  <si>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</si>
  <si>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</si>
  <si>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</si>
  <si>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</si>
  <si>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</si>
  <si>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</si>
  <si>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</si>
  <si>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</si>
  <si>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</si>
  <si>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</si>
  <si>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</si>
  <si>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</si>
  <si>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</si>
  <si>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</si>
  <si>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</si>
  <si>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</si>
  <si>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</si>
  <si>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</si>
  <si>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</si>
  <si>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</si>
  <si>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</si>
  <si>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</si>
  <si>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</si>
  <si>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</si>
  <si>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</si>
  <si>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</si>
  <si>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</si>
  <si>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</si>
  <si>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</si>
  <si>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</si>
  <si>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</si>
  <si>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</si>
  <si>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</si>
  <si>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</si>
  <si>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</si>
  <si>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</si>
  <si>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</si>
  <si>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</si>
  <si>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</si>
  <si>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</si>
  <si>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</si>
  <si>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</si>
  <si>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</si>
  <si>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</si>
  <si>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</si>
  <si>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</si>
  <si>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</si>
  <si>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</si>
  <si>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</si>
  <si>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</si>
  <si>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</si>
  <si>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</si>
  <si>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</si>
  <si>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</si>
  <si>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</si>
  <si>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</si>
  <si>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</si>
  <si>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</si>
  <si>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</si>
  <si>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</si>
  <si>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</si>
  <si>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</si>
  <si>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</si>
  <si>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</si>
  <si>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</si>
  <si>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</si>
  <si>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</si>
  <si>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</si>
  <si>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</si>
  <si>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</si>
  <si>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</si>
  <si>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</si>
  <si>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</si>
  <si>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</si>
  <si>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</si>
  <si>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</si>
  <si>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</si>
  <si>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</si>
  <si>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</si>
  <si>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</si>
  <si>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</si>
  <si>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</si>
  <si>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</si>
  <si>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</si>
  <si>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</si>
  <si>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</si>
  <si>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</si>
  <si>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</si>
  <si>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</si>
  <si>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</si>
  <si>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</si>
  <si>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</si>
  <si>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</si>
  <si>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</si>
  <si>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</si>
  <si>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</si>
  <si>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</si>
  <si>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</si>
  <si>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</si>
  <si>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</si>
  <si>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</si>
  <si>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</si>
  <si>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</si>
  <si>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</si>
  <si>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</si>
  <si>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</si>
  <si>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</si>
  <si>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</si>
  <si>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</si>
  <si>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</si>
  <si>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</si>
  <si>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</si>
  <si>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</si>
  <si>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</si>
  <si>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</si>
  <si>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</si>
  <si>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</si>
  <si>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</si>
  <si>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</si>
  <si>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</si>
  <si>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</si>
  <si>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</si>
  <si>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</si>
  <si>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</si>
  <si>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</si>
  <si>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</si>
  <si>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</si>
  <si>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</si>
  <si>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</si>
  <si>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</si>
  <si>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</si>
  <si>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</si>
  <si>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</si>
  <si>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</si>
  <si>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</si>
  <si>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</si>
  <si>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</si>
  <si>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</si>
  <si>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</si>
  <si>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</si>
  <si>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</si>
  <si>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</si>
  <si>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</si>
  <si>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</si>
  <si>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</si>
  <si>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</si>
  <si>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</si>
  <si>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</si>
  <si>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</si>
  <si>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</si>
  <si>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</si>
  <si>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</si>
  <si>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</si>
  <si>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</si>
  <si>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</si>
  <si>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</si>
  <si>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</si>
  <si>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</si>
  <si>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</si>
  <si>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</si>
  <si>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</si>
  <si>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</si>
  <si>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</si>
  <si>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</si>
  <si>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</si>
  <si>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</si>
  <si>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</si>
  <si>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</si>
  <si>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</si>
  <si>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</si>
  <si>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</si>
  <si>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</si>
  <si>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</si>
  <si>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</si>
  <si>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</si>
  <si>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</si>
  <si>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</si>
  <si>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</si>
  <si>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</si>
  <si>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</si>
  <si>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</si>
  <si>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</si>
  <si>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</si>
  <si>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</si>
  <si>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</si>
  <si>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</si>
  <si>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</si>
  <si>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</si>
  <si>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</si>
  <si>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</si>
  <si>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</si>
  <si>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</si>
  <si>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</si>
  <si>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</si>
  <si>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</si>
  <si>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</si>
  <si>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</si>
  <si>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</si>
  <si>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</si>
  <si>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</si>
  <si>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</si>
  <si>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</si>
  <si>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</si>
  <si>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</si>
  <si>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</si>
  <si>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</si>
  <si>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</si>
  <si>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</si>
  <si>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</si>
  <si>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</si>
  <si>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</si>
  <si>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</si>
  <si>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</si>
  <si>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</si>
  <si>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</si>
  <si>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</si>
  <si>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</si>
  <si>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</si>
  <si>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</si>
  <si>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</si>
  <si>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</si>
  <si>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</si>
  <si>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</si>
  <si>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</si>
  <si>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</si>
  <si>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</si>
  <si>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</si>
  <si>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</si>
  <si>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</si>
  <si>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</si>
  <si>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</si>
  <si>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</si>
  <si>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</si>
  <si>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</si>
  <si>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</si>
  <si>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</si>
  <si>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</si>
  <si>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</si>
  <si>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</si>
  <si>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</si>
  <si>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</si>
  <si>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</si>
  <si>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</si>
  <si>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</si>
  <si>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</si>
  <si>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</si>
  <si>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</si>
  <si>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</si>
  <si>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</si>
  <si>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</si>
  <si>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</si>
  <si>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</si>
  <si>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</si>
  <si>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</si>
  <si>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</si>
  <si>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</si>
  <si>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</si>
  <si>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</si>
  <si>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</si>
  <si>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</si>
  <si>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</si>
  <si>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</si>
  <si>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</si>
  <si>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</si>
  <si>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</si>
  <si>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</si>
  <si>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</si>
  <si>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</si>
  <si>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</si>
  <si>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</si>
  <si>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</si>
  <si>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</si>
  <si>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</si>
  <si>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</si>
  <si>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</si>
  <si>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</si>
  <si>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</si>
  <si>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</si>
  <si>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</si>
  <si>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</si>
  <si>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</si>
  <si>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</si>
  <si>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</si>
  <si>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</si>
  <si>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</si>
  <si>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</si>
  <si>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</si>
  <si>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</si>
  <si>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</si>
  <si>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</si>
  <si>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</si>
  <si>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</si>
  <si>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</si>
  <si>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</si>
  <si>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</si>
  <si>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</si>
  <si>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</si>
  <si>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</si>
  <si>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</si>
  <si>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</si>
  <si>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</si>
  <si>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</si>
  <si>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</si>
  <si>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</si>
  <si>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</si>
  <si>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</si>
  <si>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</si>
  <si>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</si>
  <si>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</si>
  <si>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</si>
  <si>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</si>
  <si>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</si>
  <si>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</si>
  <si>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</si>
  <si>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</si>
  <si>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</si>
  <si>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</si>
  <si>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</si>
  <si>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</si>
  <si>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</si>
  <si>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</si>
  <si>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</si>
  <si>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</si>
  <si>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</si>
  <si>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</si>
  <si>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</si>
  <si>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</si>
  <si>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</si>
  <si>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</si>
  <si>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</si>
  <si>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</si>
  <si>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</si>
  <si>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</si>
  <si>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</si>
  <si>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</si>
  <si>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</si>
  <si>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</si>
  <si>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</si>
  <si>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</si>
  <si>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</si>
  <si>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</si>
  <si>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</si>
  <si>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</si>
  <si>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</si>
  <si>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</si>
  <si>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</si>
  <si>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</si>
  <si>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</si>
  <si>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</si>
  <si>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</si>
  <si>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</si>
  <si>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</si>
  <si>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</si>
  <si>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</si>
  <si>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</si>
  <si>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</si>
  <si>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</si>
  <si>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</si>
  <si>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</si>
  <si>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</si>
  <si>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</si>
  <si>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</si>
  <si>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</si>
  <si>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</si>
  <si>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</si>
  <si>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</si>
  <si>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</si>
  <si>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</si>
  <si>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</si>
  <si>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</si>
  <si>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</si>
  <si>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</si>
  <si>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</si>
  <si>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</si>
  <si>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</si>
  <si>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</si>
  <si>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</si>
  <si>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</si>
  <si>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</si>
  <si>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</si>
  <si>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</si>
  <si>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</si>
  <si>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</si>
  <si>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</si>
  <si>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</si>
  <si>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</si>
  <si>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</si>
  <si>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</si>
  <si>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</si>
  <si>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</si>
  <si>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</si>
  <si>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</si>
  <si>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</si>
  <si>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</si>
  <si>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</si>
  <si>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</si>
  <si>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</si>
  <si>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</si>
  <si>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</si>
  <si>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</si>
  <si>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</si>
  <si>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</si>
  <si>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</si>
  <si>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</si>
  <si>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</si>
  <si>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</si>
  <si>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</si>
  <si>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</si>
  <si>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</si>
  <si>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</si>
  <si>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</si>
  <si>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</si>
  <si>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</si>
  <si>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</si>
  <si>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</si>
  <si>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</si>
  <si>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</si>
  <si>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</si>
  <si>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</si>
  <si>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</si>
  <si>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</si>
  <si>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</si>
  <si>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</si>
  <si>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</si>
  <si>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</si>
  <si>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</si>
  <si>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</si>
  <si>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</si>
  <si>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</si>
  <si>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</si>
  <si>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</si>
  <si>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</si>
  <si>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</si>
  <si>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</si>
  <si>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</si>
  <si>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</si>
  <si>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</si>
  <si>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</si>
  <si>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</si>
  <si>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</si>
  <si>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</si>
  <si>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</si>
  <si>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</si>
  <si>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</si>
  <si>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</si>
  <si>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</si>
  <si>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</si>
  <si>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</si>
  <si>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</si>
  <si>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</si>
  <si>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</si>
  <si>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</si>
  <si>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</si>
  <si>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</si>
  <si>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</si>
  <si>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</si>
  <si>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</si>
  <si>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</si>
  <si>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</si>
  <si>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</si>
  <si>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</si>
  <si>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</si>
  <si>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</si>
  <si>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</si>
  <si>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</si>
  <si>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</si>
  <si>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</si>
  <si>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</si>
  <si>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</si>
  <si>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</si>
  <si>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</si>
  <si>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</si>
  <si>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</si>
  <si>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</si>
  <si>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</si>
  <si>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</si>
  <si>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</si>
  <si>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</si>
  <si>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</si>
  <si>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</si>
  <si>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</si>
  <si>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</si>
  <si>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</si>
  <si>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</si>
  <si>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</si>
  <si>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</si>
  <si>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</si>
  <si>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</si>
  <si>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</si>
  <si>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</si>
  <si>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</si>
  <si>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</si>
  <si>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</si>
  <si>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</si>
  <si>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</si>
  <si>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</si>
  <si>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</si>
  <si>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</si>
  <si>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</si>
  <si>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</si>
  <si>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</si>
  <si>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</si>
  <si>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</si>
  <si>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</si>
  <si>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</si>
  <si>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</si>
  <si>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</si>
  <si>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</si>
  <si>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</si>
  <si>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</si>
  <si>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</si>
  <si>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</si>
  <si>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</si>
  <si>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</si>
  <si>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</si>
  <si>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</si>
  <si>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</si>
  <si>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</si>
  <si>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</si>
  <si>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</si>
  <si>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</si>
  <si>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</si>
  <si>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</si>
  <si>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</si>
  <si>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</si>
  <si>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</si>
  <si>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</si>
  <si>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</si>
  <si>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</si>
  <si>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</si>
  <si>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</si>
  <si>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</si>
  <si>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</si>
  <si>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</si>
  <si>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</si>
  <si>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</si>
  <si>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</si>
  <si>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</si>
  <si>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</si>
  <si>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</si>
  <si>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</si>
  <si>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</si>
  <si>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</si>
  <si>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</si>
  <si>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</si>
  <si>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</si>
  <si>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</si>
  <si>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</si>
  <si>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</si>
  <si>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</si>
  <si>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</si>
  <si>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</si>
  <si>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</si>
  <si>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</si>
  <si>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</si>
  <si>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</si>
  <si>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</si>
  <si>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</si>
  <si>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</si>
  <si>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</si>
  <si>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</si>
  <si>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</si>
  <si>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</si>
  <si>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</si>
  <si>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</si>
  <si>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</si>
  <si>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</si>
  <si>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</si>
  <si>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</si>
  <si>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</si>
  <si>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</si>
  <si>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</si>
  <si>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</si>
  <si>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</si>
  <si>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</si>
  <si>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</si>
  <si>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</si>
  <si>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</si>
  <si>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</si>
  <si>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</si>
  <si>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</si>
  <si>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</si>
  <si>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</si>
  <si>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</si>
  <si>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</si>
  <si>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</si>
  <si>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</si>
  <si>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</si>
  <si>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</si>
  <si>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</si>
  <si>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</si>
  <si>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</si>
  <si>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</si>
  <si>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</si>
  <si>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</si>
  <si>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</si>
  <si>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</si>
  <si>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</si>
  <si>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</si>
  <si>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</si>
  <si>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</si>
  <si>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</si>
  <si>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</si>
  <si>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</si>
  <si>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</si>
  <si>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</si>
  <si>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</si>
  <si>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</si>
  <si>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</si>
  <si>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</si>
  <si>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</si>
  <si>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</si>
  <si>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</si>
  <si>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</si>
  <si>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</si>
  <si>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</si>
  <si>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</si>
  <si>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</si>
  <si>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</si>
  <si>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</si>
  <si>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</si>
  <si>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</si>
  <si>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</si>
  <si>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</si>
  <si>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</si>
  <si>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</si>
  <si>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</si>
  <si>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</si>
  <si>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</si>
  <si>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</si>
  <si>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</si>
  <si>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</si>
  <si>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</si>
  <si>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</si>
  <si>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</si>
  <si>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</si>
  <si>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</si>
  <si>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</si>
  <si>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</si>
  <si>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</si>
  <si>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</si>
  <si>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</si>
  <si>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</si>
  <si>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</si>
  <si>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</si>
  <si>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</si>
  <si>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</si>
  <si>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</si>
  <si>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</si>
  <si>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</si>
  <si>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</si>
  <si>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</si>
  <si>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</si>
  <si>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</si>
  <si>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</si>
  <si>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</si>
  <si>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</si>
  <si>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</si>
  <si>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</si>
  <si>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</si>
  <si>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</si>
  <si>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</si>
  <si>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</si>
  <si>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</si>
  <si>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</si>
  <si>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</si>
  <si>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</si>
  <si>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</si>
  <si>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</si>
  <si>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</si>
  <si>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</si>
  <si>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</si>
  <si>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</si>
  <si>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</si>
  <si>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</si>
  <si>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</si>
  <si>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</si>
  <si>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</si>
  <si>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</si>
  <si>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</si>
  <si>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</si>
  <si>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</si>
  <si>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</si>
  <si>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</si>
  <si>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</si>
  <si>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</si>
  <si>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</si>
  <si>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</si>
  <si>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</si>
  <si>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</si>
  <si>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</si>
  <si>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</si>
  <si>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</si>
  <si>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</si>
  <si>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</si>
  <si>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</si>
  <si>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</si>
  <si>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</si>
  <si>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</si>
  <si>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</si>
  <si>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</si>
  <si>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</si>
  <si>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</si>
  <si>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</si>
  <si>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</si>
  <si>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</si>
  <si>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</si>
  <si>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</si>
  <si>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</si>
  <si>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</si>
  <si>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</si>
  <si>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</si>
  <si>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</si>
  <si>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</si>
  <si>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</si>
  <si>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</si>
  <si>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</si>
  <si>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</si>
  <si>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</si>
  <si>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</si>
  <si>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</si>
  <si>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</si>
  <si>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</si>
  <si>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</si>
  <si>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</si>
  <si>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</si>
  <si>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</si>
  <si>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</si>
  <si>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</si>
  <si>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</si>
  <si>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</si>
  <si>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</si>
  <si>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</si>
  <si>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</si>
  <si>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</si>
  <si>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</si>
  <si>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</si>
  <si>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</si>
  <si>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</si>
  <si>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</si>
  <si>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</si>
  <si>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</si>
  <si>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</si>
  <si>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</si>
  <si>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</si>
  <si>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</si>
  <si>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</si>
  <si>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</si>
  <si>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</si>
  <si>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</si>
  <si>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</si>
  <si>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</si>
  <si>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</si>
  <si>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</si>
  <si>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</si>
  <si>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</si>
  <si>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</si>
  <si>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</si>
  <si>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</si>
  <si>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</si>
  <si>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</si>
  <si>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</si>
  <si>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</si>
  <si>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</si>
  <si>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</si>
  <si>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</si>
  <si>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</si>
  <si>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</si>
  <si>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</si>
  <si>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</si>
  <si>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</si>
  <si>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</si>
  <si>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</si>
  <si>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</si>
  <si>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</si>
  <si>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</si>
  <si>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</si>
  <si>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</si>
  <si>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</si>
  <si>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</si>
  <si>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</si>
  <si>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</si>
  <si>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</si>
  <si>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</si>
  <si>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</si>
  <si>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</si>
  <si>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</si>
  <si>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</si>
  <si>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</si>
  <si>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</si>
  <si>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</si>
  <si>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</si>
  <si>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</si>
  <si>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</si>
  <si>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</si>
  <si>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</si>
  <si>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</si>
  <si>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</si>
  <si>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</si>
  <si>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</si>
  <si>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</si>
  <si>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</si>
  <si>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</si>
  <si>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</si>
  <si>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</si>
  <si>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</si>
  <si>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</si>
  <si>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</si>
  <si>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</si>
  <si>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</si>
  <si>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</si>
  <si>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</si>
  <si>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</si>
  <si>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</si>
  <si>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</si>
  <si>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</si>
  <si>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</si>
  <si>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</si>
  <si>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</si>
  <si>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</si>
  <si>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</si>
  <si>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</si>
  <si>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</si>
  <si>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</si>
  <si>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</si>
  <si>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</si>
  <si>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</si>
  <si>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</si>
  <si>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</si>
  <si>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</si>
  <si>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</si>
  <si>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</si>
  <si>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</si>
  <si>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</si>
  <si>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</si>
  <si>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</si>
  <si>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</si>
  <si>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</si>
  <si>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</si>
  <si>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</si>
  <si>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</si>
  <si>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</si>
  <si>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</si>
  <si>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</si>
  <si>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</si>
  <si>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</si>
  <si>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</si>
  <si>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</si>
  <si>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</si>
  <si>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</si>
  <si>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</si>
  <si>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</si>
  <si>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</si>
  <si>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</si>
  <si>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</si>
  <si>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</si>
  <si>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</si>
  <si>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</si>
  <si>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</si>
  <si>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</si>
  <si>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</si>
  <si>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</si>
  <si>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</si>
  <si>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</si>
  <si>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</si>
  <si>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</si>
  <si>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</si>
  <si>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</si>
  <si>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</si>
  <si>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</si>
  <si>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</si>
  <si>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</si>
  <si>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</si>
  <si>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</si>
  <si>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</si>
  <si>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</si>
  <si>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</si>
  <si>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</si>
  <si>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</si>
  <si>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</si>
  <si>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</si>
  <si>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</si>
  <si>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</si>
  <si>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</si>
  <si>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</si>
  <si>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</si>
  <si>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</si>
  <si>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</si>
  <si>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</si>
  <si>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</si>
  <si>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</si>
  <si>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</si>
  <si>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</si>
  <si>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</si>
  <si>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</si>
  <si>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</si>
  <si>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</si>
  <si>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</si>
  <si>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</si>
  <si>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</si>
  <si>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</si>
  <si>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</si>
  <si>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</si>
  <si>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</si>
  <si>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</si>
  <si>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</si>
  <si>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</si>
  <si>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</si>
  <si>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</si>
  <si>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</si>
  <si>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</si>
  <si>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</si>
  <si>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</si>
  <si>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</si>
  <si>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</si>
  <si>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</si>
  <si>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</si>
  <si>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</si>
  <si>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</si>
  <si>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</si>
  <si>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</si>
  <si>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</si>
  <si>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</si>
  <si>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</si>
  <si>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</si>
  <si>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</si>
  <si>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</si>
  <si>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</si>
  <si>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</si>
  <si>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</si>
  <si>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</si>
  <si>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</si>
  <si>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</si>
  <si>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</si>
  <si>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</si>
  <si>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</si>
  <si>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</si>
  <si>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</si>
  <si>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</si>
  <si>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</si>
  <si>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</si>
  <si>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</si>
  <si>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</si>
  <si>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</si>
  <si>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</si>
  <si>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</si>
  <si>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</si>
  <si>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</si>
  <si>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</si>
  <si>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</si>
  <si>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</si>
  <si>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</si>
  <si>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</si>
  <si>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</si>
  <si>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</si>
  <si>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</si>
  <si>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</si>
  <si>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</si>
  <si>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</si>
  <si>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</si>
  <si>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</si>
  <si>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</si>
  <si>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</si>
  <si>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</si>
  <si>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</si>
  <si>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</si>
  <si>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</si>
  <si>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</si>
  <si>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</si>
  <si>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</si>
  <si>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</si>
  <si>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</si>
  <si>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</si>
  <si>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</si>
  <si>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</si>
  <si>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</si>
  <si>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</si>
  <si>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</si>
  <si>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</si>
  <si>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</si>
  <si>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</si>
  <si>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</si>
  <si>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</si>
  <si>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</si>
  <si>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</si>
  <si>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</si>
  <si>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</si>
  <si>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</si>
  <si>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</si>
  <si>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</si>
  <si>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</si>
  <si>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</si>
  <si>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</si>
  <si>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</si>
  <si>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</si>
  <si>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</si>
  <si>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</si>
  <si>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</si>
  <si>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</si>
  <si>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</si>
  <si>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</si>
  <si>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</si>
  <si>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</si>
  <si>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</si>
  <si>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</si>
  <si>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</si>
  <si>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</si>
  <si>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</si>
  <si>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</si>
  <si>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</si>
  <si>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</si>
  <si>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</si>
  <si>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</si>
  <si>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</si>
  <si>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</si>
  <si>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</si>
  <si>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</si>
  <si>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</si>
  <si>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</si>
  <si>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</si>
  <si>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</si>
  <si>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</si>
  <si>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</si>
  <si>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</si>
  <si>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</si>
  <si>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</si>
  <si>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</si>
  <si>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</si>
  <si>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</si>
  <si>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</si>
  <si>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</si>
  <si>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</si>
  <si>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</si>
  <si>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</si>
  <si>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</si>
  <si>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</si>
  <si>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</si>
  <si>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</si>
  <si>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</si>
  <si>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</si>
  <si>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</si>
  <si>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</si>
  <si>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</si>
  <si>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</si>
  <si>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</si>
  <si>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</si>
  <si>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</si>
  <si>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</si>
  <si>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</si>
  <si>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</si>
  <si>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</si>
  <si>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</si>
  <si>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</si>
  <si>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</si>
  <si>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</si>
  <si>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</si>
  <si>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</si>
  <si>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</si>
  <si>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</si>
  <si>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</si>
  <si>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</si>
  <si>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</si>
  <si>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</si>
  <si>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</si>
  <si>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</si>
  <si>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</si>
  <si>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</si>
  <si>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</si>
  <si>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</si>
  <si>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</si>
  <si>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</si>
  <si>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</si>
  <si>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</si>
  <si>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</si>
  <si>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</si>
  <si>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</si>
  <si>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</si>
  <si>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</si>
  <si>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</si>
  <si>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</si>
  <si>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</si>
  <si>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</si>
  <si>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</si>
  <si>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</si>
  <si>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</si>
  <si>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</si>
  <si>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</si>
  <si>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</si>
  <si>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</si>
  <si>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</si>
  <si>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</si>
  <si>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</si>
  <si>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</si>
  <si>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</si>
  <si>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</si>
  <si>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</si>
  <si>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</si>
  <si>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</si>
  <si>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</si>
  <si>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</si>
  <si>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</si>
  <si>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</si>
  <si>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</si>
  <si>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</si>
  <si>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</si>
  <si>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</si>
  <si>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</si>
  <si>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</si>
  <si>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</si>
  <si>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</si>
  <si>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</si>
  <si>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</si>
  <si>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</si>
  <si>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</si>
  <si>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</si>
  <si>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</si>
  <si>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</si>
  <si>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</si>
  <si>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</si>
  <si>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</si>
  <si>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</si>
  <si>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</si>
  <si>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</si>
  <si>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</si>
  <si>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</si>
  <si>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</si>
  <si>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</si>
  <si>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</si>
  <si>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</si>
  <si>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</si>
  <si>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</si>
  <si>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</si>
  <si>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</si>
  <si>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</si>
  <si>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</si>
  <si>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</si>
  <si>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</si>
  <si>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</si>
  <si>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</si>
  <si>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</si>
  <si>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</si>
  <si>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</si>
  <si>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</si>
  <si>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</si>
  <si>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</si>
  <si>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</si>
  <si>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</si>
  <si>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</si>
  <si>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</si>
  <si>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</si>
  <si>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</si>
  <si>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</si>
  <si>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</si>
  <si>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</si>
  <si>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</si>
  <si>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</si>
  <si>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</si>
  <si>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</si>
  <si>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</si>
  <si>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</si>
  <si>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</si>
  <si>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</si>
  <si>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</si>
  <si>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</si>
  <si>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</si>
  <si>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</si>
  <si>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</si>
  <si>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</si>
  <si>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</si>
  <si>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</si>
  <si>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</si>
  <si>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</si>
  <si>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</si>
  <si>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</si>
  <si>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</si>
  <si>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</si>
  <si>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</si>
  <si>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</si>
  <si>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</si>
  <si>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</si>
  <si>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</si>
  <si>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</si>
  <si>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</si>
  <si>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</si>
  <si>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</si>
  <si>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</si>
  <si>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</si>
  <si>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</si>
  <si>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</si>
  <si>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</si>
  <si>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</si>
  <si>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</si>
  <si>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</si>
  <si>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</si>
  <si>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</si>
  <si>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</si>
  <si>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</si>
  <si>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</si>
  <si>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</si>
  <si>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</si>
  <si>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</si>
  <si>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</si>
  <si>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</si>
  <si>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</si>
  <si>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</si>
  <si>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</si>
  <si>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</si>
  <si>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</si>
  <si>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</si>
  <si>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</si>
  <si>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</si>
  <si>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</si>
  <si>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</si>
  <si>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</si>
  <si>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</si>
  <si>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</si>
  <si>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</si>
  <si>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</si>
  <si>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</si>
  <si>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</si>
  <si>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</si>
  <si>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</si>
  <si>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</si>
  <si>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</si>
  <si>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</si>
  <si>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</si>
  <si>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</si>
  <si>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</si>
  <si>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</si>
  <si>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</si>
  <si>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</si>
  <si>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</si>
  <si>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</si>
  <si>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</si>
  <si>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</si>
  <si>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</si>
  <si>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</si>
  <si>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</si>
  <si>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</si>
  <si>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</si>
  <si>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</si>
  <si>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</si>
  <si>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</si>
  <si>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</si>
  <si>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</si>
  <si>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</si>
  <si>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</si>
  <si>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</si>
  <si>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</si>
  <si>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</si>
  <si>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</si>
  <si>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</si>
  <si>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</si>
  <si>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</si>
  <si>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</si>
  <si>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</si>
  <si>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</si>
  <si>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</si>
  <si>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</si>
  <si>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</si>
  <si>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</si>
  <si>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</si>
  <si>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</si>
  <si>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</si>
  <si>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</si>
  <si>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</si>
  <si>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</si>
  <si>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</si>
  <si>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</si>
  <si>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</si>
  <si>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</si>
  <si>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</si>
  <si>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</si>
  <si>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</si>
  <si>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</si>
  <si>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</si>
  <si>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</si>
  <si>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</si>
  <si>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</si>
  <si>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</si>
  <si>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</si>
  <si>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</si>
  <si>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</si>
  <si>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</si>
  <si>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</si>
  <si>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</si>
  <si>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</si>
  <si>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</si>
  <si>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</si>
  <si>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</si>
  <si>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</si>
  <si>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</si>
  <si>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</si>
  <si>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</si>
  <si>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</si>
  <si>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</si>
  <si>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</si>
  <si>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</si>
  <si>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</si>
  <si>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</si>
  <si>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</si>
  <si>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</si>
  <si>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</si>
  <si>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</si>
  <si>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</si>
  <si>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</si>
  <si>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</si>
  <si>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</si>
  <si>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</si>
  <si>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</si>
  <si>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</si>
  <si>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</si>
  <si>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</si>
  <si>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</si>
  <si>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</si>
  <si>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</si>
  <si>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</si>
  <si>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</si>
  <si>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</si>
  <si>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</si>
  <si>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</si>
  <si>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</si>
  <si>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</si>
  <si>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</si>
  <si>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</si>
  <si>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</si>
  <si>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</si>
  <si>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</si>
  <si>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</si>
  <si>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</si>
  <si>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</si>
  <si>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</si>
  <si>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</si>
  <si>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</si>
  <si>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</si>
  <si>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</si>
  <si>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</si>
  <si>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</si>
  <si>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</si>
  <si>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</si>
  <si>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</si>
  <si>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</si>
  <si>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</si>
  <si>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</si>
  <si>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</si>
  <si>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</si>
  <si>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</si>
  <si>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</si>
  <si>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</si>
  <si>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</si>
  <si>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</si>
  <si>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</si>
  <si>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</si>
  <si>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</si>
  <si>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</si>
  <si>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</si>
  <si>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</si>
  <si>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</si>
  <si>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</si>
  <si>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</si>
  <si>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</si>
  <si>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</si>
  <si>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</si>
  <si>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</si>
  <si>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</si>
  <si>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</si>
  <si>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</si>
  <si>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</si>
  <si>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</si>
  <si>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</si>
  <si>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</si>
  <si>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</si>
  <si>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</si>
  <si>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</si>
  <si>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</si>
  <si>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</si>
  <si>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</si>
  <si>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</si>
  <si>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</si>
  <si>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</si>
  <si>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</si>
  <si>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</si>
  <si>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</si>
  <si>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</si>
  <si>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</si>
  <si>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</si>
  <si>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</si>
  <si>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</si>
  <si>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</si>
  <si>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</si>
  <si>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</si>
  <si>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</si>
  <si>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</si>
  <si>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</si>
  <si>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</si>
  <si>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</si>
  <si>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</si>
  <si>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</si>
  <si>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</si>
  <si>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</si>
  <si>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</si>
  <si>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</si>
  <si>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</si>
  <si>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</si>
  <si>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</si>
  <si>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</si>
  <si>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</si>
  <si>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</si>
  <si>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</si>
  <si>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</si>
  <si>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</si>
  <si>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</si>
  <si>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</si>
  <si>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</si>
  <si>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</si>
  <si>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</si>
  <si>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</si>
  <si>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</si>
  <si>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</si>
  <si>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</si>
  <si>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</si>
  <si>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</si>
  <si>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</si>
  <si>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</si>
  <si>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</si>
  <si>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</si>
  <si>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</si>
  <si>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</si>
  <si>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</si>
  <si>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</si>
  <si>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</si>
  <si>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</si>
  <si>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</si>
  <si>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</si>
  <si>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</si>
  <si>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</si>
  <si>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</si>
  <si>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</si>
  <si>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</si>
  <si>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</si>
  <si>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</si>
  <si>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</si>
  <si>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</si>
  <si>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</si>
  <si>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</si>
  <si>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</si>
  <si>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</si>
  <si>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</si>
  <si>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</si>
  <si>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</si>
  <si>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</si>
  <si>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</si>
  <si>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</si>
  <si>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</si>
  <si>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</si>
  <si>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</si>
  <si>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</si>
  <si>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</si>
  <si>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</si>
  <si>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</si>
  <si>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</si>
  <si>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</si>
  <si>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</si>
  <si>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</si>
  <si>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</si>
  <si>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</si>
  <si>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</si>
  <si>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</si>
  <si>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</si>
  <si>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</si>
  <si>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</si>
  <si>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</si>
  <si>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</si>
  <si>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</si>
  <si>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</si>
  <si>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</si>
  <si>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</si>
  <si>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</si>
  <si>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</si>
  <si>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</si>
  <si>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</si>
  <si>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</si>
  <si>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</si>
  <si>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</si>
  <si>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</si>
  <si>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</si>
  <si>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</si>
  <si>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</si>
  <si>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</si>
  <si>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</si>
  <si>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</si>
  <si>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</si>
  <si>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</si>
  <si>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</si>
  <si>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</si>
  <si>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</si>
  <si>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</si>
  <si>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</si>
  <si>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</si>
  <si>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</si>
  <si>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</si>
  <si>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</si>
  <si>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</si>
  <si>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</si>
  <si>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</si>
  <si>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</si>
  <si>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</si>
  <si>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</si>
  <si>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</si>
  <si>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</si>
  <si>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</si>
  <si>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</si>
  <si>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</si>
  <si>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</si>
  <si>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</si>
  <si>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</si>
  <si>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</si>
  <si>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</si>
  <si>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</si>
  <si>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</si>
  <si>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</si>
  <si>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</si>
  <si>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</si>
  <si>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</si>
  <si>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</si>
  <si>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</si>
  <si>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</si>
  <si>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</si>
  <si>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</si>
  <si>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</si>
  <si>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</si>
  <si>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</si>
  <si>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</si>
  <si>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</si>
  <si>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</si>
  <si>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</si>
  <si>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</si>
  <si>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</si>
  <si>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</si>
  <si>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</si>
  <si>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</si>
  <si>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</si>
  <si>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</si>
  <si>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</si>
  <si>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</si>
  <si>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</si>
  <si>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</si>
  <si>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</si>
  <si>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</si>
  <si>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</si>
  <si>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</si>
  <si>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</si>
  <si>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</si>
  <si>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</si>
  <si>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</si>
  <si>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</si>
  <si>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</si>
  <si>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</si>
  <si>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</si>
  <si>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</si>
  <si>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</si>
  <si>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</si>
  <si>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</si>
  <si>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</si>
  <si>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</si>
  <si>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</si>
  <si>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</si>
  <si>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</si>
  <si>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</si>
  <si>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</si>
  <si>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</si>
  <si>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</si>
  <si>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</si>
  <si>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</si>
  <si>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</si>
  <si>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</si>
  <si>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</si>
  <si>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</si>
  <si>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</si>
  <si>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</si>
  <si>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</si>
  <si>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</si>
  <si>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</si>
  <si>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</si>
  <si>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</si>
  <si>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</si>
  <si>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</si>
  <si>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</si>
  <si>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</si>
  <si>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</si>
  <si>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</si>
  <si>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</si>
  <si>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</si>
  <si>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</si>
  <si>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</si>
  <si>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</si>
  <si>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</si>
  <si>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</si>
  <si>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</si>
  <si>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</si>
  <si>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</si>
  <si>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</si>
  <si>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</si>
  <si>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</si>
  <si>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</si>
  <si>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</si>
  <si>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</si>
  <si>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</si>
  <si>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</si>
  <si>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</si>
  <si>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</si>
  <si>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</si>
  <si>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</si>
  <si>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</si>
  <si>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</si>
  <si>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</si>
  <si>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</si>
  <si>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</si>
  <si>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</si>
  <si>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</si>
  <si>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</si>
  <si>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</si>
  <si>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</si>
  <si>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</si>
  <si>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</si>
  <si>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</si>
  <si>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</si>
  <si>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</si>
  <si>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</si>
  <si>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</si>
  <si>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</si>
  <si>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</si>
  <si>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</si>
  <si>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</si>
  <si>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</si>
  <si>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</si>
  <si>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</si>
  <si>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</si>
  <si>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</si>
  <si>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</si>
  <si>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</si>
  <si>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</si>
  <si>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</si>
  <si>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</si>
  <si>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</si>
  <si>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</si>
  <si>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</si>
  <si>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</si>
  <si>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</si>
  <si>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</si>
  <si>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</si>
  <si>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</si>
  <si>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</si>
  <si>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</si>
  <si>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</si>
  <si>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</si>
  <si>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</si>
  <si>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</si>
  <si>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</si>
  <si>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</si>
  <si>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</si>
  <si>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</si>
  <si>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</si>
  <si>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</si>
  <si>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</si>
  <si>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</si>
  <si>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</si>
  <si>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</si>
  <si>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</si>
  <si>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</si>
  <si>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</si>
  <si>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</si>
  <si>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</si>
  <si>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</si>
  <si>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</si>
  <si>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</si>
  <si>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</si>
  <si>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</si>
  <si>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</si>
  <si>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</si>
  <si>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</si>
  <si>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</si>
  <si>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</si>
  <si>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</si>
  <si>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</si>
  <si>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</si>
  <si>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</si>
  <si>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</si>
  <si>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</si>
  <si>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</si>
  <si>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</si>
  <si>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</si>
  <si>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</si>
  <si>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</si>
  <si>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</si>
  <si>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</si>
  <si>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</si>
  <si>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</si>
  <si>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</si>
  <si>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</si>
  <si>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</si>
  <si>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</si>
  <si>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</si>
  <si>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</si>
  <si>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</si>
  <si>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</si>
  <si>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</si>
  <si>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</si>
  <si>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</si>
  <si>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</si>
  <si>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</si>
  <si>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</si>
  <si>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</si>
  <si>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</si>
  <si>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</si>
  <si>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</si>
  <si>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</si>
  <si>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</si>
  <si>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</si>
  <si>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</si>
  <si>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</si>
  <si>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</si>
  <si>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</si>
  <si>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</si>
  <si>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</si>
  <si>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</si>
  <si>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</si>
  <si>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</si>
  <si>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</si>
  <si>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</si>
  <si>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</si>
  <si>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</si>
  <si>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</si>
  <si>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</si>
  <si>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</si>
  <si>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</si>
  <si>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</si>
  <si>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</si>
  <si>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</si>
  <si>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</si>
  <si>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</si>
  <si>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</si>
  <si>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</si>
  <si>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</si>
  <si>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</si>
  <si>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</si>
  <si>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</si>
  <si>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</si>
  <si>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</si>
  <si>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</si>
  <si>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</si>
  <si>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</si>
  <si>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</si>
  <si>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</si>
  <si>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</si>
  <si>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</si>
  <si>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</si>
  <si>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</si>
  <si>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</si>
  <si>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</si>
  <si>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</si>
  <si>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</si>
  <si>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</si>
  <si>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</si>
  <si>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</si>
  <si>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</si>
  <si>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</si>
  <si>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</si>
  <si>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</si>
  <si>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</si>
  <si>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</si>
  <si>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</si>
  <si>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</si>
  <si>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</si>
  <si>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</si>
  <si>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</si>
  <si>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</si>
  <si>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</si>
  <si>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</si>
  <si>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</si>
  <si>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</si>
  <si>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</si>
  <si>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</si>
  <si>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</si>
  <si>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</si>
  <si>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</si>
  <si>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</si>
  <si>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</si>
  <si>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</si>
  <si>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</si>
  <si>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</si>
  <si>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</si>
  <si>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</si>
  <si>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</si>
  <si>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</si>
  <si>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</si>
  <si>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</si>
  <si>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</si>
  <si>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</si>
  <si>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</si>
  <si>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</si>
  <si>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</si>
  <si>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</si>
  <si>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</si>
  <si>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</si>
  <si>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</si>
  <si>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</si>
  <si>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</si>
  <si>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</si>
  <si>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</si>
  <si>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</si>
  <si>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</si>
  <si>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</si>
  <si>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</si>
  <si>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</si>
  <si>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</si>
  <si>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</si>
  <si>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</si>
  <si>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</si>
  <si>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</si>
  <si>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</si>
  <si>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</si>
  <si>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</si>
  <si>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</si>
  <si>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</si>
  <si>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</si>
  <si>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</si>
  <si>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</si>
  <si>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</si>
  <si>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</si>
  <si>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</si>
  <si>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</si>
  <si>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</si>
  <si>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</si>
  <si>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</si>
  <si>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</si>
  <si>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</si>
  <si>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</si>
  <si>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</si>
  <si>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</si>
  <si>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</si>
  <si>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</si>
  <si>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</si>
  <si>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</si>
  <si>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</si>
  <si>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</si>
  <si>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</si>
  <si>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</si>
  <si>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</si>
  <si>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</si>
  <si>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</si>
  <si>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</si>
  <si>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</si>
  <si>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</si>
  <si>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</si>
  <si>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</si>
  <si>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</si>
  <si>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</si>
  <si>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</si>
  <si>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</si>
  <si>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</si>
  <si>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</si>
  <si>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</si>
  <si>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</si>
  <si>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</si>
  <si>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</si>
  <si>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</si>
  <si>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</si>
  <si>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</si>
  <si>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</si>
  <si>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</si>
  <si>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</si>
  <si>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</si>
  <si>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</si>
  <si>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</si>
  <si>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</si>
  <si>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</si>
  <si>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</si>
  <si>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</si>
  <si>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</si>
  <si>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</si>
  <si>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</si>
  <si>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</si>
  <si>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</si>
  <si>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</si>
  <si>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</si>
  <si>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</si>
  <si>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</si>
  <si>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</si>
  <si>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</si>
  <si>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</si>
  <si>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</si>
  <si>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</si>
  <si>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</si>
  <si>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</si>
  <si>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</si>
  <si>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</si>
  <si>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</si>
  <si>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</si>
  <si>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</si>
  <si>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</si>
  <si>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</si>
  <si>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</si>
  <si>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</si>
  <si>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</si>
  <si>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</si>
  <si>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</si>
  <si>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</si>
  <si>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</si>
  <si>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</si>
  <si>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</si>
  <si>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</si>
  <si>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</si>
  <si>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</si>
  <si>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</si>
  <si>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</si>
  <si>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</si>
  <si>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</si>
  <si>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</si>
  <si>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</si>
  <si>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</si>
  <si>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</si>
  <si>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</si>
  <si>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</si>
  <si>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</si>
  <si>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</si>
  <si>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</si>
  <si>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</si>
  <si>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</si>
  <si>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</si>
  <si>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</si>
  <si>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</si>
  <si>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</si>
  <si>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</si>
  <si>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</si>
  <si>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</si>
  <si>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</si>
  <si>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</si>
  <si>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</si>
  <si>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</si>
  <si>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</si>
  <si>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</si>
  <si>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</si>
  <si>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</si>
  <si>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</si>
  <si>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</si>
  <si>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</si>
  <si>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</si>
  <si>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</si>
  <si>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</si>
  <si>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</si>
  <si>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</si>
  <si>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</si>
  <si>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</si>
  <si>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</si>
  <si>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</si>
  <si>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</si>
  <si>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</si>
  <si>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</si>
  <si>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</si>
  <si>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</si>
  <si>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</si>
  <si>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</si>
  <si>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</si>
  <si>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</si>
  <si>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</si>
  <si>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</si>
  <si>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</si>
  <si>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</si>
  <si>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</si>
  <si>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</si>
  <si>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</si>
  <si>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</si>
  <si>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</si>
  <si>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</si>
  <si>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</si>
  <si>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</si>
  <si>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</si>
  <si>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</si>
  <si>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</si>
  <si>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</si>
  <si>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</si>
  <si>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</si>
  <si>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</si>
  <si>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</si>
  <si>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</si>
  <si>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</si>
  <si>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</si>
  <si>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</si>
  <si>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</si>
  <si>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</si>
  <si>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</si>
  <si>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</si>
  <si>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</si>
  <si>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</si>
  <si>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</si>
  <si>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</si>
  <si>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</si>
  <si>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</si>
  <si>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</si>
  <si>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</si>
  <si>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</si>
  <si>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</si>
  <si>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</si>
  <si>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</si>
  <si>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</si>
  <si>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</si>
  <si>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</si>
  <si>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</si>
  <si>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</si>
  <si>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</si>
  <si>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</si>
  <si>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</si>
  <si>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</si>
  <si>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</si>
  <si>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</si>
  <si>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</si>
  <si>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</si>
  <si>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</si>
  <si>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</si>
  <si>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</si>
  <si>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</si>
  <si>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</si>
  <si>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</si>
  <si>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</si>
  <si>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</si>
  <si>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</si>
  <si>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</si>
  <si>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</si>
  <si>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</si>
  <si>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</si>
  <si>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</si>
  <si>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</si>
  <si>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</si>
  <si>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</si>
  <si>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</si>
  <si>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</si>
  <si>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</si>
  <si>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</si>
  <si>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</si>
  <si>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</si>
  <si>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</si>
  <si>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</si>
  <si>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</si>
  <si>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</si>
  <si>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</si>
  <si>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</si>
  <si>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</si>
  <si>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</si>
  <si>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</si>
  <si>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</si>
  <si>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</si>
  <si>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</si>
  <si>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</si>
  <si>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</si>
  <si>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</si>
  <si>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</si>
  <si>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</si>
  <si>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</si>
  <si>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</si>
  <si>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</si>
  <si>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</si>
  <si>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</si>
  <si>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</si>
  <si>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</si>
  <si>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</si>
  <si>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</si>
  <si>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</si>
  <si>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</si>
  <si>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</si>
  <si>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</si>
  <si>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</si>
  <si>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</si>
  <si>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</si>
  <si>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</si>
  <si>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</si>
  <si>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</si>
  <si>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</si>
  <si>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</si>
  <si>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</si>
  <si>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</si>
  <si>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</si>
  <si>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</si>
  <si>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</si>
  <si>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</si>
  <si>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</si>
  <si>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</si>
  <si>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</si>
  <si>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</si>
  <si>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</si>
  <si>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</si>
  <si>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</si>
  <si>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</si>
  <si>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</si>
  <si>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</si>
  <si>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</si>
  <si>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</si>
  <si>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</si>
  <si>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</si>
  <si>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</si>
  <si>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</si>
  <si>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</si>
  <si>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</si>
  <si>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</si>
  <si>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</si>
  <si>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</si>
  <si>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</si>
  <si>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</si>
  <si>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</si>
  <si>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</si>
  <si>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</si>
  <si>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</si>
  <si>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</si>
  <si>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</si>
  <si>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</si>
  <si>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</si>
  <si>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</si>
  <si>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</si>
  <si>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</si>
  <si>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</si>
  <si>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</si>
  <si>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</si>
  <si>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</si>
  <si>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</si>
  <si>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</si>
  <si>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</si>
  <si>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</si>
  <si>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</si>
  <si>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</si>
  <si>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</si>
  <si>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</si>
  <si>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</si>
  <si>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</si>
  <si>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</si>
  <si>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</si>
  <si>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</si>
  <si>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</si>
  <si>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</si>
  <si>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</si>
  <si>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</si>
  <si>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</si>
  <si>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</si>
  <si>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</si>
  <si>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</si>
  <si>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</si>
  <si>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</si>
  <si>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</si>
  <si>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</si>
  <si>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</si>
  <si>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</si>
  <si>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</si>
  <si>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</si>
  <si>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</si>
  <si>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</si>
  <si>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</si>
  <si>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</si>
  <si>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</si>
  <si>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</si>
  <si>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</si>
  <si>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</si>
  <si>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</si>
  <si>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</si>
  <si>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</si>
  <si>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</si>
  <si>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</si>
  <si>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</si>
  <si>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</si>
  <si>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</si>
  <si>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</si>
  <si>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</si>
  <si>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</si>
  <si>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</si>
  <si>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</si>
  <si>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</si>
  <si>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</si>
  <si>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</si>
  <si>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</si>
  <si>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</si>
  <si>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</si>
  <si>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</si>
  <si>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</si>
  <si>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</si>
  <si>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</si>
  <si>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</si>
  <si>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</si>
  <si>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</si>
  <si>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</si>
  <si>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</si>
  <si>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</si>
  <si>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</si>
  <si>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</si>
  <si>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</si>
  <si>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</si>
  <si>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</si>
  <si>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</si>
  <si>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</si>
  <si>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</si>
  <si>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</si>
  <si>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</si>
  <si>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</si>
  <si>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</si>
  <si>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</si>
  <si>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</si>
  <si>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</si>
  <si>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</si>
  <si>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</si>
  <si>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</si>
  <si>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</si>
  <si>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</si>
  <si>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</si>
  <si>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</si>
  <si>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</si>
  <si>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</si>
  <si>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</si>
  <si>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</si>
  <si>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</si>
  <si>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</si>
  <si>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</si>
  <si>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</si>
  <si>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</si>
  <si>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</si>
  <si>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</si>
  <si>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</si>
  <si>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</si>
  <si>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</si>
  <si>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</si>
  <si>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</si>
  <si>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</si>
  <si>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</si>
  <si>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</si>
  <si>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</si>
  <si>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</si>
  <si>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</si>
  <si>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</si>
  <si>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</si>
  <si>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</si>
  <si>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</si>
  <si>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</si>
  <si>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</si>
  <si>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</si>
  <si>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</si>
  <si>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</si>
  <si>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</si>
  <si>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</si>
  <si>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</si>
  <si>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</si>
  <si>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</si>
  <si>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</si>
  <si>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</si>
  <si>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</si>
  <si>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</si>
  <si>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</si>
  <si>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</si>
  <si>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</si>
  <si>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</si>
  <si>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</si>
  <si>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</si>
  <si>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</si>
  <si>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</si>
  <si>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</si>
  <si>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</si>
  <si>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</si>
  <si>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</si>
  <si>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</si>
  <si>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</si>
  <si>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</si>
  <si>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</si>
  <si>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</si>
  <si>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</si>
  <si>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</si>
  <si>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</si>
  <si>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</si>
  <si>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</si>
  <si>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</si>
  <si>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</si>
  <si>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</si>
  <si>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</si>
  <si>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</si>
  <si>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</si>
  <si>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</si>
  <si>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</si>
  <si>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</si>
  <si>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</si>
  <si>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</si>
  <si>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</si>
  <si>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</si>
  <si>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</si>
  <si>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</si>
  <si>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</si>
  <si>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</si>
  <si>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</si>
  <si>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</si>
  <si>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</si>
  <si>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</si>
  <si>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</si>
  <si>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</si>
  <si>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</si>
  <si>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</si>
  <si>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</si>
  <si>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</si>
  <si>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</si>
  <si>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</si>
  <si>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</si>
  <si>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</si>
  <si>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</si>
  <si>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</si>
  <si>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</si>
  <si>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</si>
  <si>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</si>
  <si>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</si>
  <si>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</si>
  <si>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</si>
  <si>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</si>
  <si>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</si>
  <si>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</si>
  <si>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</si>
  <si>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</si>
  <si>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</si>
  <si>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</si>
  <si>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</si>
  <si>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</si>
  <si>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</si>
  <si>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</si>
  <si>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</si>
  <si>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</si>
  <si>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</si>
  <si>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</si>
  <si>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</si>
  <si>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</si>
  <si>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</si>
  <si>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</si>
  <si>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</si>
  <si>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</si>
  <si>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</si>
  <si>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</si>
  <si>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</si>
  <si>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</si>
  <si>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</si>
  <si>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</si>
  <si>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</si>
  <si>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</si>
  <si>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</si>
  <si>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</si>
  <si>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</si>
  <si>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</si>
  <si>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</si>
  <si>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</si>
  <si>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</si>
  <si>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</si>
  <si>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</si>
  <si>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</si>
  <si>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</si>
  <si>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</si>
  <si>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</si>
  <si>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</si>
  <si>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</si>
  <si>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</si>
  <si>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</si>
  <si>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</si>
  <si>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</si>
  <si>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</si>
  <si>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</si>
  <si>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</si>
  <si>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</si>
  <si>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</si>
  <si>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</si>
  <si>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</si>
  <si>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</si>
  <si>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</si>
  <si>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</si>
  <si>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</si>
  <si>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</si>
  <si>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</si>
  <si>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</si>
  <si>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</si>
  <si>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</si>
  <si>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</si>
  <si>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</si>
  <si>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</si>
  <si>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</si>
  <si>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</si>
  <si>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</si>
  <si>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</si>
  <si>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</si>
  <si>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</si>
  <si>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</si>
  <si>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</si>
  <si>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</si>
  <si>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</si>
  <si>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</si>
  <si>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</si>
  <si>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</si>
  <si>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</si>
  <si>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</si>
  <si>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</si>
  <si>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</si>
  <si>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</si>
  <si>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</si>
  <si>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</si>
  <si>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</si>
  <si>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</si>
  <si>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</si>
  <si>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</si>
  <si>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</si>
  <si>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</si>
  <si>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</si>
  <si>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</si>
  <si>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</si>
  <si>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</si>
  <si>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</si>
  <si>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</si>
  <si>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</si>
  <si>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</si>
  <si>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</si>
  <si>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</si>
  <si>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</si>
  <si>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</si>
  <si>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</si>
  <si>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</si>
  <si>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</si>
  <si>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</si>
  <si>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</si>
  <si>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</si>
  <si>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</si>
  <si>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</si>
  <si>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</si>
  <si>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</si>
  <si>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</si>
  <si>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</si>
  <si>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</si>
  <si>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</si>
  <si>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</si>
  <si>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</si>
  <si>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</si>
  <si>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</si>
  <si>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</si>
  <si>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</si>
  <si>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</si>
  <si>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</si>
  <si>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</si>
  <si>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</si>
  <si>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</si>
  <si>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</si>
  <si>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</si>
  <si>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</si>
  <si>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</si>
  <si>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</si>
  <si>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</si>
  <si>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</si>
  <si>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</si>
  <si>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</si>
  <si>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</si>
  <si>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</si>
  <si>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</si>
  <si>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</si>
  <si>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</si>
  <si>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</si>
  <si>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</si>
  <si>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</si>
  <si>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</si>
  <si>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</si>
  <si>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</si>
  <si>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</si>
  <si>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</si>
  <si>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</si>
  <si>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</si>
  <si>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</si>
  <si>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</si>
  <si>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</si>
  <si>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</si>
  <si>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</si>
  <si>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</si>
  <si>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</si>
  <si>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</si>
  <si>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</si>
  <si>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</si>
  <si>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</si>
  <si>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</si>
  <si>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</si>
  <si>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</si>
  <si>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</si>
  <si>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</si>
  <si>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</si>
  <si>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</si>
  <si>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</si>
  <si>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</si>
  <si>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</si>
  <si>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</si>
  <si>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</si>
  <si>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</si>
  <si>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</si>
  <si>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</si>
  <si>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</si>
  <si>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</si>
  <si>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</si>
  <si>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</si>
  <si>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</si>
  <si>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</si>
  <si>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</si>
  <si>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</si>
  <si>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</si>
  <si>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</si>
  <si>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</si>
  <si>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</si>
  <si>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</si>
  <si>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</si>
  <si>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</si>
  <si>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</si>
  <si>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</si>
  <si>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</si>
  <si>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</si>
  <si>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</si>
  <si>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</si>
  <si>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</si>
  <si>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</si>
  <si>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</si>
  <si>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</si>
  <si>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</si>
  <si>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</si>
  <si>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</si>
  <si>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</si>
  <si>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</si>
  <si>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</si>
  <si>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</si>
  <si>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</si>
  <si>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</si>
  <si>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</si>
  <si>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</si>
  <si>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</si>
  <si>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</si>
  <si>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</si>
  <si>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</si>
  <si>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</si>
  <si>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</si>
  <si>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</si>
  <si>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</si>
  <si>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</si>
  <si>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</si>
  <si>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</si>
  <si>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</si>
  <si>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</si>
  <si>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</si>
  <si>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</si>
  <si>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</si>
  <si>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</si>
  <si>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</si>
  <si>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</si>
  <si>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</si>
  <si>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</si>
  <si>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</si>
  <si>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</si>
  <si>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</si>
  <si>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</si>
  <si>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</si>
  <si>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</si>
  <si>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</si>
  <si>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</si>
  <si>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</si>
  <si>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</si>
  <si>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</si>
  <si>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</si>
  <si>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</si>
  <si>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</si>
  <si>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</si>
  <si>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</si>
  <si>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</si>
  <si>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</si>
  <si>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</si>
  <si>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</si>
  <si>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</si>
  <si>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</si>
  <si>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</si>
  <si>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</si>
  <si>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</si>
  <si>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</si>
  <si>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</si>
  <si>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</si>
  <si>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</si>
  <si>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</si>
  <si>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</si>
  <si>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</si>
  <si>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</si>
  <si>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</si>
  <si>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</si>
  <si>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</si>
  <si>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</si>
  <si>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</si>
  <si>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</si>
  <si>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</si>
  <si>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</si>
  <si>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</si>
  <si>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</si>
  <si>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</si>
  <si>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</si>
  <si>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</si>
  <si>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</si>
  <si>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</si>
  <si>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</si>
  <si>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</si>
  <si>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</si>
  <si>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</si>
  <si>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</si>
  <si>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</si>
  <si>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</si>
  <si>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</si>
  <si>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</si>
  <si>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</si>
  <si>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</si>
  <si>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</si>
  <si>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</si>
  <si>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</si>
  <si>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</si>
  <si>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</si>
  <si>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</si>
  <si>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</si>
  <si>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</si>
  <si>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</si>
  <si>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</si>
  <si>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</si>
  <si>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</si>
  <si>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</si>
  <si>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</si>
  <si>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</si>
  <si>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</si>
  <si>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</si>
  <si>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</si>
  <si>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</si>
  <si>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</si>
  <si>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</si>
  <si>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</si>
  <si>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</si>
  <si>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</si>
  <si>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</si>
  <si>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</si>
  <si>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</si>
  <si>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</si>
  <si>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</si>
  <si>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</si>
  <si>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</si>
  <si>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</si>
  <si>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</si>
  <si>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</si>
  <si>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</si>
  <si>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</si>
  <si>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</si>
  <si>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</si>
  <si>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</si>
  <si>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</si>
  <si>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</si>
  <si>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</si>
  <si>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</si>
  <si>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</si>
  <si>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</si>
  <si>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</si>
  <si>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</si>
  <si>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</si>
  <si>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</si>
  <si>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</si>
  <si>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</si>
  <si>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</si>
  <si>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</si>
  <si>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</si>
  <si>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</si>
  <si>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</si>
  <si>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</si>
  <si>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</si>
  <si>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</si>
  <si>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</si>
  <si>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</si>
  <si>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</si>
  <si>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</si>
  <si>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</si>
  <si>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</si>
  <si>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</si>
  <si>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</si>
  <si>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</si>
  <si>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</si>
  <si>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</si>
  <si>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</si>
  <si>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</si>
  <si>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</si>
  <si>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</si>
  <si>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</si>
  <si>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</si>
  <si>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</si>
  <si>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</si>
  <si>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</si>
  <si>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</si>
  <si>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</si>
  <si>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</si>
  <si>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</si>
  <si>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</si>
  <si>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</si>
  <si>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</si>
  <si>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</si>
  <si>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</si>
  <si>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</si>
  <si>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</si>
  <si>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</si>
  <si>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</si>
  <si>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</si>
  <si>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</si>
  <si>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</si>
  <si>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</si>
  <si>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</si>
  <si>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</si>
  <si>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</si>
  <si>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</si>
  <si>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</si>
  <si>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</si>
  <si>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</si>
  <si>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</si>
  <si>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</si>
  <si>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</si>
  <si>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</si>
  <si>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</si>
  <si>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</si>
  <si>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</si>
  <si>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</si>
  <si>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</si>
  <si>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</si>
  <si>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</si>
  <si>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</si>
  <si>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</si>
  <si>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</si>
  <si>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</si>
  <si>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</si>
  <si>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</si>
  <si>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</si>
  <si>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</si>
  <si>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</si>
  <si>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</si>
  <si>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</si>
  <si>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</si>
  <si>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</si>
  <si>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</si>
  <si>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</si>
  <si>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</si>
  <si>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</si>
  <si>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</si>
  <si>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</si>
  <si>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</si>
  <si>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</si>
  <si>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</si>
  <si>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</si>
  <si>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</si>
  <si>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</si>
  <si>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</si>
  <si>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</si>
  <si>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</si>
  <si>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</si>
  <si>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</si>
  <si>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</si>
  <si>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</si>
  <si>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</si>
  <si>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</si>
  <si>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</si>
  <si>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</si>
  <si>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</si>
  <si>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</si>
  <si>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</si>
  <si>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</si>
  <si>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</si>
  <si>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</si>
  <si>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</si>
  <si>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</si>
  <si>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</si>
  <si>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</si>
  <si>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</si>
  <si>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</si>
  <si>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</si>
  <si>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</si>
  <si>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</si>
  <si>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</si>
  <si>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</si>
  <si>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</si>
  <si>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</si>
  <si>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</si>
  <si>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</si>
  <si>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</si>
  <si>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</si>
  <si>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</si>
  <si>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</si>
  <si>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</si>
  <si>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</si>
  <si>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</si>
  <si>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</si>
  <si>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</si>
  <si>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</si>
  <si>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</si>
  <si>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</si>
  <si>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</si>
  <si>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</si>
  <si>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</si>
  <si>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</si>
  <si>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</si>
  <si>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</si>
  <si>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</si>
  <si>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</si>
  <si>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</si>
  <si>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</si>
  <si>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</si>
  <si>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</si>
  <si>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</si>
  <si>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</si>
  <si>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</si>
  <si>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</si>
  <si>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</si>
  <si>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</si>
  <si>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</si>
  <si>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</si>
  <si>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</si>
  <si>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</si>
  <si>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</si>
  <si>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</si>
  <si>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</si>
  <si>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</si>
  <si>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</si>
  <si>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</si>
  <si>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</si>
  <si>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</si>
  <si>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</si>
  <si>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</si>
  <si>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</si>
  <si>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</si>
  <si>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</si>
  <si>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</si>
  <si>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</si>
  <si>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</si>
  <si>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</si>
  <si>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</si>
  <si>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</si>
  <si>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</si>
  <si>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</si>
  <si>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</si>
  <si>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</si>
  <si>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</si>
  <si>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</si>
  <si>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</si>
  <si>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</si>
  <si>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</si>
  <si>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</si>
  <si>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</si>
  <si>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</si>
  <si>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</si>
  <si>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</si>
  <si>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</si>
  <si>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</si>
  <si>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</si>
  <si>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</si>
  <si>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</si>
  <si>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</si>
  <si>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</si>
  <si>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</si>
  <si>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</si>
  <si>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</si>
  <si>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</si>
  <si>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</si>
  <si>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</si>
  <si>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</si>
  <si>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</si>
  <si>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</si>
  <si>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</si>
  <si>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</si>
  <si>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</si>
  <si>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</si>
  <si>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</si>
  <si>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</si>
  <si>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</si>
  <si>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</si>
  <si>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</si>
  <si>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</si>
  <si>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</si>
  <si>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</si>
  <si>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</si>
  <si>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</si>
  <si>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</si>
  <si>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</si>
  <si>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</si>
  <si>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</si>
  <si>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</si>
  <si>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</si>
  <si>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</si>
  <si>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</si>
  <si>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</si>
  <si>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</si>
  <si>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</si>
  <si>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</si>
  <si>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</si>
  <si>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</si>
  <si>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</si>
  <si>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</si>
  <si>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</si>
  <si>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</si>
  <si>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</si>
  <si>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</si>
  <si>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</si>
  <si>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</si>
  <si>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</si>
  <si>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</si>
  <si>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</si>
  <si>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</si>
  <si>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</si>
  <si>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</si>
  <si>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</si>
  <si>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</si>
  <si>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</si>
  <si>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</si>
  <si>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</si>
  <si>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</si>
  <si>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</si>
  <si>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</si>
  <si>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</si>
  <si>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</si>
  <si>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</si>
  <si>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</si>
  <si>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POVEĆANJE/SMANJENJE</t>
  </si>
  <si>
    <t>PLAN 2024.</t>
  </si>
  <si>
    <t>NOVI PLAN 2024.</t>
  </si>
  <si>
    <t>IZMJENE I DOPUNE FINANCIJSKOG PLANA 2024.</t>
  </si>
  <si>
    <t>MINISTARSTVO ZNANOSTI I OBRAZOVANJA  (1222)</t>
  </si>
  <si>
    <t>AGENCIJA ZA MOBILNOST I PROGRAME EUROPSKE UNIJE (43335)</t>
  </si>
  <si>
    <t>Bankarske usluge i usluge platnog prometa</t>
  </si>
  <si>
    <t>Negativne tečajne razlike i razlike zbog primjene valutne kl</t>
  </si>
  <si>
    <t>52</t>
  </si>
  <si>
    <t>3111</t>
  </si>
  <si>
    <t>3132</t>
  </si>
  <si>
    <t>3211</t>
  </si>
  <si>
    <t>3221</t>
  </si>
  <si>
    <t>3233</t>
  </si>
  <si>
    <t>3237</t>
  </si>
  <si>
    <t>3239</t>
  </si>
  <si>
    <t>3293</t>
  </si>
  <si>
    <t>3299</t>
  </si>
  <si>
    <t>3723</t>
  </si>
  <si>
    <t>Tekući prijenosi između korisnika istog proračuna prijenosom EU sredstava</t>
  </si>
  <si>
    <t>Erasmus+ program individualne mobilnosti nastavnog i nenastavnog osoblja</t>
  </si>
  <si>
    <t>COLOURS</t>
  </si>
  <si>
    <t>2452 SVEUČILIŠTE J. J. STROSSMAYERA U OSIJEKU</t>
  </si>
  <si>
    <t>14.11.2024.</t>
  </si>
  <si>
    <t>Ksenija Arežina, Nikolina Šeremet</t>
  </si>
  <si>
    <t>031/224-133, 031/224-132</t>
  </si>
  <si>
    <t>karezina@unios.hr, seremet@unios.hr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</si>
</sst>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7" fillId="6" borderId="32" applyNumberFormat="0" applyProtection="0">
      <alignment vertical="center"/>
    </xf>
    <xf numFmtId="4" fontId="68" fillId="6" borderId="32" applyNumberFormat="0" applyProtection="0">
      <alignment vertical="center"/>
    </xf>
    <xf numFmtId="4" fontId="67" fillId="6" borderId="32" applyNumberFormat="0" applyProtection="0">
      <alignment horizontal="left" vertical="center" indent="1"/>
    </xf>
    <xf numFmtId="4" fontId="67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7" fillId="56" borderId="32" applyNumberFormat="0" applyProtection="0">
      <alignment horizontal="right" vertical="center"/>
    </xf>
    <xf numFmtId="4" fontId="67" fillId="57" borderId="32" applyNumberFormat="0" applyProtection="0">
      <alignment horizontal="right" vertical="center"/>
    </xf>
    <xf numFmtId="4" fontId="67" fillId="58" borderId="32" applyNumberFormat="0" applyProtection="0">
      <alignment horizontal="right" vertical="center"/>
    </xf>
    <xf numFmtId="4" fontId="67" fillId="16" borderId="32" applyNumberFormat="0" applyProtection="0">
      <alignment horizontal="right" vertical="center"/>
    </xf>
    <xf numFmtId="4" fontId="67" fillId="59" borderId="32" applyNumberFormat="0" applyProtection="0">
      <alignment horizontal="right" vertical="center"/>
    </xf>
    <xf numFmtId="4" fontId="67" fillId="60" borderId="32" applyNumberFormat="0" applyProtection="0">
      <alignment horizontal="right" vertical="center"/>
    </xf>
    <xf numFmtId="4" fontId="67" fillId="61" borderId="32" applyNumberFormat="0" applyProtection="0">
      <alignment horizontal="right" vertical="center"/>
    </xf>
    <xf numFmtId="4" fontId="67" fillId="62" borderId="32" applyNumberFormat="0" applyProtection="0">
      <alignment horizontal="right" vertical="center"/>
    </xf>
    <xf numFmtId="4" fontId="67" fillId="63" borderId="32" applyNumberFormat="0" applyProtection="0">
      <alignment horizontal="right" vertical="center"/>
    </xf>
    <xf numFmtId="4" fontId="69" fillId="64" borderId="32" applyNumberFormat="0" applyProtection="0">
      <alignment horizontal="left" vertical="center" indent="1"/>
    </xf>
    <xf numFmtId="4" fontId="67" fillId="65" borderId="33" applyNumberFormat="0" applyProtection="0">
      <alignment horizontal="left" vertical="center" indent="1"/>
    </xf>
    <xf numFmtId="4" fontId="70" fillId="66" borderId="0" applyNumberFormat="0" applyProtection="0">
      <alignment horizontal="left" vertical="center" indent="1"/>
    </xf>
    <xf numFmtId="0" fontId="73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7" fillId="13" borderId="32" applyNumberFormat="0" applyProtection="0">
      <alignment vertical="center"/>
    </xf>
    <xf numFmtId="4" fontId="68" fillId="13" borderId="32" applyNumberFormat="0" applyProtection="0">
      <alignment vertical="center"/>
    </xf>
    <xf numFmtId="4" fontId="67" fillId="13" borderId="32" applyNumberFormat="0" applyProtection="0">
      <alignment horizontal="left" vertical="center" indent="1"/>
    </xf>
    <xf numFmtId="4" fontId="67" fillId="13" borderId="32" applyNumberFormat="0" applyProtection="0">
      <alignment horizontal="left" vertical="center" indent="1"/>
    </xf>
    <xf numFmtId="4" fontId="67" fillId="65" borderId="32" applyNumberFormat="0" applyProtection="0">
      <alignment horizontal="right" vertical="center"/>
    </xf>
    <xf numFmtId="4" fontId="68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2" fillId="0" borderId="0" applyNumberFormat="0" applyProtection="0"/>
    <xf numFmtId="4" fontId="71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40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4" fillId="0" borderId="36" xfId="73" applyFont="1" applyFill="1" applyBorder="1" applyAlignment="1">
      <alignment horizontal="center" vertical="center" wrapText="1"/>
    </xf>
    <xf numFmtId="0" fontId="74" fillId="0" borderId="37" xfId="73" applyFont="1" applyFill="1" applyBorder="1" applyAlignment="1">
      <alignment horizontal="center" vertical="center" wrapText="1"/>
    </xf>
    <xf numFmtId="0" fontId="74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5" fillId="0" borderId="0" xfId="132" applyFont="1" applyFill="1"/>
    <xf numFmtId="166" fontId="74" fillId="0" borderId="28" xfId="132" applyNumberFormat="1" applyFont="1" applyFill="1" applyBorder="1" applyAlignment="1">
      <alignment horizontal="center" vertical="center" wrapText="1"/>
    </xf>
    <xf numFmtId="0" fontId="74" fillId="0" borderId="37" xfId="132" applyNumberFormat="1" applyFont="1" applyFill="1" applyBorder="1" applyAlignment="1">
      <alignment horizontal="center" vertical="center" wrapText="1"/>
    </xf>
    <xf numFmtId="0" fontId="74" fillId="0" borderId="42" xfId="132" applyFont="1" applyFill="1" applyBorder="1" applyAlignment="1">
      <alignment horizontal="left" vertical="center" wrapText="1" indent="1"/>
    </xf>
    <xf numFmtId="167" fontId="74" fillId="0" borderId="42" xfId="132" applyNumberFormat="1" applyFont="1" applyFill="1" applyBorder="1" applyAlignment="1">
      <alignment horizontal="center" vertical="center" wrapText="1"/>
    </xf>
    <xf numFmtId="49" fontId="74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4" fillId="0" borderId="42" xfId="132" applyNumberFormat="1" applyFont="1" applyFill="1" applyBorder="1" applyAlignment="1">
      <alignment horizontal="center" vertical="center" wrapText="1"/>
    </xf>
    <xf numFmtId="0" fontId="74" fillId="0" borderId="29" xfId="132" applyNumberFormat="1" applyFont="1" applyFill="1" applyBorder="1" applyAlignment="1">
      <alignment horizontal="center" vertical="center" wrapText="1"/>
    </xf>
    <xf numFmtId="0" fontId="74" fillId="0" borderId="29" xfId="132" applyFont="1" applyFill="1" applyBorder="1" applyAlignment="1">
      <alignment horizontal="left" vertical="center" wrapText="1" indent="1"/>
    </xf>
    <xf numFmtId="167" fontId="74" fillId="0" borderId="29" xfId="132" applyNumberFormat="1" applyFont="1" applyFill="1" applyBorder="1" applyAlignment="1">
      <alignment horizontal="center" vertical="center" wrapText="1"/>
    </xf>
    <xf numFmtId="49" fontId="74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4" fillId="0" borderId="29" xfId="132" quotePrefix="1" applyNumberFormat="1" applyFont="1" applyFill="1" applyBorder="1" applyAlignment="1">
      <alignment horizontal="center" vertical="center" wrapText="1"/>
    </xf>
    <xf numFmtId="0" fontId="74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6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4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4" fillId="0" borderId="40" xfId="132" applyFont="1" applyFill="1" applyBorder="1" applyAlignment="1">
      <alignment horizontal="left" vertical="center" wrapText="1" indent="1"/>
    </xf>
    <xf numFmtId="167" fontId="74" fillId="0" borderId="40" xfId="132" applyNumberFormat="1" applyFont="1" applyFill="1" applyBorder="1" applyAlignment="1">
      <alignment horizontal="center" vertical="center" wrapText="1"/>
    </xf>
    <xf numFmtId="49" fontId="74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7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79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0" fillId="0" borderId="29" xfId="0" applyNumberFormat="1" applyFont="1" applyFill="1" applyBorder="1" applyAlignment="1">
      <alignment horizontal="right" vertical="center"/>
    </xf>
    <xf numFmtId="0" fontId="80" fillId="0" borderId="29" xfId="0" applyFont="1" applyFill="1" applyBorder="1" applyAlignment="1">
      <alignment horizontal="left" vertical="center"/>
    </xf>
    <xf numFmtId="0" fontId="80" fillId="52" borderId="29" xfId="2" applyFont="1" applyFill="1" applyBorder="1" applyAlignment="1" applyProtection="1">
      <alignment horizontal="left" vertical="center"/>
    </xf>
    <xf numFmtId="167" fontId="80" fillId="0" borderId="29" xfId="0" applyNumberFormat="1" applyFont="1" applyFill="1" applyBorder="1" applyAlignment="1">
      <alignment horizontal="center" vertical="center"/>
    </xf>
    <xf numFmtId="49" fontId="80" fillId="0" borderId="30" xfId="0" applyNumberFormat="1" applyFont="1" applyFill="1" applyBorder="1" applyAlignment="1">
      <alignment horizontal="center" vertical="center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7" fillId="0" borderId="0" xfId="0" applyFont="1"/>
    <xf numFmtId="0" fontId="77" fillId="0" borderId="0" xfId="0" applyFont="1" applyFill="1"/>
    <xf numFmtId="0" fontId="81" fillId="0" borderId="1" xfId="119" quotePrefix="1" applyNumberFormat="1" applyFont="1" applyFill="1" applyAlignment="1">
      <alignment horizontal="left" vertical="center" indent="1"/>
    </xf>
    <xf numFmtId="0" fontId="81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2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8" fillId="54" borderId="6" xfId="2" applyFont="1" applyFill="1" applyBorder="1" applyAlignment="1" applyProtection="1">
      <alignment vertical="center" wrapText="1"/>
    </xf>
    <xf numFmtId="1" fontId="78" fillId="54" borderId="6" xfId="2" applyNumberFormat="1" applyFont="1" applyFill="1" applyBorder="1" applyAlignment="1" applyProtection="1">
      <alignment vertical="center" wrapText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14" fontId="24" fillId="0" borderId="1" xfId="18" applyNumberFormat="1" applyFont="1" applyFill="1" applyAlignment="1" applyProtection="1">
      <alignment horizontal="left" vertical="center"/>
      <protection locked="0"/>
    </xf>
    <xf numFmtId="0" fontId="84" fillId="0" borderId="0" xfId="0" applyFont="1" applyAlignment="1">
      <alignment vertical="center"/>
    </xf>
    <xf numFmtId="169" fontId="13" fillId="54" borderId="1" xfId="16" quotePrefix="1" applyNumberFormat="1" applyFill="1" applyAlignment="1">
      <alignment horizontal="left" vertical="center" indent="5" justifyLastLine="1"/>
    </xf>
    <xf numFmtId="0" fontId="13" fillId="54" borderId="1" xfId="16" quotePrefix="1" applyFill="1">
      <alignment horizontal="left" vertical="center" indent="1" justifyLastLine="1"/>
    </xf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0" fontId="13" fillId="54" borderId="1" xfId="125" quotePrefix="1" applyNumberFormat="1" applyFill="1">
      <alignment horizontal="left" vertical="center" indent="1"/>
    </xf>
    <xf numFmtId="0" fontId="81" fillId="54" borderId="1" xfId="125" quotePrefix="1" applyNumberFormat="1" applyFont="1" applyFill="1">
      <alignment horizontal="left" vertical="center" indent="1"/>
    </xf>
    <xf numFmtId="49" fontId="13" fillId="54" borderId="1" xfId="125" quotePrefix="1" applyNumberFormat="1" applyFill="1">
      <alignment horizontal="left" vertical="center" indent="1"/>
    </xf>
    <xf numFmtId="0" fontId="24" fillId="52" borderId="1" xfId="19" quotePrefix="1" applyNumberFormat="1" applyFont="1" applyFill="1" applyBorder="1" applyProtection="1">
      <alignment horizontal="left" vertical="center" indent="1" justifyLastLine="1"/>
    </xf>
    <xf numFmtId="0" fontId="24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52" borderId="1" xfId="19" quotePrefix="1" applyNumberFormat="1" applyFont="1" applyFill="1" applyProtection="1">
      <alignment horizontal="left" vertical="center" indent="1" justifyLastLine="1"/>
    </xf>
    <xf numFmtId="0" fontId="24" fillId="52" borderId="1" xfId="18" applyNumberFormat="1" applyFont="1" applyFill="1" applyAlignment="1" applyProtection="1">
      <alignment horizontal="center" vertical="center"/>
      <protection locked="0"/>
    </xf>
    <xf numFmtId="3" fontId="24" fillId="52" borderId="1" xfId="18" applyNumberFormat="1" applyFont="1" applyFill="1" applyProtection="1">
      <alignment horizontal="right" vertical="center"/>
      <protection locked="0"/>
    </xf>
    <xf numFmtId="3" fontId="11" fillId="54" borderId="6" xfId="6" applyNumberFormat="1" applyFont="1" applyFill="1" applyBorder="1" applyAlignment="1" applyProtection="1">
      <alignment horizontal="right" vertical="center" wrapText="1"/>
    </xf>
    <xf numFmtId="0" fontId="57" fillId="0" borderId="0" xfId="0" applyFont="1"/>
    <xf numFmtId="0" fontId="56" fillId="52" borderId="0" xfId="2" applyNumberFormat="1" applyFont="1" applyFill="1" applyBorder="1" applyAlignment="1" applyProtection="1">
      <alignment vertical="center" wrapText="1"/>
    </xf>
    <xf numFmtId="0" fontId="0" fillId="52" borderId="0" xfId="0" applyFill="1"/>
    <xf numFmtId="3" fontId="0" fillId="52" borderId="0" xfId="0" applyNumberFormat="1" applyFill="1"/>
    <xf numFmtId="0" fontId="0" fillId="0" borderId="0" xfId="0" applyBorder="1"/>
    <xf numFmtId="0" fontId="0" fillId="52" borderId="0" xfId="0" applyFill="1" applyBorder="1"/>
    <xf numFmtId="3" fontId="0" fillId="0" borderId="0" xfId="0" applyNumberFormat="1" applyBorder="1"/>
    <xf numFmtId="3" fontId="0" fillId="52" borderId="0" xfId="0" applyNumberFormat="1" applyFill="1" applyBorder="1"/>
    <xf numFmtId="3" fontId="86" fillId="0" borderId="4" xfId="4" applyNumberFormat="1" applyFont="1" applyFill="1" applyBorder="1" applyAlignment="1" applyProtection="1">
      <alignment horizontal="right" vertical="center"/>
    </xf>
    <xf numFmtId="0" fontId="24" fillId="52" borderId="1" xfId="19" quotePrefix="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>
      <alignment horizontal="center" vertical="center" justifyLastLine="1"/>
    </xf>
    <xf numFmtId="0" fontId="25" fillId="52" borderId="1" xfId="19" quotePrefix="1" applyNumberFormat="1" applyFont="1" applyFill="1" applyBorder="1">
      <alignment horizontal="left" vertical="center" indent="1" justifyLastLine="1"/>
    </xf>
    <xf numFmtId="0" fontId="24" fillId="52" borderId="1" xfId="0" applyFont="1" applyFill="1" applyBorder="1" applyAlignment="1"/>
    <xf numFmtId="49" fontId="24" fillId="52" borderId="1" xfId="19" quotePrefix="1" applyNumberFormat="1" applyFont="1" applyFill="1" applyBorder="1">
      <alignment horizontal="left" vertical="center" indent="1" justifyLastLine="1"/>
    </xf>
    <xf numFmtId="3" fontId="15" fillId="52" borderId="8" xfId="2" applyNumberFormat="1" applyFont="1" applyFill="1" applyBorder="1" applyAlignment="1" applyProtection="1">
      <alignment vertical="center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3" fillId="54" borderId="11" xfId="2" applyFont="1" applyFill="1" applyBorder="1" applyAlignment="1" applyProtection="1">
      <alignment horizontal="center" vertical="center"/>
    </xf>
    <xf numFmtId="0" fontId="83" fillId="54" borderId="14" xfId="2" applyFont="1" applyFill="1" applyBorder="1" applyAlignment="1" applyProtection="1">
      <alignment horizontal="center" vertical="center"/>
    </xf>
    <xf numFmtId="0" fontId="83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5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iperveza" xfId="134" builtinId="8"/>
    <cellStyle name="Naslov 1" xfId="76" xr:uid="{00000000-0005-0000-0000-000017000000}"/>
    <cellStyle name="Normal 2" xfId="2" xr:uid="{00000000-0005-0000-0000-000019000000}"/>
    <cellStyle name="Normal 2 2" xfId="117" xr:uid="{00000000-0005-0000-0000-00001A000000}"/>
    <cellStyle name="Normal 2 3" xfId="132" xr:uid="{00000000-0005-0000-0000-00001B000000}"/>
    <cellStyle name="Normal 3" xfId="20" xr:uid="{00000000-0005-0000-0000-00001C000000}"/>
    <cellStyle name="Normal 3 3" xfId="3" xr:uid="{00000000-0005-0000-0000-00001D000000}"/>
    <cellStyle name="Normal 4" xfId="77" xr:uid="{00000000-0005-0000-0000-00001E000000}"/>
    <cellStyle name="Normal 6" xfId="4" xr:uid="{00000000-0005-0000-0000-00001F000000}"/>
    <cellStyle name="Normalno" xfId="0" builtinId="0"/>
    <cellStyle name="Obično_01_ZAGREBAČKA ŽUPANIJA" xfId="73" xr:uid="{00000000-0005-0000-0000-000020000000}"/>
    <cellStyle name="Obično_14_OSJEČKO-BARANJSKA ŽUPANIJA" xfId="74" xr:uid="{00000000-0005-0000-0000-000021000000}"/>
    <cellStyle name="Obično_21_GRAD ZAGREB" xfId="133" xr:uid="{00000000-0005-0000-0000-000022000000}"/>
    <cellStyle name="Obično_List4" xfId="5" xr:uid="{00000000-0005-0000-0000-000023000000}"/>
    <cellStyle name="Obično_List7" xfId="6" xr:uid="{00000000-0005-0000-0000-000024000000}"/>
    <cellStyle name="Obično_List8" xfId="7" xr:uid="{00000000-0005-0000-0000-000025000000}"/>
    <cellStyle name="Obično_List9" xfId="8" xr:uid="{00000000-0005-0000-0000-000026000000}"/>
    <cellStyle name="SAPBEXaggData" xfId="9" xr:uid="{00000000-0005-0000-0000-000027000000}"/>
    <cellStyle name="SAPBEXaggData 2" xfId="78" xr:uid="{00000000-0005-0000-0000-000028000000}"/>
    <cellStyle name="SAPBEXaggDataEmph" xfId="42" xr:uid="{00000000-0005-0000-0000-000029000000}"/>
    <cellStyle name="SAPBEXaggDataEmph 2" xfId="79" xr:uid="{00000000-0005-0000-0000-00002A000000}"/>
    <cellStyle name="SAPBEXaggItem" xfId="10" xr:uid="{00000000-0005-0000-0000-00002B000000}"/>
    <cellStyle name="SAPBEXaggItem 2" xfId="80" xr:uid="{00000000-0005-0000-0000-00002C000000}"/>
    <cellStyle name="SAPBEXaggItem 3" xfId="118" xr:uid="{00000000-0005-0000-0000-00002D000000}"/>
    <cellStyle name="SAPBEXaggItemX" xfId="43" xr:uid="{00000000-0005-0000-0000-00002E000000}"/>
    <cellStyle name="SAPBEXaggItemX 2" xfId="81" xr:uid="{00000000-0005-0000-0000-00002F000000}"/>
    <cellStyle name="SAPBEXchaText" xfId="11" xr:uid="{00000000-0005-0000-0000-000030000000}"/>
    <cellStyle name="SAPBEXchaText 2" xfId="82" xr:uid="{00000000-0005-0000-0000-000031000000}"/>
    <cellStyle name="SAPBEXchaText 3" xfId="119" xr:uid="{00000000-0005-0000-0000-000032000000}"/>
    <cellStyle name="SAPBEXexcBad7" xfId="44" xr:uid="{00000000-0005-0000-0000-000033000000}"/>
    <cellStyle name="SAPBEXexcBad7 2" xfId="83" xr:uid="{00000000-0005-0000-0000-000034000000}"/>
    <cellStyle name="SAPBEXexcBad8" xfId="45" xr:uid="{00000000-0005-0000-0000-000035000000}"/>
    <cellStyle name="SAPBEXexcBad8 2" xfId="84" xr:uid="{00000000-0005-0000-0000-000036000000}"/>
    <cellStyle name="SAPBEXexcBad9" xfId="46" xr:uid="{00000000-0005-0000-0000-000037000000}"/>
    <cellStyle name="SAPBEXexcBad9 2" xfId="85" xr:uid="{00000000-0005-0000-0000-000038000000}"/>
    <cellStyle name="SAPBEXexcCritical4" xfId="47" xr:uid="{00000000-0005-0000-0000-000039000000}"/>
    <cellStyle name="SAPBEXexcCritical4 2" xfId="86" xr:uid="{00000000-0005-0000-0000-00003A000000}"/>
    <cellStyle name="SAPBEXexcCritical5" xfId="48" xr:uid="{00000000-0005-0000-0000-00003B000000}"/>
    <cellStyle name="SAPBEXexcCritical5 2" xfId="87" xr:uid="{00000000-0005-0000-0000-00003C000000}"/>
    <cellStyle name="SAPBEXexcCritical6" xfId="49" xr:uid="{00000000-0005-0000-0000-00003D000000}"/>
    <cellStyle name="SAPBEXexcCritical6 2" xfId="88" xr:uid="{00000000-0005-0000-0000-00003E000000}"/>
    <cellStyle name="SAPBEXexcGood1" xfId="50" xr:uid="{00000000-0005-0000-0000-00003F000000}"/>
    <cellStyle name="SAPBEXexcGood1 2" xfId="89" xr:uid="{00000000-0005-0000-0000-000040000000}"/>
    <cellStyle name="SAPBEXexcGood2" xfId="51" xr:uid="{00000000-0005-0000-0000-000041000000}"/>
    <cellStyle name="SAPBEXexcGood2 2" xfId="90" xr:uid="{00000000-0005-0000-0000-000042000000}"/>
    <cellStyle name="SAPBEXexcGood3" xfId="52" xr:uid="{00000000-0005-0000-0000-000043000000}"/>
    <cellStyle name="SAPBEXexcGood3 2" xfId="91" xr:uid="{00000000-0005-0000-0000-000044000000}"/>
    <cellStyle name="SAPBEXfilterDrill" xfId="53" xr:uid="{00000000-0005-0000-0000-000045000000}"/>
    <cellStyle name="SAPBEXfilterDrill 2" xfId="92" xr:uid="{00000000-0005-0000-0000-000046000000}"/>
    <cellStyle name="SAPBEXfilterDrill 3" xfId="120" xr:uid="{00000000-0005-0000-0000-000047000000}"/>
    <cellStyle name="SAPBEXfilterItem" xfId="54" xr:uid="{00000000-0005-0000-0000-000048000000}"/>
    <cellStyle name="SAPBEXfilterItem 2" xfId="93" xr:uid="{00000000-0005-0000-0000-000049000000}"/>
    <cellStyle name="SAPBEXfilterItem 3" xfId="121" xr:uid="{00000000-0005-0000-0000-00004A000000}"/>
    <cellStyle name="SAPBEXfilterText" xfId="55" xr:uid="{00000000-0005-0000-0000-00004B000000}"/>
    <cellStyle name="SAPBEXfilterText 2" xfId="94" xr:uid="{00000000-0005-0000-0000-00004C000000}"/>
    <cellStyle name="SAPBEXfilterText 3" xfId="122" xr:uid="{00000000-0005-0000-0000-00004D000000}"/>
    <cellStyle name="SAPBEXformats" xfId="12" xr:uid="{00000000-0005-0000-0000-00004E000000}"/>
    <cellStyle name="SAPBEXformats 2" xfId="95" xr:uid="{00000000-0005-0000-0000-00004F000000}"/>
    <cellStyle name="SAPBEXheaderItem" xfId="56" xr:uid="{00000000-0005-0000-0000-000050000000}"/>
    <cellStyle name="SAPBEXheaderItem 2" xfId="96" xr:uid="{00000000-0005-0000-0000-000051000000}"/>
    <cellStyle name="SAPBEXheaderItem 3" xfId="127" xr:uid="{00000000-0005-0000-0000-000052000000}"/>
    <cellStyle name="SAPBEXheaderText" xfId="57" xr:uid="{00000000-0005-0000-0000-000053000000}"/>
    <cellStyle name="SAPBEXheaderText 2" xfId="97" xr:uid="{00000000-0005-0000-0000-000054000000}"/>
    <cellStyle name="SAPBEXheaderText 3" xfId="128" xr:uid="{00000000-0005-0000-0000-000055000000}"/>
    <cellStyle name="SAPBEXHLevel0" xfId="13" xr:uid="{00000000-0005-0000-0000-000056000000}"/>
    <cellStyle name="SAPBEXHLevel0 2" xfId="75" xr:uid="{00000000-0005-0000-0000-000057000000}"/>
    <cellStyle name="SAPBEXHLevel0 3" xfId="98" xr:uid="{00000000-0005-0000-0000-000058000000}"/>
    <cellStyle name="SAPBEXHLevel0X" xfId="58" xr:uid="{00000000-0005-0000-0000-000059000000}"/>
    <cellStyle name="SAPBEXHLevel0X 2" xfId="99" xr:uid="{00000000-0005-0000-0000-00005A000000}"/>
    <cellStyle name="SAPBEXHLevel1" xfId="14" xr:uid="{00000000-0005-0000-0000-00005B000000}"/>
    <cellStyle name="SAPBEXHLevel1 2" xfId="100" xr:uid="{00000000-0005-0000-0000-00005C000000}"/>
    <cellStyle name="SAPBEXHLevel1 3" xfId="129" xr:uid="{00000000-0005-0000-0000-00005D000000}"/>
    <cellStyle name="SAPBEXHLevel1X" xfId="59" xr:uid="{00000000-0005-0000-0000-00005E000000}"/>
    <cellStyle name="SAPBEXHLevel1X 2" xfId="101" xr:uid="{00000000-0005-0000-0000-00005F000000}"/>
    <cellStyle name="SAPBEXHLevel2" xfId="15" xr:uid="{00000000-0005-0000-0000-000060000000}"/>
    <cellStyle name="SAPBEXHLevel2 2" xfId="102" xr:uid="{00000000-0005-0000-0000-000061000000}"/>
    <cellStyle name="SAPBEXHLevel2 3" xfId="130" xr:uid="{00000000-0005-0000-0000-000062000000}"/>
    <cellStyle name="SAPBEXHLevel2X" xfId="60" xr:uid="{00000000-0005-0000-0000-000063000000}"/>
    <cellStyle name="SAPBEXHLevel2X 2" xfId="103" xr:uid="{00000000-0005-0000-0000-000064000000}"/>
    <cellStyle name="SAPBEXHLevel3" xfId="16" xr:uid="{00000000-0005-0000-0000-000065000000}"/>
    <cellStyle name="SAPBEXHLevel3 2" xfId="104" xr:uid="{00000000-0005-0000-0000-000066000000}"/>
    <cellStyle name="SAPBEXHLevel3 3" xfId="123" xr:uid="{00000000-0005-0000-0000-000067000000}"/>
    <cellStyle name="SAPBEXHLevel3X" xfId="61" xr:uid="{00000000-0005-0000-0000-000068000000}"/>
    <cellStyle name="SAPBEXHLevel3X 2" xfId="105" xr:uid="{00000000-0005-0000-0000-000069000000}"/>
    <cellStyle name="SAPBEXinputData" xfId="62" xr:uid="{00000000-0005-0000-0000-00006A000000}"/>
    <cellStyle name="SAPBEXinputData 2" xfId="106" xr:uid="{00000000-0005-0000-0000-00006B000000}"/>
    <cellStyle name="SAPBEXItemHeader" xfId="17" xr:uid="{00000000-0005-0000-0000-00006C000000}"/>
    <cellStyle name="SAPBEXresData" xfId="63" xr:uid="{00000000-0005-0000-0000-00006D000000}"/>
    <cellStyle name="SAPBEXresData 2" xfId="107" xr:uid="{00000000-0005-0000-0000-00006E000000}"/>
    <cellStyle name="SAPBEXresDataEmph" xfId="64" xr:uid="{00000000-0005-0000-0000-00006F000000}"/>
    <cellStyle name="SAPBEXresDataEmph 2" xfId="108" xr:uid="{00000000-0005-0000-0000-000070000000}"/>
    <cellStyle name="SAPBEXresDataEmph 3" xfId="124" xr:uid="{00000000-0005-0000-0000-000071000000}"/>
    <cellStyle name="SAPBEXresItem" xfId="65" xr:uid="{00000000-0005-0000-0000-000072000000}"/>
    <cellStyle name="SAPBEXresItem 2" xfId="109" xr:uid="{00000000-0005-0000-0000-000073000000}"/>
    <cellStyle name="SAPBEXresItemX" xfId="66" xr:uid="{00000000-0005-0000-0000-000074000000}"/>
    <cellStyle name="SAPBEXresItemX 2" xfId="110" xr:uid="{00000000-0005-0000-0000-000075000000}"/>
    <cellStyle name="SAPBEXstdData" xfId="18" xr:uid="{00000000-0005-0000-0000-000076000000}"/>
    <cellStyle name="SAPBEXstdData 2" xfId="111" xr:uid="{00000000-0005-0000-0000-000077000000}"/>
    <cellStyle name="SAPBEXstdDataEmph" xfId="67" xr:uid="{00000000-0005-0000-0000-000078000000}"/>
    <cellStyle name="SAPBEXstdDataEmph 2" xfId="112" xr:uid="{00000000-0005-0000-0000-000079000000}"/>
    <cellStyle name="SAPBEXstdItem" xfId="19" xr:uid="{00000000-0005-0000-0000-00007A000000}"/>
    <cellStyle name="SAPBEXstdItem 2" xfId="113" xr:uid="{00000000-0005-0000-0000-00007B000000}"/>
    <cellStyle name="SAPBEXstdItem 3" xfId="125" xr:uid="{00000000-0005-0000-0000-00007C000000}"/>
    <cellStyle name="SAPBEXstdItemX" xfId="68" xr:uid="{00000000-0005-0000-0000-00007D000000}"/>
    <cellStyle name="SAPBEXstdItemX 2" xfId="114" xr:uid="{00000000-0005-0000-0000-00007E000000}"/>
    <cellStyle name="SAPBEXtitle" xfId="69" xr:uid="{00000000-0005-0000-0000-00007F000000}"/>
    <cellStyle name="SAPBEXtitle 2" xfId="115" xr:uid="{00000000-0005-0000-0000-000080000000}"/>
    <cellStyle name="SAPBEXtitle 3" xfId="126" xr:uid="{00000000-0005-0000-0000-000081000000}"/>
    <cellStyle name="SAPBEXunassignedItem" xfId="70" xr:uid="{00000000-0005-0000-0000-000082000000}"/>
    <cellStyle name="SAPBEXunassignedItem 2" xfId="131" xr:uid="{00000000-0005-0000-0000-000083000000}"/>
    <cellStyle name="SAPBEXundefined" xfId="71" xr:uid="{00000000-0005-0000-0000-000084000000}"/>
    <cellStyle name="SAPBEXundefined 2" xfId="116" xr:uid="{00000000-0005-0000-0000-000085000000}"/>
    <cellStyle name="Sheet Title" xfId="72" xr:uid="{00000000-0005-0000-0000-000086000000}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PLANOVI\PLAN%202023-2025\IZVRSENJE-FINANCIJSKOG-PLANA\podaci-iz-fin-plana-konacni-prosinac2023-2025-ZA-IZVRSENJEsrpanj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PLANOVI\PLAN%202023-2025\IZVRSENJE-FINANCIJSKOG-PLANA\Pravni-fakultet-Osijek-OP&#262;I%20DIO%20IZVR&#352;ENJE%20FP_I-VI%202023_tablice-m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>
        <row r="3">
          <cell r="C3" t="str">
            <v>2292 SVEUČILIŠTE J. J. STROSSMAYERA U OSIJEKU - PRAVNI FAKULTET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opLeftCell="A4" workbookViewId="0">
      <selection activeCell="C7" sqref="C7:E7"/>
    </sheetView>
  </sheetViews>
  <sheetFormatPr defaultColWidth="14.42578125" defaultRowHeight="12.75"/>
  <cols>
    <col min="1" max="1" width="7.5703125" style="83" customWidth="1"/>
    <col min="2" max="2" width="36.140625" style="83" bestFit="1" customWidth="1"/>
    <col min="3" max="3" width="21.42578125" style="83" customWidth="1"/>
    <col min="4" max="4" width="21.140625" style="83" customWidth="1"/>
    <col min="5" max="5" width="21.7109375" style="83" customWidth="1"/>
    <col min="6" max="11" width="11.42578125" style="83" customWidth="1"/>
    <col min="12" max="12" width="16.42578125" style="83" customWidth="1"/>
    <col min="13" max="13" width="7.85546875" style="83" customWidth="1"/>
    <col min="14" max="14" width="97.5703125" style="83" customWidth="1"/>
    <col min="15" max="15" width="19.5703125" style="83" customWidth="1"/>
    <col min="16" max="18" width="11.42578125" style="83" customWidth="1"/>
    <col min="19" max="19" width="12.85546875" style="83" customWidth="1"/>
    <col min="20" max="26" width="11.42578125" style="83" customWidth="1"/>
    <col min="27" max="16384" width="14.42578125" style="83"/>
  </cols>
  <sheetData>
    <row r="1" spans="1:26">
      <c r="A1" s="153"/>
    </row>
    <row r="3" spans="1:26" ht="36.75" customHeight="1" thickBot="1">
      <c r="A3" s="84"/>
      <c r="B3" s="117" t="s">
        <v>259</v>
      </c>
      <c r="C3" s="376" t="s">
        <v>5281</v>
      </c>
      <c r="D3" s="377"/>
      <c r="E3" s="378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ht="15.75" thickBot="1">
      <c r="A4" s="84"/>
      <c r="B4" s="118" t="s">
        <v>0</v>
      </c>
      <c r="C4" s="379" t="s">
        <v>5282</v>
      </c>
      <c r="D4" s="380"/>
      <c r="E4" s="381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5.75" thickBot="1">
      <c r="A5" s="85"/>
      <c r="B5" s="118" t="s">
        <v>1</v>
      </c>
      <c r="C5" s="379" t="s">
        <v>5283</v>
      </c>
      <c r="D5" s="380"/>
      <c r="E5" s="381"/>
      <c r="F5" s="84"/>
      <c r="G5" s="84"/>
      <c r="H5" s="84"/>
      <c r="I5" s="84"/>
      <c r="J5" s="84"/>
      <c r="K5" s="86" t="s">
        <v>262</v>
      </c>
      <c r="L5" s="86" t="s">
        <v>630</v>
      </c>
      <c r="M5" s="86" t="s">
        <v>263</v>
      </c>
      <c r="N5" s="86" t="s">
        <v>264</v>
      </c>
      <c r="O5" s="86" t="s">
        <v>265</v>
      </c>
      <c r="P5" s="86" t="s">
        <v>266</v>
      </c>
      <c r="Q5" s="86" t="s">
        <v>267</v>
      </c>
      <c r="R5" s="86" t="s">
        <v>268</v>
      </c>
      <c r="S5" s="86" t="s">
        <v>269</v>
      </c>
      <c r="T5" s="86" t="s">
        <v>628</v>
      </c>
      <c r="U5" s="87" t="s">
        <v>201</v>
      </c>
      <c r="V5" s="84"/>
      <c r="W5" s="84"/>
      <c r="X5" s="84"/>
      <c r="Y5" s="84"/>
      <c r="Z5" s="84"/>
    </row>
    <row r="6" spans="1:26" ht="15.75" thickBot="1">
      <c r="A6" s="88"/>
      <c r="B6" s="118" t="s">
        <v>2</v>
      </c>
      <c r="C6" s="379" t="s">
        <v>5284</v>
      </c>
      <c r="D6" s="380"/>
      <c r="E6" s="381"/>
      <c r="F6" s="84"/>
      <c r="G6" s="84"/>
      <c r="H6" s="84"/>
      <c r="I6" s="84"/>
      <c r="J6" s="84"/>
      <c r="K6" s="83">
        <v>0</v>
      </c>
      <c r="L6" s="83" t="s">
        <v>631</v>
      </c>
      <c r="T6" s="83" t="s">
        <v>651</v>
      </c>
      <c r="U6" s="83" t="s">
        <v>651</v>
      </c>
      <c r="V6" s="84"/>
      <c r="W6" s="84"/>
      <c r="X6" s="84"/>
      <c r="Y6" s="84"/>
      <c r="Z6" s="84"/>
    </row>
    <row r="7" spans="1:26" ht="15.75" thickBot="1">
      <c r="A7" s="88"/>
      <c r="B7" s="118" t="s">
        <v>258</v>
      </c>
      <c r="C7" s="384" t="s">
        <v>5285</v>
      </c>
      <c r="D7" s="380"/>
      <c r="E7" s="381"/>
      <c r="F7" s="84"/>
      <c r="G7" s="84"/>
      <c r="H7" s="84"/>
      <c r="I7" s="84"/>
      <c r="J7" s="84"/>
      <c r="K7" s="144">
        <f t="shared" ref="K7:K71" si="0">+K6+1</f>
        <v>1</v>
      </c>
      <c r="L7" s="142" t="str">
        <f>M7&amp;" "&amp;N7</f>
        <v xml:space="preserve">1222 MINISTARSTVO ZNANOSTI I OBRAZOVANJA </v>
      </c>
      <c r="M7" s="142">
        <v>1222</v>
      </c>
      <c r="N7" s="145" t="s">
        <v>1743</v>
      </c>
      <c r="O7" s="146"/>
      <c r="P7" s="151" t="s">
        <v>270</v>
      </c>
      <c r="Q7" s="145" t="s">
        <v>271</v>
      </c>
      <c r="R7" s="143">
        <v>3271030</v>
      </c>
      <c r="S7" s="139" t="s">
        <v>1744</v>
      </c>
      <c r="T7" s="140" t="s">
        <v>1203</v>
      </c>
      <c r="U7" s="141" t="s">
        <v>936</v>
      </c>
      <c r="V7" s="84"/>
      <c r="W7" s="84"/>
      <c r="X7" s="84"/>
      <c r="Y7" s="84"/>
      <c r="Z7" s="84"/>
    </row>
    <row r="8" spans="1:26" ht="15">
      <c r="A8" s="88"/>
      <c r="B8" s="88"/>
      <c r="C8" s="84"/>
      <c r="D8" s="84"/>
      <c r="E8" s="84"/>
      <c r="F8" s="84"/>
      <c r="G8" s="84"/>
      <c r="H8" s="84"/>
      <c r="I8" s="84"/>
      <c r="J8" s="84"/>
      <c r="K8" s="144">
        <f t="shared" si="0"/>
        <v>2</v>
      </c>
      <c r="L8" s="142" t="str">
        <f t="shared" ref="L8:L72" si="1">M8&amp;" "&amp;N8</f>
        <v>2063 FAKULTET ORGANIZACIJE I INFORMATIKE U VARAŽDINU</v>
      </c>
      <c r="M8" s="142">
        <v>2063</v>
      </c>
      <c r="N8" s="145" t="s">
        <v>484</v>
      </c>
      <c r="O8" s="146" t="s">
        <v>393</v>
      </c>
      <c r="P8" s="145" t="s">
        <v>485</v>
      </c>
      <c r="Q8" s="145" t="s">
        <v>441</v>
      </c>
      <c r="R8" s="143">
        <v>3006107</v>
      </c>
      <c r="S8" s="139" t="s">
        <v>486</v>
      </c>
      <c r="T8" s="140" t="s">
        <v>45</v>
      </c>
      <c r="U8" s="141" t="s">
        <v>44</v>
      </c>
      <c r="V8" s="84"/>
      <c r="W8" s="84"/>
      <c r="X8" s="84"/>
      <c r="Y8" s="84"/>
      <c r="Z8" s="84"/>
    </row>
    <row r="9" spans="1:26" ht="28.5" customHeight="1">
      <c r="B9" s="387" t="s">
        <v>5262</v>
      </c>
      <c r="C9" s="386"/>
      <c r="D9" s="386"/>
      <c r="E9" s="386"/>
      <c r="F9" s="84"/>
      <c r="G9" s="84"/>
      <c r="H9" s="84"/>
      <c r="I9" s="84"/>
      <c r="J9" s="84"/>
      <c r="K9" s="144">
        <f t="shared" si="0"/>
        <v>3</v>
      </c>
      <c r="L9" s="142" t="str">
        <f t="shared" si="1"/>
        <v>43749 MEĐIMURSKO VELEUČILIŠTE U ČAKOVCU</v>
      </c>
      <c r="M9" s="142">
        <v>43749</v>
      </c>
      <c r="N9" s="145" t="s">
        <v>487</v>
      </c>
      <c r="O9" s="146" t="s">
        <v>488</v>
      </c>
      <c r="P9" s="145" t="s">
        <v>489</v>
      </c>
      <c r="Q9" s="145" t="s">
        <v>490</v>
      </c>
      <c r="R9" s="143">
        <v>2382512</v>
      </c>
      <c r="S9" s="139" t="s">
        <v>491</v>
      </c>
      <c r="T9" s="140" t="s">
        <v>45</v>
      </c>
      <c r="U9" s="141" t="s">
        <v>44</v>
      </c>
      <c r="V9" s="84"/>
      <c r="W9" s="84"/>
      <c r="X9" s="84"/>
      <c r="Y9" s="84"/>
      <c r="Z9" s="84"/>
    </row>
    <row r="10" spans="1:26" ht="18.75" customHeight="1">
      <c r="A10" s="279"/>
      <c r="B10" s="280"/>
      <c r="C10" s="279"/>
      <c r="D10" s="279"/>
      <c r="E10" s="279"/>
      <c r="F10" s="84"/>
      <c r="G10" s="84"/>
      <c r="H10" s="84"/>
      <c r="I10" s="84"/>
      <c r="J10" s="84"/>
      <c r="K10" s="144">
        <f t="shared" si="0"/>
        <v>4</v>
      </c>
      <c r="L10" s="142" t="str">
        <f t="shared" si="1"/>
        <v>2452 SVEUČILIŠTE J. J. STROSSMAYERA U OSIJEKU</v>
      </c>
      <c r="M10" s="142">
        <v>2452</v>
      </c>
      <c r="N10" s="145" t="s">
        <v>1745</v>
      </c>
      <c r="O10" s="152" t="s">
        <v>272</v>
      </c>
      <c r="P10" s="145" t="s">
        <v>273</v>
      </c>
      <c r="Q10" s="145" t="s">
        <v>274</v>
      </c>
      <c r="R10" s="143">
        <v>3049779</v>
      </c>
      <c r="S10" s="139" t="s">
        <v>275</v>
      </c>
      <c r="T10" s="140" t="s">
        <v>45</v>
      </c>
      <c r="U10" s="141" t="s">
        <v>44</v>
      </c>
      <c r="V10" s="84"/>
      <c r="W10" s="84"/>
      <c r="X10" s="84"/>
      <c r="Y10" s="84"/>
      <c r="Z10" s="84"/>
    </row>
    <row r="11" spans="1:26" ht="12" customHeight="1">
      <c r="B11" s="387" t="s">
        <v>3</v>
      </c>
      <c r="C11" s="386"/>
      <c r="D11" s="386"/>
      <c r="E11" s="386"/>
      <c r="F11" s="84"/>
      <c r="G11" s="84"/>
      <c r="H11" s="84"/>
      <c r="I11" s="84"/>
      <c r="J11" s="84"/>
      <c r="K11" s="144">
        <f t="shared" si="0"/>
        <v>5</v>
      </c>
      <c r="L11" s="142" t="str">
        <f t="shared" si="1"/>
        <v>50215 SVEUČILIŠTE J. J. STROSSMAYERA U OSIJEKU - AKADEMIJA ZA UMJETNOST I KULTURU U OSIJEKU</v>
      </c>
      <c r="M11" s="142">
        <v>50215</v>
      </c>
      <c r="N11" s="145" t="s">
        <v>1746</v>
      </c>
      <c r="O11" s="152" t="s">
        <v>272</v>
      </c>
      <c r="P11" s="145" t="s">
        <v>299</v>
      </c>
      <c r="Q11" s="145" t="s">
        <v>274</v>
      </c>
      <c r="R11" s="143">
        <v>4907361</v>
      </c>
      <c r="S11" s="139" t="s">
        <v>1705</v>
      </c>
      <c r="T11" s="140" t="s">
        <v>45</v>
      </c>
      <c r="U11" s="141" t="s">
        <v>44</v>
      </c>
      <c r="V11" s="84"/>
      <c r="W11" s="84"/>
      <c r="X11" s="84"/>
      <c r="Y11" s="84"/>
      <c r="Z11" s="84"/>
    </row>
    <row r="12" spans="1:26" ht="12" customHeight="1">
      <c r="A12" s="279"/>
      <c r="B12" s="280"/>
      <c r="C12" s="279"/>
      <c r="D12" s="279"/>
      <c r="E12" s="279"/>
      <c r="F12" s="84"/>
      <c r="G12" s="84"/>
      <c r="H12" s="84"/>
      <c r="I12" s="84"/>
      <c r="J12" s="84"/>
      <c r="K12" s="144">
        <f t="shared" si="0"/>
        <v>6</v>
      </c>
      <c r="L12" s="142" t="str">
        <f t="shared" si="1"/>
        <v>2284 SVEUČILIŠTE J. J. STROSSMAYERA U OSIJEKU - EKONOMSKI FAKULTET</v>
      </c>
      <c r="M12" s="142">
        <v>2284</v>
      </c>
      <c r="N12" s="145" t="s">
        <v>1747</v>
      </c>
      <c r="O12" s="152" t="s">
        <v>272</v>
      </c>
      <c r="P12" s="145" t="s">
        <v>276</v>
      </c>
      <c r="Q12" s="145" t="s">
        <v>274</v>
      </c>
      <c r="R12" s="143">
        <v>3021645</v>
      </c>
      <c r="S12" s="139" t="s">
        <v>277</v>
      </c>
      <c r="T12" s="140" t="s">
        <v>45</v>
      </c>
      <c r="U12" s="141" t="s">
        <v>44</v>
      </c>
      <c r="V12" s="84"/>
      <c r="W12" s="84"/>
      <c r="X12" s="84"/>
      <c r="Y12" s="84"/>
      <c r="Z12" s="84"/>
    </row>
    <row r="13" spans="1:26" ht="33" customHeight="1">
      <c r="B13" s="382" t="s">
        <v>5068</v>
      </c>
      <c r="C13" s="383"/>
      <c r="D13" s="383"/>
      <c r="E13" s="383"/>
      <c r="F13" s="317"/>
      <c r="G13" s="84"/>
      <c r="H13" s="84"/>
      <c r="I13" s="84"/>
      <c r="J13" s="84"/>
      <c r="K13" s="144">
        <f t="shared" si="0"/>
        <v>7</v>
      </c>
      <c r="L13" s="142" t="str">
        <f t="shared" si="1"/>
        <v>2268 SVEUČILIŠTE J. J. STROSSMAYERA U OSIJEKU - FAKULTET AGROBIOTEHNIČKIH ZNANOSTI OSIJEK</v>
      </c>
      <c r="M13" s="142">
        <v>2268</v>
      </c>
      <c r="N13" s="145" t="s">
        <v>1748</v>
      </c>
      <c r="O13" s="152" t="s">
        <v>272</v>
      </c>
      <c r="P13" s="145" t="s">
        <v>287</v>
      </c>
      <c r="Q13" s="145" t="s">
        <v>274</v>
      </c>
      <c r="R13" s="143">
        <v>3058212</v>
      </c>
      <c r="S13" s="139" t="s">
        <v>288</v>
      </c>
      <c r="T13" s="140" t="s">
        <v>45</v>
      </c>
      <c r="U13" s="141" t="s">
        <v>44</v>
      </c>
      <c r="V13" s="84"/>
      <c r="W13" s="84"/>
      <c r="X13" s="84"/>
      <c r="Y13" s="84"/>
      <c r="Z13" s="84"/>
    </row>
    <row r="14" spans="1:26" ht="19.5" customHeight="1">
      <c r="A14" s="90"/>
      <c r="B14" s="90"/>
      <c r="C14" s="84"/>
      <c r="D14" s="84"/>
      <c r="E14" s="291" t="s">
        <v>5246</v>
      </c>
      <c r="F14" s="94"/>
      <c r="G14" s="84"/>
      <c r="H14" s="84"/>
      <c r="I14" s="84"/>
      <c r="J14" s="84"/>
      <c r="K14" s="144">
        <f t="shared" si="0"/>
        <v>8</v>
      </c>
      <c r="L14" s="142" t="str">
        <f t="shared" si="1"/>
        <v>2313 SVEUČILIŠTE J. J. STROSSMAYERA U OSIJEKU - FAKULTET ELEKTROTEHNIKE, RAČUNARSTVA I INFORMACIJSKIH TEHNOLOGIJA OSIJEK</v>
      </c>
      <c r="M14" s="142">
        <v>2313</v>
      </c>
      <c r="N14" s="145" t="s">
        <v>1749</v>
      </c>
      <c r="O14" s="152" t="s">
        <v>272</v>
      </c>
      <c r="P14" s="145" t="s">
        <v>278</v>
      </c>
      <c r="Q14" s="145" t="s">
        <v>274</v>
      </c>
      <c r="R14" s="143">
        <v>3392589</v>
      </c>
      <c r="S14" s="139" t="s">
        <v>279</v>
      </c>
      <c r="T14" s="140" t="s">
        <v>45</v>
      </c>
      <c r="U14" s="141" t="s">
        <v>44</v>
      </c>
      <c r="V14" s="84"/>
      <c r="W14" s="84"/>
      <c r="X14" s="84"/>
      <c r="Y14" s="84"/>
      <c r="Z14" s="84"/>
    </row>
    <row r="15" spans="1:26" ht="26.25" customHeight="1">
      <c r="A15" s="91"/>
      <c r="B15" s="91"/>
      <c r="C15" s="322" t="s">
        <v>5260</v>
      </c>
      <c r="D15" s="322" t="s">
        <v>5259</v>
      </c>
      <c r="E15" s="322" t="s">
        <v>5261</v>
      </c>
      <c r="F15" s="84"/>
      <c r="G15" s="84"/>
      <c r="H15" s="84"/>
      <c r="I15" s="84"/>
      <c r="J15" s="84"/>
      <c r="K15" s="144">
        <f t="shared" si="0"/>
        <v>9</v>
      </c>
      <c r="L15" s="142" t="str">
        <f t="shared" si="1"/>
        <v>49796 SVEUČILIŠTE J. J. STROSSMAYERA U OSIJEKU - FAKULTET ZA DENTALNU MEDICINU I ZDRAVSTVO</v>
      </c>
      <c r="M15" s="142">
        <v>49796</v>
      </c>
      <c r="N15" s="145" t="s">
        <v>1750</v>
      </c>
      <c r="O15" s="152" t="s">
        <v>272</v>
      </c>
      <c r="P15" s="145" t="s">
        <v>297</v>
      </c>
      <c r="Q15" s="145" t="s">
        <v>274</v>
      </c>
      <c r="R15" s="143">
        <v>4748875</v>
      </c>
      <c r="S15" s="139" t="s">
        <v>298</v>
      </c>
      <c r="T15" s="140" t="s">
        <v>45</v>
      </c>
      <c r="U15" s="141" t="s">
        <v>44</v>
      </c>
      <c r="V15" s="84"/>
      <c r="W15" s="84"/>
      <c r="X15" s="84"/>
      <c r="Y15" s="84"/>
      <c r="Z15" s="84"/>
    </row>
    <row r="16" spans="1:26" ht="19.5" customHeight="1">
      <c r="A16" s="92"/>
      <c r="B16" s="92" t="s">
        <v>4</v>
      </c>
      <c r="C16" s="93">
        <f>SUM(C17:C18)</f>
        <v>5835269</v>
      </c>
      <c r="D16" s="93">
        <f>+D17+D18</f>
        <v>1056884</v>
      </c>
      <c r="E16" s="93">
        <f>+E17+E18</f>
        <v>6892153</v>
      </c>
      <c r="F16" s="84"/>
      <c r="G16" s="98"/>
      <c r="H16" s="84"/>
      <c r="I16" s="84"/>
      <c r="J16" s="84"/>
      <c r="K16" s="144">
        <f t="shared" si="0"/>
        <v>10</v>
      </c>
      <c r="L16" s="142" t="str">
        <f t="shared" si="1"/>
        <v>22486 SVEUČILIŠTE J. J. STROSSMAYERA U OSIJEKU - FAKULTET ZA ODGOJNE I OBRAZOVNE ZNANOSTI</v>
      </c>
      <c r="M16" s="142">
        <v>22486</v>
      </c>
      <c r="N16" s="145" t="s">
        <v>1751</v>
      </c>
      <c r="O16" s="152" t="s">
        <v>272</v>
      </c>
      <c r="P16" s="145" t="s">
        <v>292</v>
      </c>
      <c r="Q16" s="145" t="s">
        <v>274</v>
      </c>
      <c r="R16" s="143">
        <v>1404881</v>
      </c>
      <c r="S16" s="139" t="s">
        <v>293</v>
      </c>
      <c r="T16" s="140" t="s">
        <v>45</v>
      </c>
      <c r="U16" s="141" t="s">
        <v>44</v>
      </c>
      <c r="V16" s="84"/>
      <c r="W16" s="84"/>
      <c r="X16" s="84"/>
      <c r="Y16" s="84"/>
      <c r="Z16" s="84"/>
    </row>
    <row r="17" spans="1:26" ht="19.5" customHeight="1">
      <c r="A17" s="95">
        <v>6</v>
      </c>
      <c r="B17" s="92" t="s">
        <v>5</v>
      </c>
      <c r="C17" s="96">
        <f>+'A.1 PRIHODI'!C27</f>
        <v>5835269</v>
      </c>
      <c r="D17" s="96">
        <f>+'A.1 PRIHODI'!C41</f>
        <v>1056884</v>
      </c>
      <c r="E17" s="96">
        <f>+'A.1 PRIHODI'!C61</f>
        <v>6892153</v>
      </c>
      <c r="F17" s="84"/>
      <c r="G17" s="84"/>
      <c r="H17" s="84"/>
      <c r="I17" s="84"/>
      <c r="J17" s="84"/>
      <c r="K17" s="144">
        <f t="shared" si="0"/>
        <v>11</v>
      </c>
      <c r="L17" s="142" t="str">
        <f t="shared" si="1"/>
        <v>2321 SVEUČILIŠTE J. J. STROSSMAYERA U OSIJEKU - FILOZOFSKI FAKULTET</v>
      </c>
      <c r="M17" s="142">
        <v>2321</v>
      </c>
      <c r="N17" s="145" t="s">
        <v>1752</v>
      </c>
      <c r="O17" s="152" t="s">
        <v>272</v>
      </c>
      <c r="P17" s="145" t="s">
        <v>280</v>
      </c>
      <c r="Q17" s="145" t="s">
        <v>274</v>
      </c>
      <c r="R17" s="143">
        <v>3014185</v>
      </c>
      <c r="S17" s="139" t="s">
        <v>281</v>
      </c>
      <c r="T17" s="140" t="s">
        <v>45</v>
      </c>
      <c r="U17" s="141" t="s">
        <v>44</v>
      </c>
      <c r="V17" s="84"/>
      <c r="W17" s="84"/>
      <c r="X17" s="84"/>
      <c r="Y17" s="84"/>
      <c r="Z17" s="84"/>
    </row>
    <row r="18" spans="1:26" ht="19.5" customHeight="1">
      <c r="A18" s="95">
        <v>7</v>
      </c>
      <c r="B18" s="97" t="s">
        <v>6</v>
      </c>
      <c r="C18" s="96">
        <f>+'A.1 PRIHODI'!C30</f>
        <v>0</v>
      </c>
      <c r="D18" s="96">
        <f>+'A.1 PRIHODI'!C44</f>
        <v>0</v>
      </c>
      <c r="E18" s="96">
        <f>+'A.1 PRIHODI'!C64</f>
        <v>0</v>
      </c>
      <c r="F18" s="84"/>
      <c r="G18" s="84"/>
      <c r="H18" s="84"/>
      <c r="I18" s="84"/>
      <c r="J18" s="84"/>
      <c r="K18" s="144">
        <f t="shared" si="0"/>
        <v>12</v>
      </c>
      <c r="L18" s="142" t="str">
        <f t="shared" si="1"/>
        <v>2508 SVEUČILIŠTE J. J. STROSSMAYERA U OSIJEKU - GRADSKA I SVEUČILIŠNA KNJIŽNICA</v>
      </c>
      <c r="M18" s="142">
        <v>2508</v>
      </c>
      <c r="N18" s="145" t="s">
        <v>1753</v>
      </c>
      <c r="O18" s="152" t="s">
        <v>272</v>
      </c>
      <c r="P18" s="145" t="s">
        <v>282</v>
      </c>
      <c r="Q18" s="145" t="s">
        <v>274</v>
      </c>
      <c r="R18" s="143">
        <v>3014347</v>
      </c>
      <c r="S18" s="139" t="s">
        <v>283</v>
      </c>
      <c r="T18" s="140" t="s">
        <v>45</v>
      </c>
      <c r="U18" s="141" t="s">
        <v>44</v>
      </c>
      <c r="V18" s="84"/>
      <c r="W18" s="84"/>
      <c r="X18" s="84"/>
      <c r="Y18" s="84"/>
      <c r="Z18" s="84"/>
    </row>
    <row r="19" spans="1:26" ht="19.5" customHeight="1">
      <c r="A19" s="99"/>
      <c r="B19" s="97" t="s">
        <v>7</v>
      </c>
      <c r="C19" s="100">
        <f>SUM(C20:C21)</f>
        <v>6344867.0696168216</v>
      </c>
      <c r="D19" s="100">
        <f>+D20+D21</f>
        <v>131413.86556515156</v>
      </c>
      <c r="E19" s="100">
        <f>+E20+E21</f>
        <v>6476280.9351819744</v>
      </c>
      <c r="F19" s="84"/>
      <c r="G19" s="84"/>
      <c r="H19" s="84"/>
      <c r="I19" s="84"/>
      <c r="J19" s="84"/>
      <c r="K19" s="144">
        <f t="shared" si="0"/>
        <v>13</v>
      </c>
      <c r="L19" s="142" t="str">
        <f t="shared" si="1"/>
        <v>2250 SVEUČILIŠTE J. J. STROSSMAYERA U OSIJEKU - GRAĐEVINSKI I ARHITEKTONSKI FAKULTET OSIJEK</v>
      </c>
      <c r="M19" s="142">
        <v>2250</v>
      </c>
      <c r="N19" s="145" t="s">
        <v>1754</v>
      </c>
      <c r="O19" s="152" t="s">
        <v>272</v>
      </c>
      <c r="P19" s="145" t="s">
        <v>1704</v>
      </c>
      <c r="Q19" s="145" t="s">
        <v>274</v>
      </c>
      <c r="R19" s="143">
        <v>3397335</v>
      </c>
      <c r="S19" s="139" t="s">
        <v>284</v>
      </c>
      <c r="T19" s="140" t="s">
        <v>45</v>
      </c>
      <c r="U19" s="141" t="s">
        <v>44</v>
      </c>
      <c r="V19" s="84"/>
      <c r="W19" s="84"/>
      <c r="X19" s="84"/>
      <c r="Y19" s="84"/>
      <c r="Z19" s="84"/>
    </row>
    <row r="20" spans="1:26" ht="19.5" customHeight="1">
      <c r="A20" s="99">
        <v>3</v>
      </c>
      <c r="B20" s="92" t="s">
        <v>8</v>
      </c>
      <c r="C20" s="101">
        <f>+'A.2 RASHODI'!C5</f>
        <v>6017741.0696168216</v>
      </c>
      <c r="D20" s="102">
        <f>+'A.2 RASHODI'!C41</f>
        <v>181413.86556515156</v>
      </c>
      <c r="E20" s="102">
        <f>+'A.2 RASHODI'!C58</f>
        <v>6199154.9351819744</v>
      </c>
      <c r="F20" s="84"/>
      <c r="G20" s="84"/>
      <c r="H20" s="84"/>
      <c r="I20" s="84"/>
      <c r="J20" s="84"/>
      <c r="K20" s="144">
        <f t="shared" si="0"/>
        <v>14</v>
      </c>
      <c r="L20" s="142" t="str">
        <f t="shared" si="1"/>
        <v>38479 SVEUČILIŠTE J. J. STROSSMAYERA U OSIJEKU - KATOLIČKI BOGOSLOVNI FAKULTET U ĐAKOVU</v>
      </c>
      <c r="M20" s="142">
        <v>38479</v>
      </c>
      <c r="N20" s="145" t="s">
        <v>1755</v>
      </c>
      <c r="O20" s="152" t="s">
        <v>272</v>
      </c>
      <c r="P20" s="145" t="s">
        <v>294</v>
      </c>
      <c r="Q20" s="145" t="s">
        <v>295</v>
      </c>
      <c r="R20" s="143">
        <v>1986490</v>
      </c>
      <c r="S20" s="139" t="s">
        <v>296</v>
      </c>
      <c r="T20" s="140" t="s">
        <v>45</v>
      </c>
      <c r="U20" s="141" t="s">
        <v>44</v>
      </c>
      <c r="V20" s="84"/>
      <c r="W20" s="84"/>
      <c r="X20" s="84"/>
      <c r="Y20" s="84"/>
      <c r="Z20" s="84"/>
    </row>
    <row r="21" spans="1:26" ht="19.5" customHeight="1">
      <c r="A21" s="95">
        <v>4</v>
      </c>
      <c r="B21" s="97" t="s">
        <v>9</v>
      </c>
      <c r="C21" s="101">
        <f>+'A.2 RASHODI'!C32</f>
        <v>327126</v>
      </c>
      <c r="D21" s="102">
        <f>+'A.2 RASHODI'!C49</f>
        <v>-50000</v>
      </c>
      <c r="E21" s="102">
        <f>+'A.2 RASHODI'!C74</f>
        <v>277126</v>
      </c>
      <c r="F21" s="84"/>
      <c r="G21" s="84"/>
      <c r="H21" s="84"/>
      <c r="I21" s="84"/>
      <c r="J21" s="84"/>
      <c r="K21" s="144">
        <f t="shared" si="0"/>
        <v>15</v>
      </c>
      <c r="L21" s="142" t="str">
        <f t="shared" si="1"/>
        <v>51450 SVEUČILIŠTE J. J. STROSSMAYERA U OSIJEKU - KINEZIOLOŠKI FAKULTET OSIJEK</v>
      </c>
      <c r="M21" s="142">
        <v>51450</v>
      </c>
      <c r="N21" s="145" t="s">
        <v>1756</v>
      </c>
      <c r="O21" s="152" t="s">
        <v>272</v>
      </c>
      <c r="P21" s="145" t="s">
        <v>1757</v>
      </c>
      <c r="Q21" s="145" t="s">
        <v>274</v>
      </c>
      <c r="R21" s="143">
        <v>5302099</v>
      </c>
      <c r="S21" s="139" t="s">
        <v>1758</v>
      </c>
      <c r="T21" s="140" t="s">
        <v>45</v>
      </c>
      <c r="U21" s="141" t="s">
        <v>44</v>
      </c>
      <c r="V21" s="84"/>
      <c r="W21" s="84"/>
      <c r="X21" s="84"/>
      <c r="Y21" s="84"/>
      <c r="Z21" s="84"/>
    </row>
    <row r="22" spans="1:26" ht="15">
      <c r="A22" s="92"/>
      <c r="B22" s="92" t="s">
        <v>10</v>
      </c>
      <c r="C22" s="93">
        <f>+C16-C19</f>
        <v>-509598.06961682159</v>
      </c>
      <c r="D22" s="93">
        <f>+D16-D19</f>
        <v>925470.13443484844</v>
      </c>
      <c r="E22" s="93">
        <f>+E16-E19</f>
        <v>415872.06481802557</v>
      </c>
      <c r="F22" s="84"/>
      <c r="G22" s="84"/>
      <c r="H22" s="98"/>
      <c r="I22" s="84"/>
      <c r="J22" s="84"/>
      <c r="K22" s="144">
        <f t="shared" si="0"/>
        <v>16</v>
      </c>
      <c r="L22" s="142" t="str">
        <f t="shared" si="1"/>
        <v>22849 SVEUČILIŠTE J. J. STROSSMAYERA U OSIJEKU - MEDICINSKI FAKULTET</v>
      </c>
      <c r="M22" s="142">
        <v>22849</v>
      </c>
      <c r="N22" s="145" t="s">
        <v>1759</v>
      </c>
      <c r="O22" s="152" t="s">
        <v>272</v>
      </c>
      <c r="P22" s="145" t="s">
        <v>285</v>
      </c>
      <c r="Q22" s="145" t="s">
        <v>274</v>
      </c>
      <c r="R22" s="143">
        <v>1388142</v>
      </c>
      <c r="S22" s="139" t="s">
        <v>286</v>
      </c>
      <c r="T22" s="140" t="s">
        <v>45</v>
      </c>
      <c r="U22" s="141" t="s">
        <v>44</v>
      </c>
      <c r="V22" s="84"/>
      <c r="W22" s="84"/>
      <c r="X22" s="84"/>
      <c r="Y22" s="84"/>
      <c r="Z22" s="84"/>
    </row>
    <row r="23" spans="1:26" ht="11.25" customHeight="1">
      <c r="B23" s="385"/>
      <c r="C23" s="386"/>
      <c r="D23" s="386"/>
      <c r="E23" s="386"/>
      <c r="F23" s="84"/>
      <c r="G23" s="84"/>
      <c r="H23" s="104"/>
      <c r="I23" s="84"/>
      <c r="J23" s="84"/>
      <c r="K23" s="144">
        <f t="shared" si="0"/>
        <v>17</v>
      </c>
      <c r="L23" s="142" t="str">
        <f t="shared" si="1"/>
        <v>2292 SVEUČILIŠTE J. J. STROSSMAYERA U OSIJEKU - PRAVNI FAKULTET</v>
      </c>
      <c r="M23" s="142">
        <v>2292</v>
      </c>
      <c r="N23" s="145" t="s">
        <v>1760</v>
      </c>
      <c r="O23" s="152" t="s">
        <v>272</v>
      </c>
      <c r="P23" s="145" t="s">
        <v>289</v>
      </c>
      <c r="Q23" s="145" t="s">
        <v>274</v>
      </c>
      <c r="R23" s="143">
        <v>3014193</v>
      </c>
      <c r="S23" s="139" t="s">
        <v>290</v>
      </c>
      <c r="T23" s="140" t="s">
        <v>45</v>
      </c>
      <c r="U23" s="141" t="s">
        <v>44</v>
      </c>
      <c r="V23" s="84"/>
      <c r="W23" s="84"/>
      <c r="X23" s="84"/>
      <c r="Y23" s="84"/>
      <c r="Z23" s="84"/>
    </row>
    <row r="24" spans="1:26" ht="15">
      <c r="A24" s="217"/>
      <c r="B24" s="387" t="s">
        <v>5071</v>
      </c>
      <c r="C24" s="386"/>
      <c r="D24" s="386"/>
      <c r="E24" s="386"/>
      <c r="F24" s="84"/>
      <c r="G24" s="84"/>
      <c r="H24" s="104"/>
      <c r="I24" s="84"/>
      <c r="J24" s="84"/>
      <c r="K24" s="144">
        <f t="shared" si="0"/>
        <v>18</v>
      </c>
      <c r="L24" s="142" t="str">
        <f t="shared" si="1"/>
        <v>2276 SVEUČILIŠTE J. J. STROSSMAYERA U OSIJEKU - PREHRAMBENO TEHNOLOŠKI FAKULTET</v>
      </c>
      <c r="M24" s="142">
        <v>2276</v>
      </c>
      <c r="N24" s="145" t="s">
        <v>1761</v>
      </c>
      <c r="O24" s="152" t="s">
        <v>272</v>
      </c>
      <c r="P24" s="145" t="s">
        <v>1762</v>
      </c>
      <c r="Q24" s="145" t="s">
        <v>274</v>
      </c>
      <c r="R24" s="143">
        <v>3058204</v>
      </c>
      <c r="S24" s="139" t="s">
        <v>291</v>
      </c>
      <c r="T24" s="140" t="s">
        <v>45</v>
      </c>
      <c r="U24" s="141" t="s">
        <v>44</v>
      </c>
      <c r="V24" s="84"/>
      <c r="W24" s="84"/>
      <c r="X24" s="84"/>
      <c r="Y24" s="84"/>
      <c r="Z24" s="84"/>
    </row>
    <row r="25" spans="1:26" ht="15">
      <c r="A25" s="90"/>
      <c r="B25" s="90"/>
      <c r="C25" s="84"/>
      <c r="D25" s="84"/>
      <c r="E25" s="291" t="s">
        <v>5246</v>
      </c>
      <c r="F25" s="84"/>
      <c r="G25" s="84"/>
      <c r="H25" s="84"/>
      <c r="I25" s="84"/>
      <c r="J25" s="84"/>
      <c r="K25" s="144">
        <f t="shared" si="0"/>
        <v>19</v>
      </c>
      <c r="L25" s="142" t="str">
        <f t="shared" si="1"/>
        <v>52565 SVEUČILIŠTE J. J. STROSSMAYERA U OSIJEKU - FAKULTET TURIZMA I RURALNOG RAZVOJA U POŽEGI</v>
      </c>
      <c r="M25" s="301">
        <v>52565</v>
      </c>
      <c r="N25" s="302" t="s">
        <v>5176</v>
      </c>
      <c r="O25" s="303" t="s">
        <v>272</v>
      </c>
      <c r="P25" s="302" t="s">
        <v>512</v>
      </c>
      <c r="Q25" s="145" t="s">
        <v>274</v>
      </c>
      <c r="R25" s="304">
        <v>5619696</v>
      </c>
      <c r="S25" s="305" t="s">
        <v>5177</v>
      </c>
      <c r="T25" s="140" t="s">
        <v>45</v>
      </c>
      <c r="U25" s="141" t="s">
        <v>44</v>
      </c>
      <c r="V25" s="84"/>
      <c r="W25" s="84"/>
      <c r="X25" s="84"/>
      <c r="Y25" s="84"/>
      <c r="Z25" s="84"/>
    </row>
    <row r="26" spans="1:26" ht="30.75" customHeight="1">
      <c r="A26" s="91"/>
      <c r="B26" s="91"/>
      <c r="C26" s="322" t="s">
        <v>5260</v>
      </c>
      <c r="D26" s="322" t="s">
        <v>5259</v>
      </c>
      <c r="E26" s="322" t="s">
        <v>5261</v>
      </c>
      <c r="F26" s="84"/>
      <c r="G26" s="84"/>
      <c r="H26" s="106"/>
      <c r="I26" s="84"/>
      <c r="J26" s="84"/>
      <c r="K26" s="144">
        <f t="shared" si="0"/>
        <v>20</v>
      </c>
      <c r="L26" s="142" t="str">
        <f t="shared" si="1"/>
        <v>42024 SVEUČILIŠTE JURJA DOBRILE U PULI</v>
      </c>
      <c r="M26" s="142">
        <v>42024</v>
      </c>
      <c r="N26" s="145" t="s">
        <v>300</v>
      </c>
      <c r="O26" s="146" t="s">
        <v>1771</v>
      </c>
      <c r="P26" s="145" t="s">
        <v>301</v>
      </c>
      <c r="Q26" s="145" t="s">
        <v>302</v>
      </c>
      <c r="R26" s="143">
        <v>2161753</v>
      </c>
      <c r="S26" s="139" t="s">
        <v>303</v>
      </c>
      <c r="T26" s="140" t="s">
        <v>45</v>
      </c>
      <c r="U26" s="141" t="s">
        <v>44</v>
      </c>
      <c r="V26" s="84"/>
      <c r="W26" s="84"/>
      <c r="X26" s="84"/>
      <c r="Y26" s="84"/>
      <c r="Z26" s="84"/>
    </row>
    <row r="27" spans="1:26" ht="30">
      <c r="A27" s="95">
        <v>8</v>
      </c>
      <c r="B27" s="92" t="s">
        <v>13</v>
      </c>
      <c r="C27" s="96">
        <f>+'B. RAČUN FIN'!C6</f>
        <v>150000</v>
      </c>
      <c r="D27" s="96">
        <f>+'B. RAČUN FIN'!C17</f>
        <v>0</v>
      </c>
      <c r="E27" s="96">
        <f>+'B. RAČUN FIN'!C28</f>
        <v>150000</v>
      </c>
      <c r="F27" s="84"/>
      <c r="G27" s="84"/>
      <c r="H27" s="84"/>
      <c r="I27" s="84"/>
      <c r="J27" s="84"/>
      <c r="K27" s="144">
        <f t="shared" si="0"/>
        <v>21</v>
      </c>
      <c r="L27" s="142" t="str">
        <f t="shared" si="1"/>
        <v>48267 SVEUČILIŠTE SJEVER</v>
      </c>
      <c r="M27" s="142">
        <v>48267</v>
      </c>
      <c r="N27" s="145" t="s">
        <v>304</v>
      </c>
      <c r="O27" s="146" t="s">
        <v>304</v>
      </c>
      <c r="P27" s="145" t="s">
        <v>1707</v>
      </c>
      <c r="Q27" s="145" t="s">
        <v>305</v>
      </c>
      <c r="R27" s="143">
        <v>2752298</v>
      </c>
      <c r="S27" s="139" t="s">
        <v>306</v>
      </c>
      <c r="T27" s="140" t="s">
        <v>45</v>
      </c>
      <c r="U27" s="141" t="s">
        <v>44</v>
      </c>
      <c r="V27" s="84"/>
      <c r="W27" s="84"/>
      <c r="X27" s="84"/>
      <c r="Y27" s="84"/>
      <c r="Z27" s="84"/>
    </row>
    <row r="28" spans="1:26" ht="30">
      <c r="A28" s="95">
        <v>5</v>
      </c>
      <c r="B28" s="92" t="s">
        <v>14</v>
      </c>
      <c r="C28" s="96">
        <f>+'B. RAČUN FIN'!C11</f>
        <v>0</v>
      </c>
      <c r="D28" s="96">
        <f>+'B. RAČUN FIN'!C22</f>
        <v>0</v>
      </c>
      <c r="E28" s="96">
        <f>+'B. RAČUN FIN'!C33</f>
        <v>0</v>
      </c>
      <c r="F28" s="107"/>
      <c r="G28" s="84"/>
      <c r="H28" s="84"/>
      <c r="I28" s="84"/>
      <c r="J28" s="84"/>
      <c r="K28" s="144">
        <f t="shared" si="0"/>
        <v>22</v>
      </c>
      <c r="L28" s="142" t="str">
        <f t="shared" si="1"/>
        <v>24141 SVEUČILIŠTE U DUBROVNIKU</v>
      </c>
      <c r="M28" s="142">
        <v>24141</v>
      </c>
      <c r="N28" s="145" t="s">
        <v>307</v>
      </c>
      <c r="O28" s="146" t="s">
        <v>307</v>
      </c>
      <c r="P28" s="145" t="s">
        <v>308</v>
      </c>
      <c r="Q28" s="145" t="s">
        <v>309</v>
      </c>
      <c r="R28" s="143">
        <v>1787578</v>
      </c>
      <c r="S28" s="139" t="s">
        <v>310</v>
      </c>
      <c r="T28" s="140" t="s">
        <v>45</v>
      </c>
      <c r="U28" s="141" t="s">
        <v>44</v>
      </c>
      <c r="V28" s="84"/>
      <c r="W28" s="84"/>
      <c r="X28" s="84"/>
      <c r="Y28" s="84"/>
      <c r="Z28" s="84"/>
    </row>
    <row r="29" spans="1:26" ht="30">
      <c r="A29" s="103" t="s">
        <v>11</v>
      </c>
      <c r="B29" s="278" t="s">
        <v>5069</v>
      </c>
      <c r="C29" s="350">
        <v>1493636</v>
      </c>
      <c r="D29" s="369"/>
      <c r="E29" s="101">
        <v>1134038</v>
      </c>
      <c r="F29" s="84"/>
      <c r="G29" s="84"/>
      <c r="H29" s="84"/>
      <c r="I29" s="84"/>
      <c r="J29" s="84"/>
      <c r="K29" s="144">
        <f t="shared" si="0"/>
        <v>23</v>
      </c>
      <c r="L29" s="142" t="str">
        <f t="shared" si="1"/>
        <v>2444 SVEUČILIŠTE U RIJECI</v>
      </c>
      <c r="M29" s="142">
        <v>2444</v>
      </c>
      <c r="N29" s="145" t="s">
        <v>314</v>
      </c>
      <c r="O29" s="89" t="s">
        <v>314</v>
      </c>
      <c r="P29" s="145" t="s">
        <v>315</v>
      </c>
      <c r="Q29" s="145" t="s">
        <v>316</v>
      </c>
      <c r="R29" s="143">
        <v>3337413</v>
      </c>
      <c r="S29" s="139" t="s">
        <v>317</v>
      </c>
      <c r="T29" s="140" t="s">
        <v>45</v>
      </c>
      <c r="U29" s="141" t="s">
        <v>44</v>
      </c>
      <c r="V29" s="84"/>
      <c r="W29" s="84"/>
      <c r="X29" s="84"/>
      <c r="Y29" s="84"/>
      <c r="Z29" s="84"/>
    </row>
    <row r="30" spans="1:26" ht="30">
      <c r="A30" s="103" t="s">
        <v>12</v>
      </c>
      <c r="B30" s="278" t="s">
        <v>5070</v>
      </c>
      <c r="C30" s="351">
        <v>-1134038</v>
      </c>
      <c r="D30" s="96"/>
      <c r="E30" s="105">
        <v>-1699911</v>
      </c>
      <c r="F30" s="84"/>
      <c r="G30" s="84"/>
      <c r="H30" s="84"/>
      <c r="I30" s="84"/>
      <c r="J30" s="84"/>
      <c r="K30" s="144">
        <f t="shared" si="0"/>
        <v>24</v>
      </c>
      <c r="L30" s="142" t="str">
        <f t="shared" si="1"/>
        <v>38454 SVEUČILIŠTE U RIJECI - AKADEMIJA PRIMJENJENIH UMJETNOSTI</v>
      </c>
      <c r="M30" s="142">
        <v>38454</v>
      </c>
      <c r="N30" s="145" t="s">
        <v>318</v>
      </c>
      <c r="O30" s="89" t="s">
        <v>314</v>
      </c>
      <c r="P30" s="145" t="s">
        <v>319</v>
      </c>
      <c r="Q30" s="145" t="s">
        <v>316</v>
      </c>
      <c r="R30" s="143">
        <v>1954253</v>
      </c>
      <c r="S30" s="139" t="s">
        <v>320</v>
      </c>
      <c r="T30" s="140" t="s">
        <v>45</v>
      </c>
      <c r="U30" s="141" t="s">
        <v>44</v>
      </c>
      <c r="V30" s="84"/>
      <c r="W30" s="84"/>
      <c r="X30" s="84"/>
      <c r="Y30" s="84"/>
      <c r="Z30" s="84"/>
    </row>
    <row r="31" spans="1:26" ht="15">
      <c r="A31" s="92"/>
      <c r="B31" s="92" t="s">
        <v>15</v>
      </c>
      <c r="C31" s="100">
        <f>+C27-C28+C29+C30</f>
        <v>509598</v>
      </c>
      <c r="D31" s="100">
        <f t="shared" ref="D31:E31" si="2">+D27-D28+D29+D30</f>
        <v>0</v>
      </c>
      <c r="E31" s="100">
        <f t="shared" si="2"/>
        <v>-415873</v>
      </c>
      <c r="F31" s="84"/>
      <c r="G31" s="110"/>
      <c r="H31" s="84"/>
      <c r="I31" s="84"/>
      <c r="J31" s="84"/>
      <c r="K31" s="144">
        <f t="shared" si="0"/>
        <v>25</v>
      </c>
      <c r="L31" s="142" t="str">
        <f t="shared" si="1"/>
        <v>2186 SVEUČILIŠTE U RIJECI - EKONOMSKI FAKULTET</v>
      </c>
      <c r="M31" s="142">
        <v>2186</v>
      </c>
      <c r="N31" s="145" t="s">
        <v>321</v>
      </c>
      <c r="O31" s="89" t="s">
        <v>314</v>
      </c>
      <c r="P31" s="145" t="s">
        <v>322</v>
      </c>
      <c r="Q31" s="145" t="s">
        <v>316</v>
      </c>
      <c r="R31" s="143">
        <v>3328627</v>
      </c>
      <c r="S31" s="139" t="s">
        <v>323</v>
      </c>
      <c r="T31" s="140" t="s">
        <v>45</v>
      </c>
      <c r="U31" s="141" t="s">
        <v>44</v>
      </c>
      <c r="V31" s="84"/>
      <c r="W31" s="84"/>
      <c r="X31" s="84"/>
      <c r="Y31" s="84"/>
      <c r="Z31" s="84"/>
    </row>
    <row r="32" spans="1:26" ht="18.75" customHeight="1">
      <c r="B32" s="385"/>
      <c r="C32" s="386"/>
      <c r="D32" s="386"/>
      <c r="E32" s="386"/>
      <c r="F32" s="84"/>
      <c r="G32" s="84"/>
      <c r="H32" s="84"/>
      <c r="I32" s="84"/>
      <c r="J32" s="84"/>
      <c r="K32" s="144">
        <f t="shared" si="0"/>
        <v>26</v>
      </c>
      <c r="L32" s="142" t="str">
        <f t="shared" si="1"/>
        <v>2194 SVEUČILIŠTE U RIJECI - FAKULTET ZA MENADŽMENT U TURIZMU I UGOSTITELJSTVU</v>
      </c>
      <c r="M32" s="142">
        <v>2194</v>
      </c>
      <c r="N32" s="145" t="s">
        <v>324</v>
      </c>
      <c r="O32" s="89" t="s">
        <v>314</v>
      </c>
      <c r="P32" s="145" t="s">
        <v>325</v>
      </c>
      <c r="Q32" s="145" t="s">
        <v>326</v>
      </c>
      <c r="R32" s="143">
        <v>3091732</v>
      </c>
      <c r="S32" s="139" t="s">
        <v>327</v>
      </c>
      <c r="T32" s="140" t="s">
        <v>45</v>
      </c>
      <c r="U32" s="141" t="s">
        <v>44</v>
      </c>
      <c r="V32" s="84"/>
      <c r="W32" s="84"/>
      <c r="X32" s="84"/>
      <c r="Y32" s="84"/>
      <c r="Z32" s="84"/>
    </row>
    <row r="33" spans="1:26" ht="30">
      <c r="A33" s="108"/>
      <c r="B33" s="108" t="s">
        <v>5072</v>
      </c>
      <c r="C33" s="109">
        <f>+C22+C31</f>
        <v>-6.9616821594536304E-2</v>
      </c>
      <c r="D33" s="109">
        <f>+D22+D31</f>
        <v>925470.13443484844</v>
      </c>
      <c r="E33" s="109">
        <f>+E22+E31</f>
        <v>-0.93518197443336248</v>
      </c>
      <c r="F33" s="111"/>
      <c r="G33" s="112"/>
      <c r="H33" s="112"/>
      <c r="I33" s="112"/>
      <c r="J33" s="112"/>
      <c r="K33" s="144">
        <f t="shared" si="0"/>
        <v>27</v>
      </c>
      <c r="L33" s="142" t="str">
        <f t="shared" si="1"/>
        <v>48023 SVEUČILIŠTE U RIJECI - FAKULTET ZDRAVSTVENIH STUDIJA U RIJECI</v>
      </c>
      <c r="M33" s="142">
        <v>48023</v>
      </c>
      <c r="N33" s="145" t="s">
        <v>351</v>
      </c>
      <c r="O33" s="89" t="s">
        <v>314</v>
      </c>
      <c r="P33" s="145" t="s">
        <v>352</v>
      </c>
      <c r="Q33" s="145" t="s">
        <v>316</v>
      </c>
      <c r="R33" s="143" t="s">
        <v>353</v>
      </c>
      <c r="S33" s="139" t="s">
        <v>354</v>
      </c>
      <c r="T33" s="140" t="s">
        <v>45</v>
      </c>
      <c r="U33" s="141" t="s">
        <v>44</v>
      </c>
      <c r="V33" s="112"/>
      <c r="W33" s="112"/>
      <c r="X33" s="112"/>
      <c r="Y33" s="112"/>
      <c r="Z33" s="112"/>
    </row>
    <row r="34" spans="1:26" ht="15">
      <c r="A34" s="90"/>
      <c r="B34" s="90"/>
      <c r="C34" s="84"/>
      <c r="D34" s="84"/>
      <c r="E34" s="84"/>
      <c r="F34" s="84"/>
      <c r="G34" s="84"/>
      <c r="H34" s="84"/>
      <c r="I34" s="84"/>
      <c r="J34" s="84"/>
      <c r="K34" s="144">
        <f t="shared" si="0"/>
        <v>28</v>
      </c>
      <c r="L34" s="142" t="str">
        <f t="shared" si="1"/>
        <v>22857 SVEUČILIŠTE U RIJECI - FILOZOFSKI FAKULTET</v>
      </c>
      <c r="M34" s="142">
        <v>22857</v>
      </c>
      <c r="N34" s="145" t="s">
        <v>328</v>
      </c>
      <c r="O34" s="89" t="s">
        <v>314</v>
      </c>
      <c r="P34" s="145" t="s">
        <v>329</v>
      </c>
      <c r="Q34" s="145" t="s">
        <v>316</v>
      </c>
      <c r="R34" s="143">
        <v>3368491</v>
      </c>
      <c r="S34" s="139" t="s">
        <v>330</v>
      </c>
      <c r="T34" s="140" t="s">
        <v>45</v>
      </c>
      <c r="U34" s="141" t="s">
        <v>44</v>
      </c>
      <c r="V34" s="84"/>
      <c r="W34" s="84"/>
      <c r="X34" s="84"/>
      <c r="Y34" s="84"/>
      <c r="Z34" s="84"/>
    </row>
    <row r="35" spans="1:26" ht="1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144">
        <f t="shared" si="0"/>
        <v>29</v>
      </c>
      <c r="L35" s="142" t="str">
        <f t="shared" si="1"/>
        <v>2160 SVEUČILIŠTE U RIJECI - GRAĐEVINSKI FAKULTET</v>
      </c>
      <c r="M35" s="142">
        <v>2160</v>
      </c>
      <c r="N35" s="145" t="s">
        <v>1708</v>
      </c>
      <c r="O35" s="89" t="s">
        <v>314</v>
      </c>
      <c r="P35" s="145" t="s">
        <v>331</v>
      </c>
      <c r="Q35" s="145" t="s">
        <v>316</v>
      </c>
      <c r="R35" s="143">
        <v>3395855</v>
      </c>
      <c r="S35" s="139" t="s">
        <v>332</v>
      </c>
      <c r="T35" s="140" t="s">
        <v>45</v>
      </c>
      <c r="U35" s="141" t="s">
        <v>44</v>
      </c>
      <c r="V35" s="84"/>
      <c r="W35" s="84"/>
      <c r="X35" s="84"/>
      <c r="Y35" s="84"/>
      <c r="Z35" s="84"/>
    </row>
    <row r="36" spans="1:26" ht="1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144">
        <f t="shared" si="0"/>
        <v>30</v>
      </c>
      <c r="L36" s="142" t="str">
        <f t="shared" si="1"/>
        <v>2225 SVEUČILIŠTE U RIJECI - MEDICINSKI FAKULTET</v>
      </c>
      <c r="M36" s="142">
        <v>2225</v>
      </c>
      <c r="N36" s="145" t="s">
        <v>333</v>
      </c>
      <c r="O36" s="89" t="s">
        <v>314</v>
      </c>
      <c r="P36" s="145" t="s">
        <v>334</v>
      </c>
      <c r="Q36" s="145" t="s">
        <v>316</v>
      </c>
      <c r="R36" s="143">
        <v>3328554</v>
      </c>
      <c r="S36" s="139" t="s">
        <v>335</v>
      </c>
      <c r="T36" s="140" t="s">
        <v>45</v>
      </c>
      <c r="U36" s="141" t="s">
        <v>44</v>
      </c>
      <c r="V36" s="84"/>
      <c r="W36" s="84"/>
      <c r="X36" s="84"/>
      <c r="Y36" s="84"/>
      <c r="Z36" s="84"/>
    </row>
    <row r="37" spans="1:26" ht="1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144">
        <f t="shared" si="0"/>
        <v>31</v>
      </c>
      <c r="L37" s="142" t="str">
        <f t="shared" si="1"/>
        <v>22568 SVEUČILIŠTE U RIJECI - POMORSKI FAKULTET</v>
      </c>
      <c r="M37" s="142">
        <v>22568</v>
      </c>
      <c r="N37" s="145" t="s">
        <v>336</v>
      </c>
      <c r="O37" s="89" t="s">
        <v>314</v>
      </c>
      <c r="P37" s="145" t="s">
        <v>337</v>
      </c>
      <c r="Q37" s="145" t="s">
        <v>316</v>
      </c>
      <c r="R37" s="143">
        <v>1580485</v>
      </c>
      <c r="S37" s="139" t="s">
        <v>338</v>
      </c>
      <c r="T37" s="140" t="s">
        <v>45</v>
      </c>
      <c r="U37" s="141" t="s">
        <v>44</v>
      </c>
      <c r="V37" s="84"/>
      <c r="W37" s="84"/>
      <c r="X37" s="84"/>
      <c r="Y37" s="84"/>
      <c r="Z37" s="84"/>
    </row>
    <row r="38" spans="1:26" ht="1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144">
        <f t="shared" si="0"/>
        <v>32</v>
      </c>
      <c r="L38" s="142" t="str">
        <f t="shared" si="1"/>
        <v>2217 SVEUČILIŠTE U RIJECI - PRAVNI FAKULTET</v>
      </c>
      <c r="M38" s="142">
        <v>2217</v>
      </c>
      <c r="N38" s="145" t="s">
        <v>339</v>
      </c>
      <c r="O38" s="89" t="s">
        <v>314</v>
      </c>
      <c r="P38" s="145" t="s">
        <v>340</v>
      </c>
      <c r="Q38" s="145" t="s">
        <v>316</v>
      </c>
      <c r="R38" s="143">
        <v>3328562</v>
      </c>
      <c r="S38" s="139" t="s">
        <v>341</v>
      </c>
      <c r="T38" s="140" t="s">
        <v>45</v>
      </c>
      <c r="U38" s="141" t="s">
        <v>44</v>
      </c>
      <c r="V38" s="84"/>
      <c r="W38" s="84"/>
      <c r="X38" s="84"/>
      <c r="Y38" s="84"/>
      <c r="Z38" s="84"/>
    </row>
    <row r="39" spans="1:26" ht="1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144">
        <f t="shared" si="0"/>
        <v>33</v>
      </c>
      <c r="L39" s="142" t="str">
        <f t="shared" si="1"/>
        <v>2493 SVEUČILIŠTE U RIJECI - SVEUČILIŠNA KNJIŽNICA</v>
      </c>
      <c r="M39" s="142">
        <v>2493</v>
      </c>
      <c r="N39" s="145" t="s">
        <v>342</v>
      </c>
      <c r="O39" s="89" t="s">
        <v>314</v>
      </c>
      <c r="P39" s="145" t="s">
        <v>343</v>
      </c>
      <c r="Q39" s="145" t="s">
        <v>316</v>
      </c>
      <c r="R39" s="143">
        <v>3328686</v>
      </c>
      <c r="S39" s="139" t="s">
        <v>344</v>
      </c>
      <c r="T39" s="140" t="s">
        <v>45</v>
      </c>
      <c r="U39" s="141" t="s">
        <v>44</v>
      </c>
      <c r="V39" s="84"/>
      <c r="W39" s="84"/>
      <c r="X39" s="84"/>
      <c r="Y39" s="84"/>
      <c r="Z39" s="84"/>
    </row>
    <row r="40" spans="1:26" ht="1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144">
        <f t="shared" si="0"/>
        <v>34</v>
      </c>
      <c r="L40" s="142" t="str">
        <f t="shared" si="1"/>
        <v>2151 SVEUČILIŠTE U RIJECI - TEHNIČKI FAKULTET</v>
      </c>
      <c r="M40" s="142">
        <v>2151</v>
      </c>
      <c r="N40" s="145" t="s">
        <v>345</v>
      </c>
      <c r="O40" s="89" t="s">
        <v>314</v>
      </c>
      <c r="P40" s="145" t="s">
        <v>346</v>
      </c>
      <c r="Q40" s="145" t="s">
        <v>316</v>
      </c>
      <c r="R40" s="143">
        <v>3334317</v>
      </c>
      <c r="S40" s="139" t="s">
        <v>347</v>
      </c>
      <c r="T40" s="140" t="s">
        <v>45</v>
      </c>
      <c r="U40" s="141" t="s">
        <v>44</v>
      </c>
      <c r="V40" s="84"/>
      <c r="W40" s="84"/>
      <c r="X40" s="84"/>
      <c r="Y40" s="84"/>
      <c r="Z40" s="84"/>
    </row>
    <row r="41" spans="1:26" ht="1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144">
        <f t="shared" si="0"/>
        <v>35</v>
      </c>
      <c r="L41" s="142" t="str">
        <f t="shared" si="1"/>
        <v>40947 SVEUČILIŠTE U RIJECI - UČITELJSKI FAKULTET</v>
      </c>
      <c r="M41" s="142">
        <v>40947</v>
      </c>
      <c r="N41" s="145" t="s">
        <v>348</v>
      </c>
      <c r="O41" s="89" t="s">
        <v>314</v>
      </c>
      <c r="P41" s="145" t="s">
        <v>349</v>
      </c>
      <c r="Q41" s="145" t="s">
        <v>316</v>
      </c>
      <c r="R41" s="143">
        <v>2116073</v>
      </c>
      <c r="S41" s="139" t="s">
        <v>350</v>
      </c>
      <c r="T41" s="140" t="s">
        <v>45</v>
      </c>
      <c r="U41" s="141" t="s">
        <v>44</v>
      </c>
      <c r="V41" s="84"/>
      <c r="W41" s="84"/>
      <c r="X41" s="84"/>
      <c r="Y41" s="84"/>
      <c r="Z41" s="84"/>
    </row>
    <row r="42" spans="1:26" ht="1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144">
        <f t="shared" si="0"/>
        <v>36</v>
      </c>
      <c r="L42" s="142" t="str">
        <f t="shared" si="1"/>
        <v>51360 SVEUČILIŠTE U SLAVONSKOM BRODU</v>
      </c>
      <c r="M42" s="142">
        <v>51360</v>
      </c>
      <c r="N42" s="145" t="s">
        <v>1706</v>
      </c>
      <c r="O42" s="152" t="s">
        <v>1706</v>
      </c>
      <c r="P42" s="145" t="s">
        <v>1763</v>
      </c>
      <c r="Q42" s="145" t="s">
        <v>1764</v>
      </c>
      <c r="R42" s="143">
        <v>5290538</v>
      </c>
      <c r="S42" s="139" t="s">
        <v>1765</v>
      </c>
      <c r="T42" s="140" t="s">
        <v>45</v>
      </c>
      <c r="U42" s="141" t="s">
        <v>44</v>
      </c>
      <c r="V42" s="84"/>
      <c r="W42" s="84"/>
      <c r="X42" s="84"/>
      <c r="Y42" s="84"/>
      <c r="Z42" s="84"/>
    </row>
    <row r="43" spans="1:26" ht="1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144">
        <f t="shared" si="0"/>
        <v>37</v>
      </c>
      <c r="L43" s="142" t="str">
        <f t="shared" si="1"/>
        <v>2469 SVEUČILIŠTE U SPLITU</v>
      </c>
      <c r="M43" s="142">
        <v>2469</v>
      </c>
      <c r="N43" s="145" t="s">
        <v>355</v>
      </c>
      <c r="O43" s="146" t="s">
        <v>355</v>
      </c>
      <c r="P43" s="145" t="s">
        <v>365</v>
      </c>
      <c r="Q43" s="145" t="s">
        <v>356</v>
      </c>
      <c r="R43" s="143">
        <v>3129306</v>
      </c>
      <c r="S43" s="139" t="s">
        <v>357</v>
      </c>
      <c r="T43" s="140" t="s">
        <v>45</v>
      </c>
      <c r="U43" s="141" t="s">
        <v>44</v>
      </c>
      <c r="V43" s="84"/>
      <c r="W43" s="84"/>
      <c r="X43" s="84"/>
      <c r="Y43" s="84"/>
      <c r="Z43" s="84"/>
    </row>
    <row r="44" spans="1:26" ht="1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144">
        <f t="shared" si="0"/>
        <v>38</v>
      </c>
      <c r="L44" s="142" t="str">
        <f t="shared" si="1"/>
        <v>2372 SVEUČILIŠTE U SPLITU - EKONOMSKI FAKULTET</v>
      </c>
      <c r="M44" s="142">
        <v>2372</v>
      </c>
      <c r="N44" s="145" t="s">
        <v>358</v>
      </c>
      <c r="O44" s="146" t="s">
        <v>355</v>
      </c>
      <c r="P44" s="145" t="s">
        <v>359</v>
      </c>
      <c r="Q44" s="145" t="s">
        <v>356</v>
      </c>
      <c r="R44" s="143">
        <v>3119076</v>
      </c>
      <c r="S44" s="139" t="s">
        <v>360</v>
      </c>
      <c r="T44" s="140" t="s">
        <v>45</v>
      </c>
      <c r="U44" s="141" t="s">
        <v>44</v>
      </c>
      <c r="V44" s="84"/>
      <c r="W44" s="84"/>
      <c r="X44" s="84"/>
      <c r="Y44" s="84"/>
      <c r="Z44" s="84"/>
    </row>
    <row r="45" spans="1:26" ht="1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144">
        <f t="shared" si="0"/>
        <v>39</v>
      </c>
      <c r="L45" s="142" t="str">
        <f t="shared" si="1"/>
        <v>2330 SVEUČILIŠTE U SPLITU - FAKULTET ELEKTROTEHNIKE, STROJARSTVA I BRODOGRADNJE</v>
      </c>
      <c r="M45" s="142">
        <v>2330</v>
      </c>
      <c r="N45" s="145" t="s">
        <v>361</v>
      </c>
      <c r="O45" s="146" t="s">
        <v>355</v>
      </c>
      <c r="P45" s="145" t="s">
        <v>362</v>
      </c>
      <c r="Q45" s="145" t="s">
        <v>356</v>
      </c>
      <c r="R45" s="143">
        <v>3118339</v>
      </c>
      <c r="S45" s="139" t="s">
        <v>363</v>
      </c>
      <c r="T45" s="140" t="s">
        <v>45</v>
      </c>
      <c r="U45" s="141" t="s">
        <v>44</v>
      </c>
      <c r="V45" s="84"/>
      <c r="W45" s="84"/>
      <c r="X45" s="84"/>
      <c r="Y45" s="84"/>
      <c r="Z45" s="84"/>
    </row>
    <row r="46" spans="1:26" ht="1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144">
        <f t="shared" si="0"/>
        <v>40</v>
      </c>
      <c r="L46" s="142" t="str">
        <f t="shared" si="1"/>
        <v>2348 SVEUČILIŠTE U SPLITU - FAKULTET GRAĐEVINARSTVA, ARHITEKTURE I GEODEZIJE</v>
      </c>
      <c r="M46" s="142">
        <v>2348</v>
      </c>
      <c r="N46" s="145" t="s">
        <v>367</v>
      </c>
      <c r="O46" s="146" t="s">
        <v>355</v>
      </c>
      <c r="P46" s="145" t="s">
        <v>368</v>
      </c>
      <c r="Q46" s="145" t="s">
        <v>356</v>
      </c>
      <c r="R46" s="143">
        <v>3149463</v>
      </c>
      <c r="S46" s="139" t="s">
        <v>369</v>
      </c>
      <c r="T46" s="140" t="s">
        <v>45</v>
      </c>
      <c r="U46" s="141" t="s">
        <v>44</v>
      </c>
      <c r="V46" s="84"/>
      <c r="W46" s="84"/>
      <c r="X46" s="84"/>
      <c r="Y46" s="84"/>
      <c r="Z46" s="84"/>
    </row>
    <row r="47" spans="1:26" ht="1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144">
        <f t="shared" si="0"/>
        <v>41</v>
      </c>
      <c r="L47" s="142" t="str">
        <f t="shared" si="1"/>
        <v>22435 SVEUČILIŠTE U SPLITU - FILOZOFSKI FAKULTET</v>
      </c>
      <c r="M47" s="142">
        <v>22435</v>
      </c>
      <c r="N47" s="145" t="s">
        <v>364</v>
      </c>
      <c r="O47" s="146" t="s">
        <v>355</v>
      </c>
      <c r="P47" s="145" t="s">
        <v>365</v>
      </c>
      <c r="Q47" s="145" t="s">
        <v>356</v>
      </c>
      <c r="R47" s="143">
        <v>1413236</v>
      </c>
      <c r="S47" s="139" t="s">
        <v>366</v>
      </c>
      <c r="T47" s="140" t="s">
        <v>45</v>
      </c>
      <c r="U47" s="141" t="s">
        <v>44</v>
      </c>
      <c r="V47" s="84"/>
      <c r="W47" s="84"/>
      <c r="X47" s="84"/>
      <c r="Y47" s="84"/>
      <c r="Z47" s="84"/>
    </row>
    <row r="48" spans="1:26" ht="1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144">
        <f t="shared" si="0"/>
        <v>42</v>
      </c>
      <c r="L48" s="142" t="str">
        <f t="shared" si="1"/>
        <v>23368 SVEUČILIŠTE U SPLITU - KATOLIČKI BOGOSLOVNI FAKULTET</v>
      </c>
      <c r="M48" s="142">
        <v>23368</v>
      </c>
      <c r="N48" s="145" t="s">
        <v>375</v>
      </c>
      <c r="O48" s="146" t="s">
        <v>355</v>
      </c>
      <c r="P48" s="145" t="s">
        <v>376</v>
      </c>
      <c r="Q48" s="145" t="s">
        <v>356</v>
      </c>
      <c r="R48" s="143">
        <v>1465643</v>
      </c>
      <c r="S48" s="139">
        <v>36149548625</v>
      </c>
      <c r="T48" s="140" t="s">
        <v>45</v>
      </c>
      <c r="U48" s="141" t="s">
        <v>44</v>
      </c>
      <c r="V48" s="84"/>
      <c r="W48" s="84"/>
      <c r="X48" s="84"/>
      <c r="Y48" s="84"/>
      <c r="Z48" s="84"/>
    </row>
    <row r="49" spans="1:26" ht="15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144">
        <f t="shared" si="0"/>
        <v>43</v>
      </c>
      <c r="L49" s="142" t="str">
        <f t="shared" si="1"/>
        <v>2356 SVEUČILIŠTE U SPLITU - KEMIJSKO-TEHNOLOŠKI FAKULTET</v>
      </c>
      <c r="M49" s="142">
        <v>2356</v>
      </c>
      <c r="N49" s="145" t="s">
        <v>370</v>
      </c>
      <c r="O49" s="146" t="s">
        <v>355</v>
      </c>
      <c r="P49" s="145" t="s">
        <v>1709</v>
      </c>
      <c r="Q49" s="145" t="s">
        <v>356</v>
      </c>
      <c r="R49" s="143">
        <v>3119068</v>
      </c>
      <c r="S49" s="139" t="s">
        <v>371</v>
      </c>
      <c r="T49" s="140" t="s">
        <v>45</v>
      </c>
      <c r="U49" s="141" t="s">
        <v>44</v>
      </c>
      <c r="V49" s="84"/>
      <c r="W49" s="84"/>
      <c r="X49" s="84"/>
      <c r="Y49" s="84"/>
      <c r="Z49" s="84"/>
    </row>
    <row r="50" spans="1:26" ht="15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144">
        <f t="shared" si="0"/>
        <v>44</v>
      </c>
      <c r="L50" s="142" t="str">
        <f t="shared" si="1"/>
        <v>43773 SVEUČILIŠTE U SPLITU - KINEZIOLOŠKI FAKULTET</v>
      </c>
      <c r="M50" s="142">
        <v>43773</v>
      </c>
      <c r="N50" s="145" t="s">
        <v>372</v>
      </c>
      <c r="O50" s="146" t="s">
        <v>355</v>
      </c>
      <c r="P50" s="145" t="s">
        <v>373</v>
      </c>
      <c r="Q50" s="145" t="s">
        <v>356</v>
      </c>
      <c r="R50" s="143">
        <v>2393255</v>
      </c>
      <c r="S50" s="139" t="s">
        <v>374</v>
      </c>
      <c r="T50" s="140" t="s">
        <v>45</v>
      </c>
      <c r="U50" s="141" t="s">
        <v>44</v>
      </c>
      <c r="V50" s="84"/>
      <c r="W50" s="84"/>
      <c r="X50" s="84"/>
      <c r="Y50" s="84"/>
      <c r="Z50" s="84"/>
    </row>
    <row r="51" spans="1:26" ht="1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144">
        <f t="shared" si="0"/>
        <v>45</v>
      </c>
      <c r="L51" s="142" t="str">
        <f t="shared" si="1"/>
        <v>22451 SVEUČILIŠTE U SPLITU - MEDICINSKI FAKULTET</v>
      </c>
      <c r="M51" s="142">
        <v>22451</v>
      </c>
      <c r="N51" s="145" t="s">
        <v>377</v>
      </c>
      <c r="O51" s="146" t="s">
        <v>355</v>
      </c>
      <c r="P51" s="145" t="s">
        <v>378</v>
      </c>
      <c r="Q51" s="145" t="s">
        <v>356</v>
      </c>
      <c r="R51" s="143">
        <v>1315366</v>
      </c>
      <c r="S51" s="139" t="s">
        <v>379</v>
      </c>
      <c r="T51" s="140" t="s">
        <v>45</v>
      </c>
      <c r="U51" s="141" t="s">
        <v>44</v>
      </c>
      <c r="V51" s="84"/>
      <c r="W51" s="84"/>
      <c r="X51" s="84"/>
      <c r="Y51" s="84"/>
      <c r="Z51" s="84"/>
    </row>
    <row r="52" spans="1:26" ht="1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144">
        <f t="shared" si="0"/>
        <v>46</v>
      </c>
      <c r="L52" s="142" t="str">
        <f t="shared" si="1"/>
        <v>22460 SVEUČILIŠTE U SPLITU - POMORSKI FAKULTET</v>
      </c>
      <c r="M52" s="142">
        <v>22460</v>
      </c>
      <c r="N52" s="145" t="s">
        <v>380</v>
      </c>
      <c r="O52" s="146" t="s">
        <v>355</v>
      </c>
      <c r="P52" s="145" t="s">
        <v>1710</v>
      </c>
      <c r="Q52" s="145" t="s">
        <v>356</v>
      </c>
      <c r="R52" s="143">
        <v>1406043</v>
      </c>
      <c r="S52" s="139" t="s">
        <v>381</v>
      </c>
      <c r="T52" s="140" t="s">
        <v>45</v>
      </c>
      <c r="U52" s="141" t="s">
        <v>44</v>
      </c>
      <c r="V52" s="84"/>
      <c r="W52" s="84"/>
      <c r="X52" s="84"/>
      <c r="Y52" s="84"/>
      <c r="Z52" s="84"/>
    </row>
    <row r="53" spans="1:26" ht="1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144">
        <f t="shared" si="0"/>
        <v>47</v>
      </c>
      <c r="L53" s="142" t="str">
        <f t="shared" si="1"/>
        <v>2397 SVEUČILIŠTE U SPLITU - PRAVNI FAKULTET</v>
      </c>
      <c r="M53" s="142">
        <v>2397</v>
      </c>
      <c r="N53" s="145" t="s">
        <v>382</v>
      </c>
      <c r="O53" s="146" t="s">
        <v>355</v>
      </c>
      <c r="P53" s="145" t="s">
        <v>383</v>
      </c>
      <c r="Q53" s="145" t="s">
        <v>356</v>
      </c>
      <c r="R53" s="143">
        <v>3118347</v>
      </c>
      <c r="S53" s="139" t="s">
        <v>384</v>
      </c>
      <c r="T53" s="140" t="s">
        <v>45</v>
      </c>
      <c r="U53" s="141" t="s">
        <v>44</v>
      </c>
      <c r="V53" s="84"/>
      <c r="W53" s="84"/>
      <c r="X53" s="84"/>
      <c r="Y53" s="84"/>
      <c r="Z53" s="84"/>
    </row>
    <row r="54" spans="1:26" ht="1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144">
        <f t="shared" si="0"/>
        <v>48</v>
      </c>
      <c r="L54" s="142" t="str">
        <f t="shared" si="1"/>
        <v>2410 SVEUČILIŠTE U SPLITU - PRIRODOSLOVNO - MATEMATIČKI FAKULTET</v>
      </c>
      <c r="M54" s="142">
        <v>2410</v>
      </c>
      <c r="N54" s="145" t="s">
        <v>385</v>
      </c>
      <c r="O54" s="146" t="s">
        <v>355</v>
      </c>
      <c r="P54" s="145" t="s">
        <v>1711</v>
      </c>
      <c r="Q54" s="145" t="s">
        <v>356</v>
      </c>
      <c r="R54" s="143">
        <v>3199622</v>
      </c>
      <c r="S54" s="139" t="s">
        <v>386</v>
      </c>
      <c r="T54" s="140" t="s">
        <v>45</v>
      </c>
      <c r="U54" s="141" t="s">
        <v>44</v>
      </c>
      <c r="V54" s="84"/>
      <c r="W54" s="84"/>
      <c r="X54" s="84"/>
      <c r="Y54" s="84"/>
      <c r="Z54" s="84"/>
    </row>
    <row r="55" spans="1:26" ht="15.75">
      <c r="A55" s="329"/>
      <c r="B55" s="388"/>
      <c r="C55" s="389"/>
      <c r="D55" s="389"/>
      <c r="E55" s="389"/>
      <c r="F55" s="84"/>
      <c r="G55" s="84"/>
      <c r="H55" s="84"/>
      <c r="I55" s="84"/>
      <c r="J55" s="84"/>
      <c r="K55" s="144">
        <f t="shared" si="0"/>
        <v>49</v>
      </c>
      <c r="L55" s="142" t="str">
        <f t="shared" si="1"/>
        <v>2524 SVEUČILIŠTE U SPLITU - SVEUČILIŠNA KNJIŽNICA</v>
      </c>
      <c r="M55" s="142">
        <v>2524</v>
      </c>
      <c r="N55" s="145" t="s">
        <v>387</v>
      </c>
      <c r="O55" s="146" t="s">
        <v>355</v>
      </c>
      <c r="P55" s="145" t="s">
        <v>388</v>
      </c>
      <c r="Q55" s="145" t="s">
        <v>356</v>
      </c>
      <c r="R55" s="143">
        <v>3118436</v>
      </c>
      <c r="S55" s="139" t="s">
        <v>389</v>
      </c>
      <c r="T55" s="140" t="s">
        <v>45</v>
      </c>
      <c r="U55" s="141" t="s">
        <v>44</v>
      </c>
      <c r="V55" s="84"/>
      <c r="W55" s="84"/>
      <c r="X55" s="84"/>
      <c r="Y55" s="84"/>
      <c r="Z55" s="84"/>
    </row>
    <row r="56" spans="1:26" ht="15.75">
      <c r="A56" s="329"/>
      <c r="B56" s="330"/>
      <c r="C56" s="329"/>
      <c r="D56" s="329"/>
      <c r="E56" s="329"/>
      <c r="F56" s="84"/>
      <c r="G56" s="84"/>
      <c r="H56" s="84"/>
      <c r="I56" s="84"/>
      <c r="J56" s="84"/>
      <c r="K56" s="144">
        <f t="shared" si="0"/>
        <v>50</v>
      </c>
      <c r="L56" s="142" t="str">
        <f t="shared" si="1"/>
        <v>22478 SVEUČILIŠTE U SPLITU - UMJETNIČKA AKADEMIJA</v>
      </c>
      <c r="M56" s="142">
        <v>22478</v>
      </c>
      <c r="N56" s="145" t="s">
        <v>390</v>
      </c>
      <c r="O56" s="146" t="s">
        <v>355</v>
      </c>
      <c r="P56" s="145" t="s">
        <v>391</v>
      </c>
      <c r="Q56" s="145" t="s">
        <v>356</v>
      </c>
      <c r="R56" s="143">
        <v>1321358</v>
      </c>
      <c r="S56" s="139" t="s">
        <v>392</v>
      </c>
      <c r="T56" s="140" t="s">
        <v>45</v>
      </c>
      <c r="U56" s="141" t="s">
        <v>44</v>
      </c>
      <c r="V56" s="84"/>
      <c r="W56" s="84"/>
      <c r="X56" s="84"/>
      <c r="Y56" s="84"/>
      <c r="Z56" s="84"/>
    </row>
    <row r="57" spans="1:26" ht="15.75">
      <c r="A57" s="329"/>
      <c r="B57" s="388"/>
      <c r="C57" s="389"/>
      <c r="D57" s="389"/>
      <c r="E57" s="389"/>
      <c r="F57" s="84"/>
      <c r="G57" s="84"/>
      <c r="H57" s="84"/>
      <c r="I57" s="84"/>
      <c r="J57" s="84"/>
      <c r="K57" s="144">
        <f t="shared" si="0"/>
        <v>51</v>
      </c>
      <c r="L57" s="142" t="str">
        <f t="shared" si="1"/>
        <v>23815 SVEUČILIŠTE U ZADRU</v>
      </c>
      <c r="M57" s="142">
        <v>23815</v>
      </c>
      <c r="N57" s="145" t="s">
        <v>311</v>
      </c>
      <c r="O57" s="146" t="s">
        <v>311</v>
      </c>
      <c r="P57" s="145" t="s">
        <v>1712</v>
      </c>
      <c r="Q57" s="145" t="s">
        <v>312</v>
      </c>
      <c r="R57" s="143">
        <v>1695525</v>
      </c>
      <c r="S57" s="139" t="s">
        <v>313</v>
      </c>
      <c r="T57" s="140" t="s">
        <v>45</v>
      </c>
      <c r="U57" s="141" t="s">
        <v>44</v>
      </c>
      <c r="V57" s="84"/>
      <c r="W57" s="84"/>
      <c r="X57" s="84"/>
      <c r="Y57" s="84"/>
      <c r="Z57" s="84"/>
    </row>
    <row r="58" spans="1:26" ht="15.75">
      <c r="A58" s="329"/>
      <c r="B58" s="330"/>
      <c r="C58" s="329"/>
      <c r="D58" s="329"/>
      <c r="E58" s="329"/>
      <c r="F58" s="84"/>
      <c r="G58" s="84"/>
      <c r="H58" s="84"/>
      <c r="I58" s="84"/>
      <c r="J58" s="84"/>
      <c r="K58" s="144">
        <f t="shared" si="0"/>
        <v>52</v>
      </c>
      <c r="L58" s="142" t="str">
        <f t="shared" si="1"/>
        <v>2436 SVEUČILIŠTE U ZAGREBU</v>
      </c>
      <c r="M58" s="142">
        <v>2436</v>
      </c>
      <c r="N58" s="145" t="s">
        <v>393</v>
      </c>
      <c r="O58" s="146" t="s">
        <v>393</v>
      </c>
      <c r="P58" s="145" t="s">
        <v>461</v>
      </c>
      <c r="Q58" s="145" t="s">
        <v>271</v>
      </c>
      <c r="R58" s="143">
        <v>3211592</v>
      </c>
      <c r="S58" s="139" t="s">
        <v>394</v>
      </c>
      <c r="T58" s="140" t="s">
        <v>45</v>
      </c>
      <c r="U58" s="141" t="s">
        <v>44</v>
      </c>
      <c r="V58" s="84"/>
      <c r="W58" s="84"/>
      <c r="X58" s="84"/>
      <c r="Y58" s="84"/>
      <c r="Z58" s="84"/>
    </row>
    <row r="59" spans="1:26" ht="15.75">
      <c r="A59" s="329"/>
      <c r="B59" s="388"/>
      <c r="C59" s="389"/>
      <c r="D59" s="389"/>
      <c r="E59" s="389"/>
      <c r="F59" s="84"/>
      <c r="G59" s="84"/>
      <c r="H59" s="84"/>
      <c r="I59" s="84"/>
      <c r="J59" s="84"/>
      <c r="K59" s="144">
        <f t="shared" si="0"/>
        <v>53</v>
      </c>
      <c r="L59" s="142" t="str">
        <f t="shared" si="1"/>
        <v>1923 SVEUČILIŠTE U ZAGREBU - AGRONOMSKI FAKULTET</v>
      </c>
      <c r="M59" s="142">
        <v>1923</v>
      </c>
      <c r="N59" s="145" t="s">
        <v>395</v>
      </c>
      <c r="O59" s="146" t="s">
        <v>393</v>
      </c>
      <c r="P59" s="145" t="s">
        <v>396</v>
      </c>
      <c r="Q59" s="145" t="s">
        <v>271</v>
      </c>
      <c r="R59" s="143">
        <v>3283097</v>
      </c>
      <c r="S59" s="139" t="s">
        <v>397</v>
      </c>
      <c r="T59" s="140" t="s">
        <v>45</v>
      </c>
      <c r="U59" s="141" t="s">
        <v>44</v>
      </c>
      <c r="V59" s="84"/>
      <c r="W59" s="84"/>
      <c r="X59" s="84"/>
      <c r="Y59" s="84"/>
      <c r="Z59" s="84"/>
    </row>
    <row r="60" spans="1:26" ht="15">
      <c r="A60" s="331"/>
      <c r="B60" s="331"/>
      <c r="C60" s="332"/>
      <c r="D60" s="332"/>
      <c r="E60" s="333"/>
      <c r="F60" s="84"/>
      <c r="G60" s="84"/>
      <c r="H60" s="84"/>
      <c r="I60" s="84"/>
      <c r="J60" s="84"/>
      <c r="K60" s="144">
        <f t="shared" si="0"/>
        <v>54</v>
      </c>
      <c r="L60" s="142" t="str">
        <f t="shared" si="1"/>
        <v>1974 SVEUČILIŠTE U ZAGREBU - AKADEMIJA DRAMSKE UMJETNOSTI</v>
      </c>
      <c r="M60" s="142">
        <v>1974</v>
      </c>
      <c r="N60" s="145" t="s">
        <v>398</v>
      </c>
      <c r="O60" s="146" t="s">
        <v>393</v>
      </c>
      <c r="P60" s="145" t="s">
        <v>399</v>
      </c>
      <c r="Q60" s="145" t="s">
        <v>271</v>
      </c>
      <c r="R60" s="143">
        <v>3205029</v>
      </c>
      <c r="S60" s="139" t="s">
        <v>400</v>
      </c>
      <c r="T60" s="140" t="s">
        <v>45</v>
      </c>
      <c r="U60" s="141" t="s">
        <v>44</v>
      </c>
      <c r="V60" s="84"/>
      <c r="W60" s="84"/>
      <c r="X60" s="84"/>
      <c r="Y60" s="84"/>
      <c r="Z60" s="84"/>
    </row>
    <row r="61" spans="1:26" ht="15" customHeight="1">
      <c r="A61" s="334"/>
      <c r="B61" s="334"/>
      <c r="C61" s="334"/>
      <c r="D61" s="334"/>
      <c r="E61" s="334"/>
      <c r="F61" s="84"/>
      <c r="G61" s="84"/>
      <c r="H61" s="84"/>
      <c r="I61" s="84"/>
      <c r="J61" s="84"/>
      <c r="K61" s="144">
        <f t="shared" si="0"/>
        <v>55</v>
      </c>
      <c r="L61" s="142" t="str">
        <f t="shared" si="1"/>
        <v>1982 SVEUČILIŠTE U ZAGREBU - AKADEMIJA LIKOVNIH UMJETNOSTI</v>
      </c>
      <c r="M61" s="142">
        <v>1982</v>
      </c>
      <c r="N61" s="145" t="s">
        <v>401</v>
      </c>
      <c r="O61" s="146" t="s">
        <v>393</v>
      </c>
      <c r="P61" s="145" t="s">
        <v>402</v>
      </c>
      <c r="Q61" s="145" t="s">
        <v>271</v>
      </c>
      <c r="R61" s="143">
        <v>3207919</v>
      </c>
      <c r="S61" s="139" t="s">
        <v>403</v>
      </c>
      <c r="T61" s="140" t="s">
        <v>45</v>
      </c>
      <c r="U61" s="141" t="s">
        <v>44</v>
      </c>
      <c r="V61" s="84"/>
      <c r="W61" s="84"/>
      <c r="X61" s="84"/>
      <c r="Y61" s="84"/>
      <c r="Z61" s="84"/>
    </row>
    <row r="62" spans="1:26" ht="15">
      <c r="A62" s="335"/>
      <c r="B62" s="335"/>
      <c r="C62" s="336"/>
      <c r="D62" s="336"/>
      <c r="E62" s="336"/>
      <c r="F62" s="84"/>
      <c r="G62" s="84"/>
      <c r="H62" s="84"/>
      <c r="I62" s="84"/>
      <c r="J62" s="84"/>
      <c r="K62" s="144">
        <f t="shared" si="0"/>
        <v>56</v>
      </c>
      <c r="L62" s="142" t="str">
        <f t="shared" si="1"/>
        <v xml:space="preserve">1861 SVEUČILIŠTE U ZAGREBU - ARHITEKTONSKI FAKULTET </v>
      </c>
      <c r="M62" s="142">
        <v>1861</v>
      </c>
      <c r="N62" s="145" t="s">
        <v>404</v>
      </c>
      <c r="O62" s="146" t="s">
        <v>393</v>
      </c>
      <c r="P62" s="145" t="s">
        <v>405</v>
      </c>
      <c r="Q62" s="145" t="s">
        <v>271</v>
      </c>
      <c r="R62" s="143">
        <v>3204952</v>
      </c>
      <c r="S62" s="139" t="s">
        <v>406</v>
      </c>
      <c r="T62" s="140" t="s">
        <v>45</v>
      </c>
      <c r="U62" s="141" t="s">
        <v>44</v>
      </c>
      <c r="V62" s="84"/>
      <c r="W62" s="84"/>
      <c r="X62" s="84"/>
      <c r="Y62" s="84"/>
      <c r="Z62" s="84"/>
    </row>
    <row r="63" spans="1:26" ht="15" customHeight="1">
      <c r="A63" s="337"/>
      <c r="B63" s="335"/>
      <c r="C63" s="338"/>
      <c r="D63" s="338"/>
      <c r="E63" s="338"/>
      <c r="F63" s="84"/>
      <c r="G63" s="84"/>
      <c r="H63" s="84"/>
      <c r="I63" s="84"/>
      <c r="J63" s="84"/>
      <c r="K63" s="144">
        <f t="shared" si="0"/>
        <v>57</v>
      </c>
      <c r="L63" s="142" t="str">
        <f t="shared" si="1"/>
        <v xml:space="preserve">1966 SVEUČILIŠTE U ZAGREBU - EDUKACIJSKO-REHABILITACIJSKI FAKULTET </v>
      </c>
      <c r="M63" s="142">
        <v>1966</v>
      </c>
      <c r="N63" s="145" t="s">
        <v>407</v>
      </c>
      <c r="O63" s="146" t="s">
        <v>393</v>
      </c>
      <c r="P63" s="145" t="s">
        <v>408</v>
      </c>
      <c r="Q63" s="145" t="s">
        <v>271</v>
      </c>
      <c r="R63" s="143">
        <v>3219780</v>
      </c>
      <c r="S63" s="139" t="s">
        <v>409</v>
      </c>
      <c r="T63" s="140" t="s">
        <v>45</v>
      </c>
      <c r="U63" s="141" t="s">
        <v>44</v>
      </c>
      <c r="V63" s="84"/>
      <c r="W63" s="84"/>
      <c r="X63" s="84"/>
      <c r="Y63" s="84"/>
      <c r="Z63" s="84"/>
    </row>
    <row r="64" spans="1:26" ht="15">
      <c r="A64" s="337"/>
      <c r="B64" s="339"/>
      <c r="C64" s="338"/>
      <c r="D64" s="338"/>
      <c r="E64" s="338"/>
      <c r="F64" s="84"/>
      <c r="G64" s="84"/>
      <c r="H64" s="84"/>
      <c r="I64" s="84"/>
      <c r="J64" s="84"/>
      <c r="K64" s="144">
        <f t="shared" si="0"/>
        <v>58</v>
      </c>
      <c r="L64" s="142" t="str">
        <f t="shared" si="1"/>
        <v>1931 SVEUČILIŠTE U ZAGREBU - EKONOMSKI FAKULTET</v>
      </c>
      <c r="M64" s="142">
        <v>1931</v>
      </c>
      <c r="N64" s="145" t="s">
        <v>410</v>
      </c>
      <c r="O64" s="146" t="s">
        <v>393</v>
      </c>
      <c r="P64" s="145" t="s">
        <v>1713</v>
      </c>
      <c r="Q64" s="145" t="s">
        <v>271</v>
      </c>
      <c r="R64" s="143">
        <v>3272079</v>
      </c>
      <c r="S64" s="139" t="s">
        <v>411</v>
      </c>
      <c r="T64" s="140" t="s">
        <v>45</v>
      </c>
      <c r="U64" s="141" t="s">
        <v>44</v>
      </c>
      <c r="V64" s="84"/>
      <c r="W64" s="84"/>
      <c r="X64" s="84"/>
      <c r="Y64" s="84"/>
      <c r="Z64" s="84"/>
    </row>
    <row r="65" spans="1:26" ht="15" customHeight="1">
      <c r="A65" s="340"/>
      <c r="B65" s="339"/>
      <c r="C65" s="341"/>
      <c r="D65" s="341"/>
      <c r="E65" s="341"/>
      <c r="F65" s="84"/>
      <c r="G65" s="84"/>
      <c r="H65" s="84"/>
      <c r="I65" s="84"/>
      <c r="J65" s="84"/>
      <c r="K65" s="144">
        <f t="shared" si="0"/>
        <v>59</v>
      </c>
      <c r="L65" s="142" t="str">
        <f t="shared" si="1"/>
        <v>1757 SVEUČILIŠTE U ZAGREBU - FAKULTET ELEKTROTEHNIKE I RAČUNARSTVA</v>
      </c>
      <c r="M65" s="142">
        <v>1757</v>
      </c>
      <c r="N65" s="147" t="s">
        <v>412</v>
      </c>
      <c r="O65" s="146" t="s">
        <v>393</v>
      </c>
      <c r="P65" s="147" t="s">
        <v>413</v>
      </c>
      <c r="Q65" s="147" t="s">
        <v>271</v>
      </c>
      <c r="R65" s="148">
        <v>3276643</v>
      </c>
      <c r="S65" s="139" t="s">
        <v>414</v>
      </c>
      <c r="T65" s="140" t="s">
        <v>45</v>
      </c>
      <c r="U65" s="141" t="s">
        <v>44</v>
      </c>
      <c r="V65" s="84"/>
      <c r="W65" s="84"/>
      <c r="X65" s="84"/>
      <c r="Y65" s="84"/>
      <c r="Z65" s="84"/>
    </row>
    <row r="66" spans="1:26" ht="15">
      <c r="A66" s="340"/>
      <c r="B66" s="335"/>
      <c r="C66" s="338"/>
      <c r="D66" s="338"/>
      <c r="E66" s="338"/>
      <c r="F66" s="84"/>
      <c r="G66" s="84"/>
      <c r="H66" s="84"/>
      <c r="I66" s="84"/>
      <c r="J66" s="84"/>
      <c r="K66" s="144">
        <f t="shared" si="0"/>
        <v>60</v>
      </c>
      <c r="L66" s="142" t="str">
        <f t="shared" si="1"/>
        <v>6154 SVEUČILIŠTE U ZAGREBU - FAKULTET FILOZOFIJE I RELIGIJSKIH ZNANOSTI</v>
      </c>
      <c r="M66" s="142">
        <v>6154</v>
      </c>
      <c r="N66" s="145" t="s">
        <v>1714</v>
      </c>
      <c r="O66" s="146" t="s">
        <v>393</v>
      </c>
      <c r="P66" s="145" t="s">
        <v>415</v>
      </c>
      <c r="Q66" s="145" t="s">
        <v>271</v>
      </c>
      <c r="R66" s="143">
        <v>1235664</v>
      </c>
      <c r="S66" s="139" t="s">
        <v>416</v>
      </c>
      <c r="T66" s="140" t="s">
        <v>45</v>
      </c>
      <c r="U66" s="141" t="s">
        <v>44</v>
      </c>
      <c r="V66" s="84"/>
      <c r="W66" s="84"/>
      <c r="X66" s="84"/>
      <c r="Y66" s="84"/>
      <c r="Z66" s="84"/>
    </row>
    <row r="67" spans="1:26" ht="15">
      <c r="A67" s="337"/>
      <c r="B67" s="339"/>
      <c r="C67" s="338"/>
      <c r="D67" s="338"/>
      <c r="E67" s="338"/>
      <c r="F67" s="84"/>
      <c r="G67" s="84"/>
      <c r="H67" s="84"/>
      <c r="I67" s="84"/>
      <c r="J67" s="84"/>
      <c r="K67" s="144">
        <f t="shared" si="0"/>
        <v>61</v>
      </c>
      <c r="L67" s="142" t="str">
        <f t="shared" si="1"/>
        <v>51191 SVEUČILIŠTE U ZAGREBU - FAKULTET HRVATSKIH STUDIJA</v>
      </c>
      <c r="M67" s="142">
        <v>51191</v>
      </c>
      <c r="N67" s="145" t="s">
        <v>1715</v>
      </c>
      <c r="O67" s="146" t="s">
        <v>393</v>
      </c>
      <c r="P67" s="145" t="s">
        <v>1716</v>
      </c>
      <c r="Q67" s="145" t="s">
        <v>271</v>
      </c>
      <c r="R67" s="143">
        <v>5214068</v>
      </c>
      <c r="S67" s="139" t="s">
        <v>1717</v>
      </c>
      <c r="T67" s="140" t="s">
        <v>45</v>
      </c>
      <c r="U67" s="141" t="s">
        <v>44</v>
      </c>
      <c r="V67" s="84"/>
      <c r="W67" s="84"/>
      <c r="X67" s="84"/>
      <c r="Y67" s="84"/>
      <c r="Z67" s="84"/>
    </row>
    <row r="68" spans="1:26" ht="15">
      <c r="A68" s="335"/>
      <c r="B68" s="335"/>
      <c r="C68" s="336"/>
      <c r="D68" s="336"/>
      <c r="E68" s="336"/>
      <c r="F68" s="84"/>
      <c r="G68" s="84"/>
      <c r="H68" s="84"/>
      <c r="I68" s="84"/>
      <c r="J68" s="84"/>
      <c r="K68" s="144">
        <f t="shared" si="0"/>
        <v>62</v>
      </c>
      <c r="L68" s="142" t="str">
        <f t="shared" si="1"/>
        <v>1790 SVEUČILIŠTE U ZAGREBU - FAKULTET KEMIJSKOG INŽENJERSTVA I TEHNOLOGIJE</v>
      </c>
      <c r="M68" s="142">
        <v>1790</v>
      </c>
      <c r="N68" s="145" t="s">
        <v>419</v>
      </c>
      <c r="O68" s="146" t="s">
        <v>393</v>
      </c>
      <c r="P68" s="145" t="s">
        <v>420</v>
      </c>
      <c r="Q68" s="145" t="s">
        <v>271</v>
      </c>
      <c r="R68" s="143">
        <v>3250270</v>
      </c>
      <c r="S68" s="139" t="s">
        <v>421</v>
      </c>
      <c r="T68" s="140" t="s">
        <v>45</v>
      </c>
      <c r="U68" s="141" t="s">
        <v>44</v>
      </c>
      <c r="V68" s="84"/>
      <c r="W68" s="84"/>
      <c r="X68" s="84"/>
      <c r="Y68" s="84"/>
      <c r="Z68" s="84"/>
    </row>
    <row r="69" spans="1:26" ht="15">
      <c r="A69" s="329"/>
      <c r="B69" s="390"/>
      <c r="C69" s="389"/>
      <c r="D69" s="389"/>
      <c r="E69" s="389"/>
      <c r="F69" s="84"/>
      <c r="G69" s="84"/>
      <c r="H69" s="84"/>
      <c r="I69" s="84"/>
      <c r="J69" s="84"/>
      <c r="K69" s="144">
        <f t="shared" si="0"/>
        <v>63</v>
      </c>
      <c r="L69" s="142" t="str">
        <f t="shared" si="1"/>
        <v>1907 SVEUČILIŠTE U ZAGREBU - FAKULTET POLITIČKIH ZNANOSTI</v>
      </c>
      <c r="M69" s="142">
        <v>1907</v>
      </c>
      <c r="N69" s="145" t="s">
        <v>422</v>
      </c>
      <c r="O69" s="146" t="s">
        <v>393</v>
      </c>
      <c r="P69" s="145" t="s">
        <v>423</v>
      </c>
      <c r="Q69" s="145" t="s">
        <v>271</v>
      </c>
      <c r="R69" s="143">
        <v>3270262</v>
      </c>
      <c r="S69" s="139" t="s">
        <v>424</v>
      </c>
      <c r="T69" s="140" t="s">
        <v>45</v>
      </c>
      <c r="U69" s="141" t="s">
        <v>44</v>
      </c>
      <c r="V69" s="84"/>
      <c r="W69" s="84"/>
      <c r="X69" s="84"/>
      <c r="Y69" s="84"/>
      <c r="Z69" s="84"/>
    </row>
    <row r="70" spans="1:26" ht="15.75">
      <c r="A70" s="329"/>
      <c r="B70" s="388"/>
      <c r="C70" s="389"/>
      <c r="D70" s="389"/>
      <c r="E70" s="389"/>
      <c r="F70" s="84"/>
      <c r="G70" s="84"/>
      <c r="H70" s="84"/>
      <c r="I70" s="84"/>
      <c r="J70" s="84"/>
      <c r="K70" s="144">
        <f t="shared" si="0"/>
        <v>64</v>
      </c>
      <c r="L70" s="142" t="str">
        <f t="shared" si="1"/>
        <v>1812 SVEUČILIŠTE U ZAGREBU - FAKULTET PROMETNIH ZNANOSTI</v>
      </c>
      <c r="M70" s="142">
        <v>1812</v>
      </c>
      <c r="N70" s="145" t="s">
        <v>425</v>
      </c>
      <c r="O70" s="146" t="s">
        <v>393</v>
      </c>
      <c r="P70" s="145" t="s">
        <v>426</v>
      </c>
      <c r="Q70" s="145" t="s">
        <v>271</v>
      </c>
      <c r="R70" s="143">
        <v>3260771</v>
      </c>
      <c r="S70" s="139" t="s">
        <v>427</v>
      </c>
      <c r="T70" s="140" t="s">
        <v>45</v>
      </c>
      <c r="U70" s="141" t="s">
        <v>44</v>
      </c>
      <c r="V70" s="84"/>
      <c r="W70" s="84"/>
      <c r="X70" s="84"/>
      <c r="Y70" s="84"/>
      <c r="Z70" s="84"/>
    </row>
    <row r="71" spans="1:26" ht="15">
      <c r="A71" s="331"/>
      <c r="B71" s="331"/>
      <c r="C71" s="332"/>
      <c r="D71" s="332"/>
      <c r="E71" s="333"/>
      <c r="F71" s="84"/>
      <c r="G71" s="84"/>
      <c r="H71" s="84"/>
      <c r="I71" s="84"/>
      <c r="J71" s="84"/>
      <c r="K71" s="144">
        <f t="shared" si="0"/>
        <v>65</v>
      </c>
      <c r="L71" s="142" t="str">
        <f t="shared" si="1"/>
        <v>1829 SVEUČILIŠTE U ZAGREBU - FAKULTET STROJARSTVA I BRODOGRADNJE</v>
      </c>
      <c r="M71" s="142">
        <v>1829</v>
      </c>
      <c r="N71" s="145" t="s">
        <v>428</v>
      </c>
      <c r="O71" s="146" t="s">
        <v>393</v>
      </c>
      <c r="P71" s="145" t="s">
        <v>429</v>
      </c>
      <c r="Q71" s="145" t="s">
        <v>271</v>
      </c>
      <c r="R71" s="143">
        <v>3276546</v>
      </c>
      <c r="S71" s="139" t="s">
        <v>430</v>
      </c>
      <c r="T71" s="140" t="s">
        <v>45</v>
      </c>
      <c r="U71" s="141" t="s">
        <v>44</v>
      </c>
      <c r="V71" s="84"/>
      <c r="W71" s="84"/>
      <c r="X71" s="84"/>
      <c r="Y71" s="84"/>
      <c r="Z71" s="84"/>
    </row>
    <row r="72" spans="1:26" ht="15">
      <c r="A72" s="334"/>
      <c r="B72" s="334"/>
      <c r="C72" s="334"/>
      <c r="D72" s="334"/>
      <c r="E72" s="334"/>
      <c r="F72" s="84"/>
      <c r="G72" s="84"/>
      <c r="H72" s="84"/>
      <c r="I72" s="84"/>
      <c r="J72" s="84"/>
      <c r="K72" s="144">
        <f t="shared" ref="K72:K135" si="3">+K71+1</f>
        <v>66</v>
      </c>
      <c r="L72" s="142" t="str">
        <f t="shared" si="1"/>
        <v xml:space="preserve">2014 SVEUČILIŠTE U ZAGREBU - FARMACEUTSKO-BIOKEMIJSKI FAKULTET </v>
      </c>
      <c r="M72" s="142">
        <v>2014</v>
      </c>
      <c r="N72" s="145" t="s">
        <v>431</v>
      </c>
      <c r="O72" s="146" t="s">
        <v>393</v>
      </c>
      <c r="P72" s="145" t="s">
        <v>432</v>
      </c>
      <c r="Q72" s="145" t="s">
        <v>271</v>
      </c>
      <c r="R72" s="143">
        <v>3205037</v>
      </c>
      <c r="S72" s="139" t="s">
        <v>433</v>
      </c>
      <c r="T72" s="140" t="s">
        <v>45</v>
      </c>
      <c r="U72" s="141" t="s">
        <v>44</v>
      </c>
      <c r="V72" s="84"/>
      <c r="W72" s="84"/>
      <c r="X72" s="84"/>
      <c r="Y72" s="84"/>
      <c r="Z72" s="84"/>
    </row>
    <row r="73" spans="1:26" ht="15">
      <c r="A73" s="337"/>
      <c r="B73" s="335"/>
      <c r="C73" s="338"/>
      <c r="D73" s="338"/>
      <c r="E73" s="338"/>
      <c r="F73" s="84"/>
      <c r="G73" s="84"/>
      <c r="H73" s="84"/>
      <c r="I73" s="84"/>
      <c r="J73" s="84"/>
      <c r="K73" s="144">
        <f t="shared" si="3"/>
        <v>67</v>
      </c>
      <c r="L73" s="142" t="str">
        <f t="shared" ref="L73:L135" si="4">M73&amp;" "&amp;N73</f>
        <v>1958 SVEUČILIŠTE U ZAGREBU - FILOZOFSKI FAKULTET</v>
      </c>
      <c r="M73" s="142">
        <v>1958</v>
      </c>
      <c r="N73" s="145" t="s">
        <v>434</v>
      </c>
      <c r="O73" s="146" t="s">
        <v>393</v>
      </c>
      <c r="P73" s="145" t="s">
        <v>435</v>
      </c>
      <c r="Q73" s="145" t="s">
        <v>271</v>
      </c>
      <c r="R73" s="143">
        <v>3254852</v>
      </c>
      <c r="S73" s="139" t="s">
        <v>436</v>
      </c>
      <c r="T73" s="140" t="s">
        <v>45</v>
      </c>
      <c r="U73" s="141" t="s">
        <v>44</v>
      </c>
      <c r="V73" s="84"/>
      <c r="W73" s="84"/>
      <c r="X73" s="84"/>
      <c r="Y73" s="84"/>
      <c r="Z73" s="84"/>
    </row>
    <row r="74" spans="1:26" ht="15">
      <c r="A74" s="337"/>
      <c r="B74" s="335"/>
      <c r="C74" s="338"/>
      <c r="D74" s="338"/>
      <c r="E74" s="338"/>
      <c r="F74" s="84"/>
      <c r="G74" s="84"/>
      <c r="H74" s="84"/>
      <c r="I74" s="84"/>
      <c r="J74" s="84"/>
      <c r="K74" s="144">
        <f t="shared" si="3"/>
        <v>68</v>
      </c>
      <c r="L74" s="142" t="str">
        <f t="shared" si="4"/>
        <v>1853 SVEUČILIŠTE U ZAGREBU - GEODETSKI FAKULTET</v>
      </c>
      <c r="M74" s="142">
        <v>1853</v>
      </c>
      <c r="N74" s="145" t="s">
        <v>437</v>
      </c>
      <c r="O74" s="146" t="s">
        <v>393</v>
      </c>
      <c r="P74" s="145" t="s">
        <v>1718</v>
      </c>
      <c r="Q74" s="145" t="s">
        <v>271</v>
      </c>
      <c r="R74" s="143">
        <v>3204987</v>
      </c>
      <c r="S74" s="139" t="s">
        <v>438</v>
      </c>
      <c r="T74" s="140" t="s">
        <v>45</v>
      </c>
      <c r="U74" s="141" t="s">
        <v>44</v>
      </c>
      <c r="V74" s="84"/>
      <c r="W74" s="84"/>
      <c r="X74" s="84"/>
      <c r="Y74" s="84"/>
      <c r="Z74" s="84"/>
    </row>
    <row r="75" spans="1:26" ht="15">
      <c r="A75" s="331"/>
      <c r="B75" s="342"/>
      <c r="C75" s="338"/>
      <c r="D75" s="338"/>
      <c r="E75" s="338"/>
      <c r="F75" s="84"/>
      <c r="G75" s="84"/>
      <c r="H75" s="84"/>
      <c r="I75" s="84"/>
      <c r="J75" s="84"/>
      <c r="K75" s="144">
        <f t="shared" si="3"/>
        <v>69</v>
      </c>
      <c r="L75" s="142" t="str">
        <f t="shared" si="4"/>
        <v>2102 SVEUČILIŠTE U ZAGREBU - GEOTEHNIČKI FAKULTET</v>
      </c>
      <c r="M75" s="142">
        <v>2102</v>
      </c>
      <c r="N75" s="145" t="s">
        <v>439</v>
      </c>
      <c r="O75" s="146" t="s">
        <v>393</v>
      </c>
      <c r="P75" s="145" t="s">
        <v>440</v>
      </c>
      <c r="Q75" s="145" t="s">
        <v>441</v>
      </c>
      <c r="R75" s="143">
        <v>3042316</v>
      </c>
      <c r="S75" s="139" t="s">
        <v>442</v>
      </c>
      <c r="T75" s="140" t="s">
        <v>45</v>
      </c>
      <c r="U75" s="141" t="s">
        <v>44</v>
      </c>
      <c r="V75" s="84"/>
      <c r="W75" s="84"/>
      <c r="X75" s="84"/>
      <c r="Y75" s="84"/>
      <c r="Z75" s="84"/>
    </row>
    <row r="76" spans="1:26" ht="15" customHeight="1">
      <c r="A76" s="331"/>
      <c r="B76" s="342"/>
      <c r="C76" s="338"/>
      <c r="D76" s="338"/>
      <c r="E76" s="338"/>
      <c r="F76" s="84"/>
      <c r="G76" s="84"/>
      <c r="H76" s="84"/>
      <c r="I76" s="84"/>
      <c r="J76" s="84"/>
      <c r="K76" s="144">
        <f t="shared" si="3"/>
        <v>70</v>
      </c>
      <c r="L76" s="142" t="str">
        <f t="shared" si="4"/>
        <v>1837 SVEUČILIŠTE U ZAGREBU - GRAĐEVINSKI FAKULTET</v>
      </c>
      <c r="M76" s="142">
        <v>1837</v>
      </c>
      <c r="N76" s="145" t="s">
        <v>443</v>
      </c>
      <c r="O76" s="146" t="s">
        <v>393</v>
      </c>
      <c r="P76" s="145" t="s">
        <v>444</v>
      </c>
      <c r="Q76" s="145" t="s">
        <v>271</v>
      </c>
      <c r="R76" s="143">
        <v>3227120</v>
      </c>
      <c r="S76" s="139" t="s">
        <v>445</v>
      </c>
      <c r="T76" s="140" t="s">
        <v>45</v>
      </c>
      <c r="U76" s="141" t="s">
        <v>44</v>
      </c>
      <c r="V76" s="84"/>
      <c r="W76" s="84"/>
      <c r="X76" s="84"/>
      <c r="Y76" s="84"/>
      <c r="Z76" s="84"/>
    </row>
    <row r="77" spans="1:26" ht="15">
      <c r="A77" s="335"/>
      <c r="B77" s="335"/>
      <c r="C77" s="341"/>
      <c r="D77" s="341"/>
      <c r="E77" s="341"/>
      <c r="F77" s="84"/>
      <c r="G77" s="84"/>
      <c r="H77" s="84"/>
      <c r="I77" s="84"/>
      <c r="J77" s="84"/>
      <c r="K77" s="144">
        <f t="shared" si="3"/>
        <v>71</v>
      </c>
      <c r="L77" s="142" t="str">
        <f t="shared" si="4"/>
        <v>2080 SVEUČILIŠTE U ZAGREBU - GRAFIČKI FAKULTET</v>
      </c>
      <c r="M77" s="142">
        <v>2080</v>
      </c>
      <c r="N77" s="145" t="s">
        <v>446</v>
      </c>
      <c r="O77" s="146" t="s">
        <v>393</v>
      </c>
      <c r="P77" s="145" t="s">
        <v>447</v>
      </c>
      <c r="Q77" s="145" t="s">
        <v>271</v>
      </c>
      <c r="R77" s="143">
        <v>3219763</v>
      </c>
      <c r="S77" s="139" t="s">
        <v>448</v>
      </c>
      <c r="T77" s="140" t="s">
        <v>45</v>
      </c>
      <c r="U77" s="141" t="s">
        <v>44</v>
      </c>
      <c r="V77" s="84"/>
      <c r="W77" s="84"/>
      <c r="X77" s="84"/>
      <c r="Y77" s="84"/>
      <c r="Z77" s="84"/>
    </row>
    <row r="78" spans="1:26" ht="15">
      <c r="A78" s="329"/>
      <c r="B78" s="390"/>
      <c r="C78" s="389"/>
      <c r="D78" s="389"/>
      <c r="E78" s="389"/>
      <c r="F78" s="84"/>
      <c r="G78" s="84"/>
      <c r="H78" s="84"/>
      <c r="I78" s="84"/>
      <c r="J78" s="84"/>
      <c r="K78" s="144">
        <f t="shared" si="3"/>
        <v>72</v>
      </c>
      <c r="L78" s="142" t="str">
        <f t="shared" si="4"/>
        <v xml:space="preserve">2135 SVEUČILIŠTE U ZAGREBU - KATOLIČKI BOGOSLOVNI FAKULTET </v>
      </c>
      <c r="M78" s="142">
        <v>2135</v>
      </c>
      <c r="N78" s="145" t="s">
        <v>417</v>
      </c>
      <c r="O78" s="146" t="s">
        <v>393</v>
      </c>
      <c r="P78" s="145" t="s">
        <v>418</v>
      </c>
      <c r="Q78" s="145" t="s">
        <v>271</v>
      </c>
      <c r="R78" s="143">
        <v>3703088</v>
      </c>
      <c r="S78" s="139">
        <v>48987767944</v>
      </c>
      <c r="T78" s="140" t="s">
        <v>45</v>
      </c>
      <c r="U78" s="141" t="s">
        <v>44</v>
      </c>
      <c r="V78" s="84"/>
      <c r="W78" s="84"/>
      <c r="X78" s="84"/>
      <c r="Y78" s="84"/>
      <c r="Z78" s="84"/>
    </row>
    <row r="79" spans="1:26" ht="15">
      <c r="A79" s="343"/>
      <c r="B79" s="343"/>
      <c r="C79" s="344"/>
      <c r="D79" s="344"/>
      <c r="E79" s="344"/>
      <c r="F79" s="84"/>
      <c r="G79" s="84"/>
      <c r="H79" s="84"/>
      <c r="I79" s="84"/>
      <c r="J79" s="84"/>
      <c r="K79" s="144">
        <f t="shared" si="3"/>
        <v>73</v>
      </c>
      <c r="L79" s="142" t="str">
        <f t="shared" si="4"/>
        <v>2006 SVEUČILIŠTE U ZAGREBU - KINEZIOLOŠKI FAKULTET</v>
      </c>
      <c r="M79" s="142">
        <v>2006</v>
      </c>
      <c r="N79" s="145" t="s">
        <v>449</v>
      </c>
      <c r="O79" s="146" t="s">
        <v>393</v>
      </c>
      <c r="P79" s="145" t="s">
        <v>450</v>
      </c>
      <c r="Q79" s="145" t="s">
        <v>271</v>
      </c>
      <c r="R79" s="143">
        <v>3274080</v>
      </c>
      <c r="S79" s="139" t="s">
        <v>451</v>
      </c>
      <c r="T79" s="140" t="s">
        <v>45</v>
      </c>
      <c r="U79" s="141" t="s">
        <v>44</v>
      </c>
      <c r="V79" s="84"/>
      <c r="W79" s="84"/>
      <c r="X79" s="84"/>
      <c r="Y79" s="84"/>
      <c r="Z79" s="84"/>
    </row>
    <row r="80" spans="1:26" ht="15">
      <c r="A80" s="332"/>
      <c r="B80" s="332"/>
      <c r="C80" s="332"/>
      <c r="D80" s="332"/>
      <c r="E80" s="332"/>
      <c r="F80" s="84"/>
      <c r="G80" s="84"/>
      <c r="H80" s="84"/>
      <c r="I80" s="84"/>
      <c r="J80" s="84"/>
      <c r="K80" s="144">
        <f t="shared" si="3"/>
        <v>74</v>
      </c>
      <c r="L80" s="142" t="str">
        <f t="shared" si="4"/>
        <v>1888 SVEUČILIŠTE U ZAGREBU - MEDICINSKI FAKULTET</v>
      </c>
      <c r="M80" s="142">
        <v>1888</v>
      </c>
      <c r="N80" s="145" t="s">
        <v>452</v>
      </c>
      <c r="O80" s="146" t="s">
        <v>393</v>
      </c>
      <c r="P80" s="145" t="s">
        <v>453</v>
      </c>
      <c r="Q80" s="145" t="s">
        <v>271</v>
      </c>
      <c r="R80" s="143">
        <v>3270211</v>
      </c>
      <c r="S80" s="139" t="s">
        <v>454</v>
      </c>
      <c r="T80" s="140" t="s">
        <v>45</v>
      </c>
      <c r="U80" s="141" t="s">
        <v>44</v>
      </c>
      <c r="V80" s="84"/>
      <c r="W80" s="84"/>
      <c r="X80" s="84"/>
      <c r="Y80" s="84"/>
      <c r="Z80" s="84"/>
    </row>
    <row r="81" spans="1:26" ht="1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144">
        <f t="shared" si="3"/>
        <v>75</v>
      </c>
      <c r="L81" s="142" t="str">
        <f t="shared" si="4"/>
        <v>2071 SVEUČILIŠTE U ZAGREBU - METALURŠKI FAKULTET SISAK</v>
      </c>
      <c r="M81" s="142">
        <v>2071</v>
      </c>
      <c r="N81" s="145" t="s">
        <v>455</v>
      </c>
      <c r="O81" s="146" t="s">
        <v>393</v>
      </c>
      <c r="P81" s="145" t="s">
        <v>456</v>
      </c>
      <c r="Q81" s="145" t="s">
        <v>1719</v>
      </c>
      <c r="R81" s="143">
        <v>3313786</v>
      </c>
      <c r="S81" s="139" t="s">
        <v>457</v>
      </c>
      <c r="T81" s="140" t="s">
        <v>45</v>
      </c>
      <c r="U81" s="141" t="s">
        <v>44</v>
      </c>
      <c r="V81" s="84"/>
      <c r="W81" s="84"/>
      <c r="X81" s="84"/>
      <c r="Y81" s="84"/>
      <c r="Z81" s="84"/>
    </row>
    <row r="82" spans="1:26" ht="15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144">
        <f t="shared" si="3"/>
        <v>76</v>
      </c>
      <c r="L82" s="142" t="str">
        <f t="shared" si="4"/>
        <v>1999 SVEUČILIŠTE U ZAGREBU - MUZIČKA AKADEMIJA</v>
      </c>
      <c r="M82" s="142">
        <v>1999</v>
      </c>
      <c r="N82" s="145" t="s">
        <v>458</v>
      </c>
      <c r="O82" s="146" t="s">
        <v>393</v>
      </c>
      <c r="P82" s="145" t="s">
        <v>1720</v>
      </c>
      <c r="Q82" s="145" t="s">
        <v>271</v>
      </c>
      <c r="R82" s="143">
        <v>3205002</v>
      </c>
      <c r="S82" s="139" t="s">
        <v>459</v>
      </c>
      <c r="T82" s="140" t="s">
        <v>45</v>
      </c>
      <c r="U82" s="141" t="s">
        <v>44</v>
      </c>
      <c r="V82" s="84"/>
      <c r="W82" s="84"/>
      <c r="X82" s="84"/>
      <c r="Y82" s="84"/>
      <c r="Z82" s="84"/>
    </row>
    <row r="83" spans="1:26" ht="1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144">
        <f t="shared" si="3"/>
        <v>77</v>
      </c>
      <c r="L83" s="142" t="str">
        <f t="shared" si="4"/>
        <v>1915 SVEUČILIŠTE U ZAGREBU - PRAVNI FAKULTET</v>
      </c>
      <c r="M83" s="150">
        <v>1915</v>
      </c>
      <c r="N83" s="145" t="s">
        <v>460</v>
      </c>
      <c r="O83" s="146" t="s">
        <v>393</v>
      </c>
      <c r="P83" s="145" t="s">
        <v>461</v>
      </c>
      <c r="Q83" s="145" t="s">
        <v>271</v>
      </c>
      <c r="R83" s="143">
        <v>3225909</v>
      </c>
      <c r="S83" s="139" t="s">
        <v>462</v>
      </c>
      <c r="T83" s="140" t="s">
        <v>45</v>
      </c>
      <c r="U83" s="141" t="s">
        <v>44</v>
      </c>
      <c r="V83" s="84"/>
      <c r="W83" s="84"/>
      <c r="X83" s="84"/>
      <c r="Y83" s="84"/>
      <c r="Z83" s="84"/>
    </row>
    <row r="84" spans="1:26" ht="1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144">
        <f t="shared" si="3"/>
        <v>78</v>
      </c>
      <c r="L84" s="142" t="str">
        <f t="shared" si="4"/>
        <v>1845 SVEUČILIŠTE U ZAGREBU - PREHRAMBENO BIOTEHNOLOŠKI FAKULTET</v>
      </c>
      <c r="M84" s="142">
        <v>1845</v>
      </c>
      <c r="N84" s="145" t="s">
        <v>463</v>
      </c>
      <c r="O84" s="146" t="s">
        <v>393</v>
      </c>
      <c r="P84" s="145" t="s">
        <v>469</v>
      </c>
      <c r="Q84" s="145" t="s">
        <v>271</v>
      </c>
      <c r="R84" s="143">
        <v>3207102</v>
      </c>
      <c r="S84" s="139" t="s">
        <v>464</v>
      </c>
      <c r="T84" s="140" t="s">
        <v>45</v>
      </c>
      <c r="U84" s="141" t="s">
        <v>44</v>
      </c>
      <c r="V84" s="84"/>
      <c r="W84" s="84"/>
      <c r="X84" s="84"/>
      <c r="Y84" s="84"/>
      <c r="Z84" s="84"/>
    </row>
    <row r="85" spans="1:26" ht="1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144">
        <f t="shared" si="3"/>
        <v>79</v>
      </c>
      <c r="L85" s="142" t="str">
        <f t="shared" si="4"/>
        <v>1781 SVEUČILIŠTE U ZAGREBU - PRIRODOSLOVNO-MATEMATIČKI FAKULTET</v>
      </c>
      <c r="M85" s="142">
        <v>1781</v>
      </c>
      <c r="N85" s="145" t="s">
        <v>465</v>
      </c>
      <c r="O85" s="146" t="s">
        <v>393</v>
      </c>
      <c r="P85" s="145" t="s">
        <v>466</v>
      </c>
      <c r="Q85" s="145" t="s">
        <v>271</v>
      </c>
      <c r="R85" s="143">
        <v>3270149</v>
      </c>
      <c r="S85" s="139" t="s">
        <v>467</v>
      </c>
      <c r="T85" s="140" t="s">
        <v>45</v>
      </c>
      <c r="U85" s="141" t="s">
        <v>44</v>
      </c>
      <c r="V85" s="84"/>
      <c r="W85" s="84"/>
      <c r="X85" s="84"/>
      <c r="Y85" s="84"/>
      <c r="Z85" s="84"/>
    </row>
    <row r="86" spans="1:26" ht="1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144">
        <f t="shared" si="3"/>
        <v>80</v>
      </c>
      <c r="L86" s="142" t="str">
        <f t="shared" si="4"/>
        <v>2047 SVEUČILIŠTE U ZAGREBU - RUDARSKO-GEOLOŠKO-NAFTNI FAKULTET</v>
      </c>
      <c r="M86" s="142">
        <v>2047</v>
      </c>
      <c r="N86" s="145" t="s">
        <v>468</v>
      </c>
      <c r="O86" s="146" t="s">
        <v>393</v>
      </c>
      <c r="P86" s="151" t="s">
        <v>469</v>
      </c>
      <c r="Q86" s="151" t="s">
        <v>271</v>
      </c>
      <c r="R86" s="143">
        <v>3207005</v>
      </c>
      <c r="S86" s="139" t="s">
        <v>470</v>
      </c>
      <c r="T86" s="140" t="s">
        <v>45</v>
      </c>
      <c r="U86" s="141" t="s">
        <v>44</v>
      </c>
      <c r="V86" s="84"/>
      <c r="W86" s="84"/>
      <c r="X86" s="84"/>
      <c r="Y86" s="84"/>
      <c r="Z86" s="84"/>
    </row>
    <row r="87" spans="1:26" ht="1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144">
        <f t="shared" si="3"/>
        <v>81</v>
      </c>
      <c r="L87" s="142" t="str">
        <f t="shared" si="4"/>
        <v>1870 SVEUČILIŠTE U ZAGREBU - STOMATOLOŠKI FAKULTET</v>
      </c>
      <c r="M87" s="142">
        <v>1870</v>
      </c>
      <c r="N87" s="145" t="s">
        <v>471</v>
      </c>
      <c r="O87" s="146" t="s">
        <v>393</v>
      </c>
      <c r="P87" s="145" t="s">
        <v>472</v>
      </c>
      <c r="Q87" s="145" t="s">
        <v>271</v>
      </c>
      <c r="R87" s="143">
        <v>3204995</v>
      </c>
      <c r="S87" s="139" t="s">
        <v>473</v>
      </c>
      <c r="T87" s="140" t="s">
        <v>45</v>
      </c>
      <c r="U87" s="141" t="s">
        <v>44</v>
      </c>
      <c r="V87" s="84"/>
      <c r="W87" s="84"/>
      <c r="X87" s="84"/>
      <c r="Y87" s="84"/>
      <c r="Z87" s="84"/>
    </row>
    <row r="88" spans="1:26" ht="1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144">
        <f t="shared" si="3"/>
        <v>82</v>
      </c>
      <c r="L88" s="142" t="str">
        <f t="shared" si="4"/>
        <v>1896 SVEUČILIŠTE U ZAGREBU - FAKULTET ŠUMARSTVA I DRVNE TEHNOLOGIJE</v>
      </c>
      <c r="M88" s="142">
        <v>1896</v>
      </c>
      <c r="N88" s="145" t="s">
        <v>1766</v>
      </c>
      <c r="O88" s="146" t="s">
        <v>393</v>
      </c>
      <c r="P88" s="145" t="s">
        <v>396</v>
      </c>
      <c r="Q88" s="145" t="s">
        <v>271</v>
      </c>
      <c r="R88" s="143">
        <v>3281485</v>
      </c>
      <c r="S88" s="139" t="s">
        <v>474</v>
      </c>
      <c r="T88" s="140" t="s">
        <v>45</v>
      </c>
      <c r="U88" s="141" t="s">
        <v>44</v>
      </c>
      <c r="V88" s="84"/>
      <c r="W88" s="84"/>
      <c r="X88" s="84"/>
      <c r="Y88" s="84"/>
      <c r="Z88" s="84"/>
    </row>
    <row r="89" spans="1:26" ht="1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144">
        <f t="shared" si="3"/>
        <v>83</v>
      </c>
      <c r="L89" s="142" t="str">
        <f t="shared" si="4"/>
        <v>1804 SVEUČILIŠTE U ZAGREBU - TEKSTILNO TEHNOLOŠKI FAKULTET</v>
      </c>
      <c r="M89" s="142">
        <v>1804</v>
      </c>
      <c r="N89" s="145" t="s">
        <v>475</v>
      </c>
      <c r="O89" s="146" t="s">
        <v>393</v>
      </c>
      <c r="P89" s="145" t="s">
        <v>476</v>
      </c>
      <c r="Q89" s="145" t="s">
        <v>271</v>
      </c>
      <c r="R89" s="143">
        <v>3207064</v>
      </c>
      <c r="S89" s="139" t="s">
        <v>477</v>
      </c>
      <c r="T89" s="140" t="s">
        <v>45</v>
      </c>
      <c r="U89" s="141" t="s">
        <v>44</v>
      </c>
      <c r="V89" s="84"/>
      <c r="W89" s="84"/>
      <c r="X89" s="84"/>
      <c r="Y89" s="84"/>
      <c r="Z89" s="84"/>
    </row>
    <row r="90" spans="1:26" ht="1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144">
        <f t="shared" si="3"/>
        <v>84</v>
      </c>
      <c r="L90" s="142" t="str">
        <f t="shared" si="4"/>
        <v>1940 SVEUČILIŠTE U ZAGREBU - UČITELJSKI FAKULTET</v>
      </c>
      <c r="M90" s="142">
        <v>1940</v>
      </c>
      <c r="N90" s="145" t="s">
        <v>478</v>
      </c>
      <c r="O90" s="146" t="s">
        <v>393</v>
      </c>
      <c r="P90" s="145" t="s">
        <v>479</v>
      </c>
      <c r="Q90" s="145" t="s">
        <v>271</v>
      </c>
      <c r="R90" s="143">
        <v>1422545</v>
      </c>
      <c r="S90" s="139" t="s">
        <v>480</v>
      </c>
      <c r="T90" s="140" t="s">
        <v>45</v>
      </c>
      <c r="U90" s="141" t="s">
        <v>44</v>
      </c>
      <c r="V90" s="84"/>
      <c r="W90" s="84"/>
      <c r="X90" s="84"/>
      <c r="Y90" s="84"/>
      <c r="Z90" s="84"/>
    </row>
    <row r="91" spans="1:26" ht="1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144">
        <f t="shared" si="3"/>
        <v>85</v>
      </c>
      <c r="L91" s="142" t="str">
        <f t="shared" si="4"/>
        <v>2022 SVEUČILIŠTE U ZAGREBU - VETERINARSKI FAKULTET</v>
      </c>
      <c r="M91" s="142">
        <v>2022</v>
      </c>
      <c r="N91" s="145" t="s">
        <v>481</v>
      </c>
      <c r="O91" s="146" t="s">
        <v>393</v>
      </c>
      <c r="P91" s="145" t="s">
        <v>482</v>
      </c>
      <c r="Q91" s="145" t="s">
        <v>271</v>
      </c>
      <c r="R91" s="143">
        <v>3225755</v>
      </c>
      <c r="S91" s="139" t="s">
        <v>483</v>
      </c>
      <c r="T91" s="140" t="s">
        <v>45</v>
      </c>
      <c r="U91" s="141" t="s">
        <v>44</v>
      </c>
      <c r="V91" s="84"/>
      <c r="W91" s="84"/>
      <c r="X91" s="84"/>
      <c r="Y91" s="84"/>
      <c r="Z91" s="84"/>
    </row>
    <row r="92" spans="1:26" ht="15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144">
        <f t="shared" si="3"/>
        <v>86</v>
      </c>
      <c r="L92" s="142" t="str">
        <f t="shared" si="4"/>
        <v>22427 TEHNIČKO VELEUČILIŠTE U ZAGREBU</v>
      </c>
      <c r="M92" s="142">
        <v>22427</v>
      </c>
      <c r="N92" s="145" t="s">
        <v>492</v>
      </c>
      <c r="O92" s="146" t="s">
        <v>488</v>
      </c>
      <c r="P92" s="145" t="s">
        <v>493</v>
      </c>
      <c r="Q92" s="145" t="s">
        <v>271</v>
      </c>
      <c r="R92" s="143">
        <v>1398270</v>
      </c>
      <c r="S92" s="139" t="s">
        <v>494</v>
      </c>
      <c r="T92" s="140" t="s">
        <v>45</v>
      </c>
      <c r="U92" s="141" t="s">
        <v>44</v>
      </c>
      <c r="V92" s="84"/>
      <c r="W92" s="84"/>
      <c r="X92" s="84"/>
      <c r="Y92" s="84"/>
      <c r="Z92" s="84"/>
    </row>
    <row r="93" spans="1:26" ht="1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144">
        <f t="shared" si="3"/>
        <v>87</v>
      </c>
      <c r="L93" s="142" t="str">
        <f t="shared" si="4"/>
        <v>50848 VELEUČILIŠTE HRVATSKO ZAGORJE KRAPINA</v>
      </c>
      <c r="M93" s="142">
        <v>50848</v>
      </c>
      <c r="N93" s="145" t="s">
        <v>1721</v>
      </c>
      <c r="O93" s="146" t="s">
        <v>488</v>
      </c>
      <c r="P93" s="145" t="s">
        <v>1722</v>
      </c>
      <c r="Q93" s="145" t="s">
        <v>1723</v>
      </c>
      <c r="R93" s="143">
        <v>2271354</v>
      </c>
      <c r="S93" s="139" t="s">
        <v>1724</v>
      </c>
      <c r="T93" s="140" t="s">
        <v>45</v>
      </c>
      <c r="U93" s="141" t="s">
        <v>44</v>
      </c>
      <c r="V93" s="84"/>
      <c r="W93" s="84"/>
      <c r="X93" s="84"/>
      <c r="Y93" s="84"/>
      <c r="Z93" s="84"/>
    </row>
    <row r="94" spans="1:26" ht="1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144">
        <f t="shared" si="3"/>
        <v>88</v>
      </c>
      <c r="L94" s="142" t="str">
        <f t="shared" si="4"/>
        <v>38446 VELEUČILIŠTE LAVOSLAV RUŽIČKA U VUKOVARU</v>
      </c>
      <c r="M94" s="142">
        <v>38446</v>
      </c>
      <c r="N94" s="145" t="s">
        <v>495</v>
      </c>
      <c r="O94" s="146" t="s">
        <v>488</v>
      </c>
      <c r="P94" s="145" t="s">
        <v>496</v>
      </c>
      <c r="Q94" s="145" t="s">
        <v>497</v>
      </c>
      <c r="R94" s="143">
        <v>1970828</v>
      </c>
      <c r="S94" s="139" t="s">
        <v>498</v>
      </c>
      <c r="T94" s="140" t="s">
        <v>45</v>
      </c>
      <c r="U94" s="141" t="s">
        <v>44</v>
      </c>
      <c r="V94" s="84"/>
      <c r="W94" s="84"/>
      <c r="X94" s="84"/>
      <c r="Y94" s="84"/>
      <c r="Z94" s="84"/>
    </row>
    <row r="95" spans="1:26" ht="1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144">
        <f t="shared" si="3"/>
        <v>89</v>
      </c>
      <c r="L95" s="142" t="str">
        <f t="shared" si="4"/>
        <v>38438 VELEUČILIŠTE MARKO MARULIĆ U KNINU</v>
      </c>
      <c r="M95" s="142">
        <v>38438</v>
      </c>
      <c r="N95" s="145" t="s">
        <v>499</v>
      </c>
      <c r="O95" s="146" t="s">
        <v>488</v>
      </c>
      <c r="P95" s="145" t="s">
        <v>500</v>
      </c>
      <c r="Q95" s="145" t="s">
        <v>501</v>
      </c>
      <c r="R95" s="143">
        <v>1963813</v>
      </c>
      <c r="S95" s="139" t="s">
        <v>502</v>
      </c>
      <c r="T95" s="140" t="s">
        <v>45</v>
      </c>
      <c r="U95" s="141" t="s">
        <v>44</v>
      </c>
      <c r="V95" s="84"/>
      <c r="W95" s="84"/>
      <c r="X95" s="84"/>
      <c r="Y95" s="84"/>
      <c r="Z95" s="84"/>
    </row>
    <row r="96" spans="1:26" ht="1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144">
        <f t="shared" si="3"/>
        <v>90</v>
      </c>
      <c r="L96" s="142" t="str">
        <f t="shared" si="4"/>
        <v>41185 VELEUČILIŠTE NIKOLA TESLA U GOSPIĆU</v>
      </c>
      <c r="M96" s="142">
        <v>41185</v>
      </c>
      <c r="N96" s="145" t="s">
        <v>503</v>
      </c>
      <c r="O96" s="146" t="s">
        <v>488</v>
      </c>
      <c r="P96" s="145" t="s">
        <v>504</v>
      </c>
      <c r="Q96" s="145" t="s">
        <v>505</v>
      </c>
      <c r="R96" s="149">
        <v>2103133</v>
      </c>
      <c r="S96" s="139" t="s">
        <v>506</v>
      </c>
      <c r="T96" s="140" t="s">
        <v>45</v>
      </c>
      <c r="U96" s="141" t="s">
        <v>44</v>
      </c>
      <c r="V96" s="84"/>
      <c r="W96" s="84"/>
      <c r="X96" s="84"/>
      <c r="Y96" s="84"/>
      <c r="Z96" s="84"/>
    </row>
    <row r="97" spans="1:26" ht="15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144">
        <f t="shared" si="3"/>
        <v>91</v>
      </c>
      <c r="L97" s="142" t="str">
        <f t="shared" si="4"/>
        <v>21053 VELEUČILIŠTE U KARLOVCU</v>
      </c>
      <c r="M97" s="142">
        <v>21053</v>
      </c>
      <c r="N97" s="145" t="s">
        <v>507</v>
      </c>
      <c r="O97" s="146" t="s">
        <v>488</v>
      </c>
      <c r="P97" s="145" t="s">
        <v>508</v>
      </c>
      <c r="Q97" s="145" t="s">
        <v>509</v>
      </c>
      <c r="R97" s="143">
        <v>1286030</v>
      </c>
      <c r="S97" s="139" t="s">
        <v>510</v>
      </c>
      <c r="T97" s="140" t="s">
        <v>45</v>
      </c>
      <c r="U97" s="141" t="s">
        <v>44</v>
      </c>
      <c r="V97" s="84"/>
      <c r="W97" s="84"/>
      <c r="X97" s="84"/>
      <c r="Y97" s="84"/>
      <c r="Z97" s="84"/>
    </row>
    <row r="98" spans="1:26" ht="15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144">
        <f t="shared" si="3"/>
        <v>92</v>
      </c>
      <c r="L98" s="142" t="str">
        <f t="shared" si="4"/>
        <v>22494 VELEUČILIŠTE U RIJECI</v>
      </c>
      <c r="M98" s="142">
        <v>22494</v>
      </c>
      <c r="N98" s="145" t="s">
        <v>515</v>
      </c>
      <c r="O98" s="146" t="s">
        <v>488</v>
      </c>
      <c r="P98" s="145" t="s">
        <v>516</v>
      </c>
      <c r="Q98" s="145" t="s">
        <v>316</v>
      </c>
      <c r="R98" s="143">
        <v>1387332</v>
      </c>
      <c r="S98" s="139" t="s">
        <v>517</v>
      </c>
      <c r="T98" s="140" t="s">
        <v>45</v>
      </c>
      <c r="U98" s="141" t="s">
        <v>44</v>
      </c>
      <c r="V98" s="84"/>
      <c r="W98" s="84"/>
      <c r="X98" s="84"/>
      <c r="Y98" s="84"/>
      <c r="Z98" s="84"/>
    </row>
    <row r="99" spans="1:26" ht="15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144">
        <f t="shared" si="3"/>
        <v>93</v>
      </c>
      <c r="L99" s="142" t="str">
        <f t="shared" si="4"/>
        <v>22824 VELEUČILIŠTE U ŠIBENIKU</v>
      </c>
      <c r="M99" s="142">
        <v>22824</v>
      </c>
      <c r="N99" s="145" t="s">
        <v>518</v>
      </c>
      <c r="O99" s="146" t="s">
        <v>488</v>
      </c>
      <c r="P99" s="145" t="s">
        <v>519</v>
      </c>
      <c r="Q99" s="145" t="s">
        <v>520</v>
      </c>
      <c r="R99" s="143">
        <v>2100673</v>
      </c>
      <c r="S99" s="139" t="s">
        <v>521</v>
      </c>
      <c r="T99" s="140" t="s">
        <v>45</v>
      </c>
      <c r="U99" s="141" t="s">
        <v>44</v>
      </c>
      <c r="V99" s="84"/>
      <c r="W99" s="84"/>
      <c r="X99" s="84"/>
      <c r="Y99" s="84"/>
      <c r="Z99" s="84"/>
    </row>
    <row r="100" spans="1:26" ht="15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144">
        <f t="shared" si="3"/>
        <v>94</v>
      </c>
      <c r="L100" s="142" t="str">
        <f t="shared" si="4"/>
        <v>42993 VELEUČILIŠTE U VIROVITICI</v>
      </c>
      <c r="M100" s="142">
        <v>42993</v>
      </c>
      <c r="N100" s="145" t="s">
        <v>1767</v>
      </c>
      <c r="O100" s="146" t="s">
        <v>488</v>
      </c>
      <c r="P100" s="145" t="s">
        <v>522</v>
      </c>
      <c r="Q100" s="145" t="s">
        <v>523</v>
      </c>
      <c r="R100" s="143">
        <v>2282208</v>
      </c>
      <c r="S100" s="139" t="s">
        <v>524</v>
      </c>
      <c r="T100" s="140" t="s">
        <v>45</v>
      </c>
      <c r="U100" s="141" t="s">
        <v>44</v>
      </c>
      <c r="V100" s="84"/>
      <c r="W100" s="84"/>
      <c r="X100" s="84"/>
      <c r="Y100" s="84"/>
      <c r="Z100" s="84"/>
    </row>
    <row r="101" spans="1:26" ht="15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144">
        <f t="shared" si="3"/>
        <v>95</v>
      </c>
      <c r="L101" s="142" t="str">
        <f t="shared" si="4"/>
        <v>22371 VISOKO GOSPODARSKO UČILIŠTE U KRIŽEVCIMA</v>
      </c>
      <c r="M101" s="142">
        <v>22371</v>
      </c>
      <c r="N101" s="145" t="s">
        <v>525</v>
      </c>
      <c r="O101" s="146" t="s">
        <v>488</v>
      </c>
      <c r="P101" s="145" t="s">
        <v>526</v>
      </c>
      <c r="Q101" s="145" t="s">
        <v>527</v>
      </c>
      <c r="R101" s="143">
        <v>1411942</v>
      </c>
      <c r="S101" s="139" t="s">
        <v>528</v>
      </c>
      <c r="T101" s="140" t="s">
        <v>45</v>
      </c>
      <c r="U101" s="141" t="s">
        <v>44</v>
      </c>
      <c r="V101" s="84"/>
      <c r="W101" s="84"/>
      <c r="X101" s="84"/>
      <c r="Y101" s="84"/>
      <c r="Z101" s="84"/>
    </row>
    <row r="102" spans="1:26" ht="15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144">
        <f t="shared" si="3"/>
        <v>96</v>
      </c>
      <c r="L102" s="142" t="str">
        <f t="shared" si="4"/>
        <v>22832 ZDRAVSTVENO VELEUČILIŠTE</v>
      </c>
      <c r="M102" s="142">
        <v>22832</v>
      </c>
      <c r="N102" s="145" t="s">
        <v>529</v>
      </c>
      <c r="O102" s="146" t="s">
        <v>488</v>
      </c>
      <c r="P102" s="145" t="s">
        <v>530</v>
      </c>
      <c r="Q102" s="145" t="s">
        <v>271</v>
      </c>
      <c r="R102" s="143">
        <v>1274597</v>
      </c>
      <c r="S102" s="139" t="s">
        <v>531</v>
      </c>
      <c r="T102" s="140" t="s">
        <v>45</v>
      </c>
      <c r="U102" s="141" t="s">
        <v>44</v>
      </c>
      <c r="V102" s="84"/>
      <c r="W102" s="84"/>
      <c r="X102" s="84"/>
      <c r="Y102" s="84"/>
      <c r="Z102" s="84"/>
    </row>
    <row r="103" spans="1:26" ht="15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144">
        <f t="shared" si="3"/>
        <v>97</v>
      </c>
      <c r="L103" s="142" t="str">
        <f t="shared" si="4"/>
        <v>2918 EKONOMSKI INSTITUT ZAGREB</v>
      </c>
      <c r="M103" s="142">
        <v>2918</v>
      </c>
      <c r="N103" s="145" t="s">
        <v>533</v>
      </c>
      <c r="O103" s="146" t="s">
        <v>488</v>
      </c>
      <c r="P103" s="145" t="s">
        <v>534</v>
      </c>
      <c r="Q103" s="145" t="s">
        <v>271</v>
      </c>
      <c r="R103" s="143">
        <v>3219925</v>
      </c>
      <c r="S103" s="139" t="s">
        <v>535</v>
      </c>
      <c r="T103" s="140" t="s">
        <v>650</v>
      </c>
      <c r="U103" s="141" t="s">
        <v>532</v>
      </c>
      <c r="V103" s="84"/>
      <c r="W103" s="84"/>
      <c r="X103" s="84"/>
      <c r="Y103" s="84"/>
      <c r="Z103" s="84"/>
    </row>
    <row r="104" spans="1:26" ht="15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144">
        <f t="shared" si="3"/>
        <v>98</v>
      </c>
      <c r="L104" s="142" t="str">
        <f t="shared" si="4"/>
        <v xml:space="preserve">22525 HRVATSKI GEOLOŠKI INSTITUT </v>
      </c>
      <c r="M104" s="142">
        <v>22525</v>
      </c>
      <c r="N104" s="145" t="s">
        <v>563</v>
      </c>
      <c r="O104" s="146" t="s">
        <v>488</v>
      </c>
      <c r="P104" s="145" t="s">
        <v>564</v>
      </c>
      <c r="Q104" s="145" t="s">
        <v>271</v>
      </c>
      <c r="R104" s="143">
        <v>3219518</v>
      </c>
      <c r="S104" s="139" t="s">
        <v>565</v>
      </c>
      <c r="T104" s="140" t="s">
        <v>650</v>
      </c>
      <c r="U104" s="141" t="s">
        <v>532</v>
      </c>
      <c r="V104" s="84"/>
      <c r="W104" s="84"/>
      <c r="X104" s="84"/>
      <c r="Y104" s="84"/>
      <c r="Z104" s="84"/>
    </row>
    <row r="105" spans="1:26" ht="15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144">
        <f t="shared" si="3"/>
        <v>99</v>
      </c>
      <c r="L105" s="142" t="str">
        <f t="shared" si="4"/>
        <v>2934 HRVATSKI INSTITUT ZA POVIJEST</v>
      </c>
      <c r="M105" s="142">
        <v>2934</v>
      </c>
      <c r="N105" s="145" t="s">
        <v>536</v>
      </c>
      <c r="O105" s="146" t="s">
        <v>488</v>
      </c>
      <c r="P105" s="145" t="s">
        <v>537</v>
      </c>
      <c r="Q105" s="145" t="s">
        <v>271</v>
      </c>
      <c r="R105" s="143">
        <v>3207153</v>
      </c>
      <c r="S105" s="139" t="s">
        <v>538</v>
      </c>
      <c r="T105" s="140" t="s">
        <v>650</v>
      </c>
      <c r="U105" s="141" t="s">
        <v>532</v>
      </c>
      <c r="V105" s="84"/>
      <c r="W105" s="84"/>
      <c r="X105" s="84"/>
      <c r="Y105" s="84"/>
      <c r="Z105" s="84"/>
    </row>
    <row r="106" spans="1:26" ht="15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144">
        <f t="shared" si="3"/>
        <v>100</v>
      </c>
      <c r="L106" s="142" t="str">
        <f t="shared" si="4"/>
        <v>2967 HRVATSKI ŠUMARSKI INSTITUT</v>
      </c>
      <c r="M106" s="142">
        <v>2967</v>
      </c>
      <c r="N106" s="145" t="s">
        <v>598</v>
      </c>
      <c r="O106" s="146" t="s">
        <v>488</v>
      </c>
      <c r="P106" s="145" t="s">
        <v>599</v>
      </c>
      <c r="Q106" s="145" t="s">
        <v>600</v>
      </c>
      <c r="R106" s="143">
        <v>3115879</v>
      </c>
      <c r="S106" s="139" t="s">
        <v>601</v>
      </c>
      <c r="T106" s="140" t="s">
        <v>650</v>
      </c>
      <c r="U106" s="141" t="s">
        <v>532</v>
      </c>
      <c r="V106" s="84"/>
      <c r="W106" s="84"/>
      <c r="X106" s="84"/>
      <c r="Y106" s="84"/>
      <c r="Z106" s="84"/>
    </row>
    <row r="107" spans="1:26" ht="15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144">
        <f t="shared" si="3"/>
        <v>101</v>
      </c>
      <c r="L107" s="142" t="str">
        <f t="shared" si="4"/>
        <v>2983 HRVATSKI VETERINARSKI INSTITUT</v>
      </c>
      <c r="M107" s="142">
        <v>2983</v>
      </c>
      <c r="N107" s="145" t="s">
        <v>539</v>
      </c>
      <c r="O107" s="146" t="s">
        <v>488</v>
      </c>
      <c r="P107" s="145" t="s">
        <v>540</v>
      </c>
      <c r="Q107" s="145" t="s">
        <v>271</v>
      </c>
      <c r="R107" s="143">
        <v>3274098</v>
      </c>
      <c r="S107" s="139" t="s">
        <v>541</v>
      </c>
      <c r="T107" s="140" t="s">
        <v>650</v>
      </c>
      <c r="U107" s="141" t="s">
        <v>532</v>
      </c>
      <c r="V107" s="84"/>
      <c r="W107" s="84"/>
      <c r="X107" s="84"/>
      <c r="Y107" s="84"/>
      <c r="Z107" s="84"/>
    </row>
    <row r="108" spans="1:26" ht="15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144">
        <f t="shared" si="3"/>
        <v>102</v>
      </c>
      <c r="L108" s="142" t="str">
        <f t="shared" si="4"/>
        <v>3105 INSTITUT DRUŠTVENIH ZNANOSTI IVO PILAR</v>
      </c>
      <c r="M108" s="142">
        <v>3105</v>
      </c>
      <c r="N108" s="145" t="s">
        <v>542</v>
      </c>
      <c r="O108" s="146" t="s">
        <v>488</v>
      </c>
      <c r="P108" s="145" t="s">
        <v>543</v>
      </c>
      <c r="Q108" s="145" t="s">
        <v>271</v>
      </c>
      <c r="R108" s="143">
        <v>3793028</v>
      </c>
      <c r="S108" s="139" t="s">
        <v>544</v>
      </c>
      <c r="T108" s="140" t="s">
        <v>650</v>
      </c>
      <c r="U108" s="141" t="s">
        <v>532</v>
      </c>
      <c r="V108" s="84"/>
      <c r="W108" s="84"/>
      <c r="X108" s="84"/>
      <c r="Y108" s="84"/>
      <c r="Z108" s="84"/>
    </row>
    <row r="109" spans="1:26" ht="15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144">
        <f t="shared" si="3"/>
        <v>103</v>
      </c>
      <c r="L109" s="142" t="str">
        <f t="shared" si="4"/>
        <v>3041 INSTITUT RUĐER BOŠKOVIĆ</v>
      </c>
      <c r="M109" s="142">
        <v>3041</v>
      </c>
      <c r="N109" s="145" t="s">
        <v>545</v>
      </c>
      <c r="O109" s="146" t="s">
        <v>488</v>
      </c>
      <c r="P109" s="145" t="s">
        <v>546</v>
      </c>
      <c r="Q109" s="145" t="s">
        <v>271</v>
      </c>
      <c r="R109" s="143">
        <v>3270289</v>
      </c>
      <c r="S109" s="139" t="s">
        <v>547</v>
      </c>
      <c r="T109" s="140" t="s">
        <v>650</v>
      </c>
      <c r="U109" s="141" t="s">
        <v>532</v>
      </c>
      <c r="V109" s="84"/>
      <c r="W109" s="84"/>
      <c r="X109" s="84"/>
      <c r="Y109" s="84"/>
      <c r="Z109" s="84"/>
    </row>
    <row r="110" spans="1:26" ht="15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144">
        <f t="shared" si="3"/>
        <v>104</v>
      </c>
      <c r="L110" s="142" t="str">
        <f t="shared" si="4"/>
        <v>3113 INSTITUT ZA ANTROPOLOGIJU</v>
      </c>
      <c r="M110" s="142">
        <v>3113</v>
      </c>
      <c r="N110" s="145" t="s">
        <v>548</v>
      </c>
      <c r="O110" s="146" t="s">
        <v>488</v>
      </c>
      <c r="P110" s="145" t="s">
        <v>549</v>
      </c>
      <c r="Q110" s="145" t="s">
        <v>271</v>
      </c>
      <c r="R110" s="143">
        <v>3817121</v>
      </c>
      <c r="S110" s="139" t="s">
        <v>550</v>
      </c>
      <c r="T110" s="140" t="s">
        <v>650</v>
      </c>
      <c r="U110" s="141" t="s">
        <v>532</v>
      </c>
      <c r="V110" s="84"/>
      <c r="W110" s="84"/>
      <c r="X110" s="84"/>
      <c r="Y110" s="84"/>
      <c r="Z110" s="84"/>
    </row>
    <row r="111" spans="1:26" ht="15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144">
        <f t="shared" si="3"/>
        <v>105</v>
      </c>
      <c r="L111" s="142" t="str">
        <f t="shared" si="4"/>
        <v>3121 INSTITUT ZA ARHEOLOGIJU</v>
      </c>
      <c r="M111" s="142">
        <v>3121</v>
      </c>
      <c r="N111" s="145" t="s">
        <v>551</v>
      </c>
      <c r="O111" s="146" t="s">
        <v>488</v>
      </c>
      <c r="P111" s="145" t="s">
        <v>549</v>
      </c>
      <c r="Q111" s="145" t="s">
        <v>271</v>
      </c>
      <c r="R111" s="143">
        <v>3937658</v>
      </c>
      <c r="S111" s="139" t="s">
        <v>552</v>
      </c>
      <c r="T111" s="140" t="s">
        <v>650</v>
      </c>
      <c r="U111" s="141" t="s">
        <v>532</v>
      </c>
      <c r="V111" s="84"/>
      <c r="W111" s="84"/>
      <c r="X111" s="84"/>
      <c r="Y111" s="84"/>
      <c r="Z111" s="84"/>
    </row>
    <row r="112" spans="1:26" ht="1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144">
        <f t="shared" si="3"/>
        <v>106</v>
      </c>
      <c r="L112" s="142" t="str">
        <f t="shared" si="4"/>
        <v>3050 INSTITUT ZA DRUŠTVENA ISTRAŽIVANJA</v>
      </c>
      <c r="M112" s="142">
        <v>3050</v>
      </c>
      <c r="N112" s="145" t="s">
        <v>553</v>
      </c>
      <c r="O112" s="146" t="s">
        <v>488</v>
      </c>
      <c r="P112" s="145" t="s">
        <v>554</v>
      </c>
      <c r="Q112" s="145" t="s">
        <v>271</v>
      </c>
      <c r="R112" s="143">
        <v>3205118</v>
      </c>
      <c r="S112" s="139" t="s">
        <v>555</v>
      </c>
      <c r="T112" s="140" t="s">
        <v>650</v>
      </c>
      <c r="U112" s="141" t="s">
        <v>532</v>
      </c>
      <c r="V112" s="84"/>
      <c r="W112" s="84"/>
      <c r="X112" s="84"/>
      <c r="Y112" s="84"/>
      <c r="Z112" s="84"/>
    </row>
    <row r="113" spans="1:26" ht="1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144">
        <f t="shared" si="3"/>
        <v>107</v>
      </c>
      <c r="L113" s="142" t="str">
        <f t="shared" si="4"/>
        <v>3084 INSTITUT ZA ETNOLOGIJU I FOLKLORISTIKU</v>
      </c>
      <c r="M113" s="142">
        <v>3084</v>
      </c>
      <c r="N113" s="145" t="s">
        <v>556</v>
      </c>
      <c r="O113" s="146" t="s">
        <v>488</v>
      </c>
      <c r="P113" s="145" t="s">
        <v>557</v>
      </c>
      <c r="Q113" s="145" t="s">
        <v>271</v>
      </c>
      <c r="R113" s="143">
        <v>3724042</v>
      </c>
      <c r="S113" s="139" t="s">
        <v>558</v>
      </c>
      <c r="T113" s="140" t="s">
        <v>650</v>
      </c>
      <c r="U113" s="141" t="s">
        <v>532</v>
      </c>
      <c r="V113" s="84"/>
      <c r="W113" s="84"/>
      <c r="X113" s="84"/>
      <c r="Y113" s="84"/>
      <c r="Z113" s="84"/>
    </row>
    <row r="114" spans="1:26" ht="15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144">
        <f t="shared" si="3"/>
        <v>108</v>
      </c>
      <c r="L114" s="142" t="str">
        <f t="shared" si="4"/>
        <v>3092 INSTITUT ZA FILOZOFIJU</v>
      </c>
      <c r="M114" s="142">
        <v>3092</v>
      </c>
      <c r="N114" s="145" t="s">
        <v>559</v>
      </c>
      <c r="O114" s="146" t="s">
        <v>488</v>
      </c>
      <c r="P114" s="145" t="s">
        <v>1725</v>
      </c>
      <c r="Q114" s="145" t="s">
        <v>271</v>
      </c>
      <c r="R114" s="143">
        <v>3772047</v>
      </c>
      <c r="S114" s="139" t="s">
        <v>560</v>
      </c>
      <c r="T114" s="140" t="s">
        <v>650</v>
      </c>
      <c r="U114" s="141" t="s">
        <v>532</v>
      </c>
      <c r="V114" s="84"/>
      <c r="W114" s="84"/>
      <c r="X114" s="84"/>
      <c r="Y114" s="84"/>
      <c r="Z114" s="84"/>
    </row>
    <row r="115" spans="1:26" ht="15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144">
        <f t="shared" si="3"/>
        <v>109</v>
      </c>
      <c r="L115" s="142" t="str">
        <f t="shared" si="4"/>
        <v>2975 INSTITUT ZA FIZIKU</v>
      </c>
      <c r="M115" s="142">
        <v>2975</v>
      </c>
      <c r="N115" s="145" t="s">
        <v>561</v>
      </c>
      <c r="O115" s="146" t="s">
        <v>488</v>
      </c>
      <c r="P115" s="145" t="s">
        <v>546</v>
      </c>
      <c r="Q115" s="145" t="s">
        <v>271</v>
      </c>
      <c r="R115" s="143">
        <v>3270424</v>
      </c>
      <c r="S115" s="139" t="s">
        <v>562</v>
      </c>
      <c r="T115" s="140" t="s">
        <v>650</v>
      </c>
      <c r="U115" s="141" t="s">
        <v>532</v>
      </c>
      <c r="V115" s="84"/>
      <c r="W115" s="84"/>
      <c r="X115" s="84"/>
      <c r="Y115" s="84"/>
      <c r="Z115" s="84"/>
    </row>
    <row r="116" spans="1:26" ht="15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144">
        <f t="shared" si="3"/>
        <v>110</v>
      </c>
      <c r="L116" s="142" t="str">
        <f t="shared" si="4"/>
        <v>21061 INSTITUT ZA HRVATSKI JEZIK I JEZIKOSLOVLJE</v>
      </c>
      <c r="M116" s="142">
        <v>21061</v>
      </c>
      <c r="N116" s="145" t="s">
        <v>566</v>
      </c>
      <c r="O116" s="146" t="s">
        <v>488</v>
      </c>
      <c r="P116" s="145" t="s">
        <v>567</v>
      </c>
      <c r="Q116" s="145" t="s">
        <v>271</v>
      </c>
      <c r="R116" s="143">
        <v>1259571</v>
      </c>
      <c r="S116" s="139" t="s">
        <v>568</v>
      </c>
      <c r="T116" s="140" t="s">
        <v>650</v>
      </c>
      <c r="U116" s="141" t="s">
        <v>532</v>
      </c>
      <c r="V116" s="84"/>
      <c r="W116" s="84"/>
      <c r="X116" s="84"/>
      <c r="Y116" s="84"/>
      <c r="Z116" s="84"/>
    </row>
    <row r="117" spans="1:26" ht="15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144">
        <f t="shared" si="3"/>
        <v>111</v>
      </c>
      <c r="L117" s="142" t="str">
        <f t="shared" si="4"/>
        <v>3025 INSTITUT ZA JADRANSKE KULTURE I MELIORACIJU KRŠA</v>
      </c>
      <c r="M117" s="142">
        <v>3025</v>
      </c>
      <c r="N117" s="145" t="s">
        <v>569</v>
      </c>
      <c r="O117" s="146" t="s">
        <v>488</v>
      </c>
      <c r="P117" s="145" t="s">
        <v>570</v>
      </c>
      <c r="Q117" s="145" t="s">
        <v>356</v>
      </c>
      <c r="R117" s="143">
        <v>3140792</v>
      </c>
      <c r="S117" s="139" t="s">
        <v>571</v>
      </c>
      <c r="T117" s="140" t="s">
        <v>650</v>
      </c>
      <c r="U117" s="141" t="s">
        <v>532</v>
      </c>
      <c r="V117" s="84"/>
      <c r="W117" s="84"/>
      <c r="X117" s="84"/>
      <c r="Y117" s="84"/>
      <c r="Z117" s="84"/>
    </row>
    <row r="118" spans="1:26" ht="15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144">
        <f t="shared" si="3"/>
        <v>112</v>
      </c>
      <c r="L118" s="142" t="str">
        <f t="shared" si="4"/>
        <v>23286 INSTITUT ZA JAVNE FINANCIJE</v>
      </c>
      <c r="M118" s="142">
        <v>23286</v>
      </c>
      <c r="N118" s="145" t="s">
        <v>572</v>
      </c>
      <c r="O118" s="146" t="s">
        <v>488</v>
      </c>
      <c r="P118" s="145" t="s">
        <v>573</v>
      </c>
      <c r="Q118" s="145" t="s">
        <v>271</v>
      </c>
      <c r="R118" s="143">
        <v>3226344</v>
      </c>
      <c r="S118" s="139" t="s">
        <v>574</v>
      </c>
      <c r="T118" s="140" t="s">
        <v>650</v>
      </c>
      <c r="U118" s="141" t="s">
        <v>532</v>
      </c>
      <c r="V118" s="84"/>
      <c r="W118" s="84"/>
      <c r="X118" s="84"/>
      <c r="Y118" s="84"/>
      <c r="Z118" s="84"/>
    </row>
    <row r="119" spans="1:26" ht="15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144">
        <f t="shared" si="3"/>
        <v>113</v>
      </c>
      <c r="L119" s="142" t="str">
        <f t="shared" si="4"/>
        <v>2959 INSTITUT ZA MEDICINSKA ISTRAŽIVANJA I MEDICINU RADA</v>
      </c>
      <c r="M119" s="142">
        <v>2959</v>
      </c>
      <c r="N119" s="145" t="s">
        <v>575</v>
      </c>
      <c r="O119" s="146" t="s">
        <v>488</v>
      </c>
      <c r="P119" s="145" t="s">
        <v>576</v>
      </c>
      <c r="Q119" s="145" t="s">
        <v>271</v>
      </c>
      <c r="R119" s="143">
        <v>3270475</v>
      </c>
      <c r="S119" s="139" t="s">
        <v>577</v>
      </c>
      <c r="T119" s="140" t="s">
        <v>650</v>
      </c>
      <c r="U119" s="141" t="s">
        <v>532</v>
      </c>
      <c r="V119" s="84"/>
      <c r="W119" s="84"/>
      <c r="X119" s="84"/>
      <c r="Y119" s="84"/>
      <c r="Z119" s="84"/>
    </row>
    <row r="120" spans="1:26" ht="15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144">
        <f t="shared" si="3"/>
        <v>114</v>
      </c>
      <c r="L120" s="142" t="str">
        <f t="shared" si="4"/>
        <v>3009 INSTITUT ZA MIGRACIJE I NARODNOSTI</v>
      </c>
      <c r="M120" s="142">
        <v>3009</v>
      </c>
      <c r="N120" s="145" t="s">
        <v>580</v>
      </c>
      <c r="O120" s="146" t="s">
        <v>488</v>
      </c>
      <c r="P120" s="145" t="s">
        <v>581</v>
      </c>
      <c r="Q120" s="145" t="s">
        <v>271</v>
      </c>
      <c r="R120" s="143">
        <v>3287572</v>
      </c>
      <c r="S120" s="139" t="s">
        <v>582</v>
      </c>
      <c r="T120" s="140" t="s">
        <v>650</v>
      </c>
      <c r="U120" s="141" t="s">
        <v>532</v>
      </c>
      <c r="V120" s="84"/>
      <c r="W120" s="84"/>
      <c r="X120" s="84"/>
      <c r="Y120" s="84"/>
      <c r="Z120" s="84"/>
    </row>
    <row r="121" spans="1:26" ht="15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144">
        <f t="shared" si="3"/>
        <v>115</v>
      </c>
      <c r="L121" s="142" t="str">
        <f t="shared" si="4"/>
        <v>2900 INSTITUT ZA OCEANOGRAFIJU I RIBARSTVO</v>
      </c>
      <c r="M121" s="142">
        <v>2900</v>
      </c>
      <c r="N121" s="145" t="s">
        <v>583</v>
      </c>
      <c r="O121" s="146" t="s">
        <v>488</v>
      </c>
      <c r="P121" s="145" t="s">
        <v>1727</v>
      </c>
      <c r="Q121" s="145" t="s">
        <v>356</v>
      </c>
      <c r="R121" s="143">
        <v>3118355</v>
      </c>
      <c r="S121" s="139" t="s">
        <v>584</v>
      </c>
      <c r="T121" s="140" t="s">
        <v>650</v>
      </c>
      <c r="U121" s="141" t="s">
        <v>532</v>
      </c>
      <c r="V121" s="84"/>
      <c r="W121" s="84"/>
      <c r="X121" s="84"/>
      <c r="Y121" s="84"/>
      <c r="Z121" s="84"/>
    </row>
    <row r="122" spans="1:26" ht="15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144">
        <f t="shared" si="3"/>
        <v>116</v>
      </c>
      <c r="L122" s="142" t="str">
        <f t="shared" si="4"/>
        <v>3076 INSTITUT ZA POLJOPRIVREDU I TURIZAM</v>
      </c>
      <c r="M122" s="142">
        <v>3076</v>
      </c>
      <c r="N122" s="145" t="s">
        <v>585</v>
      </c>
      <c r="O122" s="146" t="s">
        <v>488</v>
      </c>
      <c r="P122" s="145" t="s">
        <v>586</v>
      </c>
      <c r="Q122" s="145" t="s">
        <v>587</v>
      </c>
      <c r="R122" s="143">
        <v>3421031</v>
      </c>
      <c r="S122" s="139" t="s">
        <v>588</v>
      </c>
      <c r="T122" s="140" t="s">
        <v>650</v>
      </c>
      <c r="U122" s="141" t="s">
        <v>532</v>
      </c>
      <c r="V122" s="84"/>
      <c r="W122" s="84"/>
      <c r="X122" s="84"/>
      <c r="Y122" s="84"/>
      <c r="Z122" s="84"/>
    </row>
    <row r="123" spans="1:26" ht="15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144">
        <f t="shared" si="3"/>
        <v>117</v>
      </c>
      <c r="L123" s="142" t="str">
        <f t="shared" si="4"/>
        <v>2942 INSTITUT ZA POVIJEST UMJETNOSTI</v>
      </c>
      <c r="M123" s="142">
        <v>2942</v>
      </c>
      <c r="N123" s="145" t="s">
        <v>589</v>
      </c>
      <c r="O123" s="146" t="s">
        <v>488</v>
      </c>
      <c r="P123" s="145" t="s">
        <v>590</v>
      </c>
      <c r="Q123" s="145" t="s">
        <v>271</v>
      </c>
      <c r="R123" s="143">
        <v>1339958</v>
      </c>
      <c r="S123" s="139" t="s">
        <v>591</v>
      </c>
      <c r="T123" s="140" t="s">
        <v>650</v>
      </c>
      <c r="U123" s="141" t="s">
        <v>532</v>
      </c>
      <c r="V123" s="84"/>
      <c r="W123" s="84"/>
      <c r="X123" s="84"/>
      <c r="Y123" s="84"/>
      <c r="Z123" s="84"/>
    </row>
    <row r="124" spans="1:26" ht="15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144">
        <f t="shared" si="3"/>
        <v>118</v>
      </c>
      <c r="L124" s="142" t="str">
        <f t="shared" si="4"/>
        <v>22621 INSTITUT ZA RAZVOJ I MEĐUNARODNE ODNOSE</v>
      </c>
      <c r="M124" s="142">
        <v>22621</v>
      </c>
      <c r="N124" s="145" t="s">
        <v>578</v>
      </c>
      <c r="O124" s="146" t="s">
        <v>488</v>
      </c>
      <c r="P124" s="145" t="s">
        <v>1726</v>
      </c>
      <c r="Q124" s="145" t="s">
        <v>271</v>
      </c>
      <c r="R124" s="143">
        <v>3205177</v>
      </c>
      <c r="S124" s="139" t="s">
        <v>579</v>
      </c>
      <c r="T124" s="140" t="s">
        <v>650</v>
      </c>
      <c r="U124" s="141" t="s">
        <v>532</v>
      </c>
      <c r="V124" s="84"/>
      <c r="W124" s="84"/>
      <c r="X124" s="84"/>
      <c r="Y124" s="84"/>
      <c r="Z124" s="84"/>
    </row>
    <row r="125" spans="1:26" ht="15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144">
        <f t="shared" si="3"/>
        <v>119</v>
      </c>
      <c r="L125" s="142" t="str">
        <f t="shared" si="4"/>
        <v>3068 INSTITUT ZA TURIZAM</v>
      </c>
      <c r="M125" s="142">
        <v>3068</v>
      </c>
      <c r="N125" s="145" t="s">
        <v>592</v>
      </c>
      <c r="O125" s="146" t="s">
        <v>488</v>
      </c>
      <c r="P125" s="145" t="s">
        <v>593</v>
      </c>
      <c r="Q125" s="145" t="s">
        <v>271</v>
      </c>
      <c r="R125" s="143">
        <v>3208001</v>
      </c>
      <c r="S125" s="139" t="s">
        <v>594</v>
      </c>
      <c r="T125" s="140" t="s">
        <v>650</v>
      </c>
      <c r="U125" s="141" t="s">
        <v>532</v>
      </c>
      <c r="V125" s="84"/>
      <c r="W125" s="84"/>
      <c r="X125" s="84"/>
      <c r="Y125" s="84"/>
      <c r="Z125" s="84"/>
    </row>
    <row r="126" spans="1:26" ht="15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144">
        <f t="shared" si="3"/>
        <v>120</v>
      </c>
      <c r="L126" s="142" t="str">
        <f t="shared" si="4"/>
        <v>2991 POLJOPRIVREDNI INSTITUT OSIJEK</v>
      </c>
      <c r="M126" s="142">
        <v>2991</v>
      </c>
      <c r="N126" s="145" t="s">
        <v>1728</v>
      </c>
      <c r="O126" s="146" t="s">
        <v>488</v>
      </c>
      <c r="P126" s="145" t="s">
        <v>1729</v>
      </c>
      <c r="Q126" s="145" t="s">
        <v>274</v>
      </c>
      <c r="R126" s="143">
        <v>3058239</v>
      </c>
      <c r="S126" s="139" t="s">
        <v>1730</v>
      </c>
      <c r="T126" s="140" t="s">
        <v>650</v>
      </c>
      <c r="U126" s="141" t="s">
        <v>532</v>
      </c>
      <c r="V126" s="84"/>
      <c r="W126" s="84"/>
      <c r="X126" s="84"/>
      <c r="Y126" s="84"/>
      <c r="Z126" s="84"/>
    </row>
    <row r="127" spans="1:26" ht="15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144">
        <f t="shared" si="3"/>
        <v>121</v>
      </c>
      <c r="L127" s="142" t="str">
        <f t="shared" si="4"/>
        <v>21070 STAROSLAVENSKI INSTITUT</v>
      </c>
      <c r="M127" s="142">
        <v>21070</v>
      </c>
      <c r="N127" s="145" t="s">
        <v>595</v>
      </c>
      <c r="O127" s="146" t="s">
        <v>488</v>
      </c>
      <c r="P127" s="145" t="s">
        <v>596</v>
      </c>
      <c r="Q127" s="145" t="s">
        <v>271</v>
      </c>
      <c r="R127" s="143">
        <v>1259563</v>
      </c>
      <c r="S127" s="139" t="s">
        <v>597</v>
      </c>
      <c r="T127" s="140" t="s">
        <v>650</v>
      </c>
      <c r="U127" s="141" t="s">
        <v>532</v>
      </c>
      <c r="V127" s="84"/>
      <c r="W127" s="84"/>
      <c r="X127" s="84"/>
      <c r="Y127" s="84"/>
      <c r="Z127" s="84"/>
    </row>
    <row r="128" spans="1:26" ht="15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144">
        <f t="shared" si="3"/>
        <v>122</v>
      </c>
      <c r="L128" s="142" t="str">
        <f t="shared" si="4"/>
        <v>6179 DRŽAVNI ZAVOD ZA INTELEKTUALNO VLASNIŠTVO</v>
      </c>
      <c r="M128" s="142">
        <v>6179</v>
      </c>
      <c r="N128" s="145" t="s">
        <v>603</v>
      </c>
      <c r="O128" s="146" t="s">
        <v>488</v>
      </c>
      <c r="P128" s="151" t="s">
        <v>604</v>
      </c>
      <c r="Q128" s="145" t="s">
        <v>271</v>
      </c>
      <c r="R128" s="143">
        <v>3899772</v>
      </c>
      <c r="S128" s="139" t="s">
        <v>605</v>
      </c>
      <c r="T128" s="140" t="s">
        <v>1731</v>
      </c>
      <c r="U128" s="141" t="s">
        <v>960</v>
      </c>
      <c r="V128" s="84"/>
      <c r="W128" s="84"/>
      <c r="X128" s="84"/>
      <c r="Y128" s="84"/>
      <c r="Z128" s="84"/>
    </row>
    <row r="129" spans="1:26" ht="15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144">
        <f t="shared" si="3"/>
        <v>123</v>
      </c>
      <c r="L129" s="142" t="str">
        <f t="shared" si="4"/>
        <v>43335 AGENCIJA ZA MOBILNOST I PROGRAME EUROPSKE UNIJE</v>
      </c>
      <c r="M129" s="142">
        <v>43335</v>
      </c>
      <c r="N129" s="145" t="s">
        <v>624</v>
      </c>
      <c r="O129" s="146" t="s">
        <v>488</v>
      </c>
      <c r="P129" s="151" t="s">
        <v>613</v>
      </c>
      <c r="Q129" s="145" t="s">
        <v>271</v>
      </c>
      <c r="R129" s="143">
        <v>2298007</v>
      </c>
      <c r="S129" s="139" t="s">
        <v>625</v>
      </c>
      <c r="T129" s="140" t="s">
        <v>629</v>
      </c>
      <c r="U129" s="141" t="s">
        <v>602</v>
      </c>
      <c r="V129" s="84"/>
      <c r="W129" s="84"/>
      <c r="X129" s="84"/>
      <c r="Y129" s="84"/>
      <c r="Z129" s="84"/>
    </row>
    <row r="130" spans="1:26" ht="15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144">
        <f t="shared" si="3"/>
        <v>124</v>
      </c>
      <c r="L130" s="142" t="str">
        <f t="shared" si="4"/>
        <v>23962 AGENCIJA ZA ODGOJ I OBRAZOVANJE</v>
      </c>
      <c r="M130" s="142">
        <v>23962</v>
      </c>
      <c r="N130" s="145" t="s">
        <v>617</v>
      </c>
      <c r="O130" s="146" t="s">
        <v>488</v>
      </c>
      <c r="P130" s="151" t="s">
        <v>270</v>
      </c>
      <c r="Q130" s="145" t="s">
        <v>271</v>
      </c>
      <c r="R130" s="143">
        <v>1778129</v>
      </c>
      <c r="S130" s="139" t="s">
        <v>618</v>
      </c>
      <c r="T130" s="140" t="s">
        <v>629</v>
      </c>
      <c r="U130" s="141" t="s">
        <v>602</v>
      </c>
      <c r="V130" s="84"/>
      <c r="W130" s="84"/>
      <c r="X130" s="84"/>
      <c r="Y130" s="84"/>
      <c r="Z130" s="84"/>
    </row>
    <row r="131" spans="1:26" ht="15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144">
        <f t="shared" si="3"/>
        <v>125</v>
      </c>
      <c r="L131" s="142" t="str">
        <f t="shared" si="4"/>
        <v>46173 AGENCIJA ZA STRUKOVNO OBRAZOVANJE I OBRAZOVANJE ODRASLIH</v>
      </c>
      <c r="M131" s="142">
        <v>46173</v>
      </c>
      <c r="N131" s="145" t="s">
        <v>626</v>
      </c>
      <c r="O131" s="146" t="s">
        <v>488</v>
      </c>
      <c r="P131" s="151" t="s">
        <v>1768</v>
      </c>
      <c r="Q131" s="145" t="s">
        <v>271</v>
      </c>
      <c r="R131" s="143">
        <v>2650029</v>
      </c>
      <c r="S131" s="139" t="s">
        <v>627</v>
      </c>
      <c r="T131" s="140" t="s">
        <v>629</v>
      </c>
      <c r="U131" s="141" t="s">
        <v>602</v>
      </c>
      <c r="V131" s="84"/>
      <c r="W131" s="84"/>
      <c r="X131" s="84"/>
      <c r="Y131" s="84"/>
      <c r="Z131" s="84"/>
    </row>
    <row r="132" spans="1:26" ht="15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144">
        <f t="shared" si="3"/>
        <v>126</v>
      </c>
      <c r="L132" s="142" t="str">
        <f t="shared" si="4"/>
        <v>38487 AGENCIJA ZA ZNANOST I VISOKO OBRAZOVANJE</v>
      </c>
      <c r="M132" s="142">
        <v>38487</v>
      </c>
      <c r="N132" s="145" t="s">
        <v>619</v>
      </c>
      <c r="O132" s="146" t="s">
        <v>488</v>
      </c>
      <c r="P132" s="145" t="s">
        <v>620</v>
      </c>
      <c r="Q132" s="145" t="s">
        <v>271</v>
      </c>
      <c r="R132" s="143">
        <v>1922548</v>
      </c>
      <c r="S132" s="139" t="s">
        <v>621</v>
      </c>
      <c r="T132" s="140" t="s">
        <v>629</v>
      </c>
      <c r="U132" s="141" t="s">
        <v>602</v>
      </c>
      <c r="V132" s="84"/>
      <c r="W132" s="84"/>
      <c r="X132" s="84"/>
      <c r="Y132" s="84"/>
      <c r="Z132" s="84"/>
    </row>
    <row r="133" spans="1:26" ht="15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144">
        <f t="shared" si="3"/>
        <v>127</v>
      </c>
      <c r="L133" s="142" t="str">
        <f t="shared" si="4"/>
        <v>21852 HRVATSKA AKADEMSKA I ISTRAŽIVAČKA MREŽA - CARNET</v>
      </c>
      <c r="M133" s="142">
        <v>21852</v>
      </c>
      <c r="N133" s="145" t="s">
        <v>609</v>
      </c>
      <c r="O133" s="146" t="s">
        <v>488</v>
      </c>
      <c r="P133" s="151" t="s">
        <v>610</v>
      </c>
      <c r="Q133" s="145" t="s">
        <v>271</v>
      </c>
      <c r="R133" s="143">
        <v>1147820</v>
      </c>
      <c r="S133" s="139" t="s">
        <v>611</v>
      </c>
      <c r="T133" s="140" t="s">
        <v>629</v>
      </c>
      <c r="U133" s="141" t="s">
        <v>602</v>
      </c>
      <c r="V133" s="84"/>
      <c r="W133" s="84"/>
      <c r="X133" s="84"/>
      <c r="Y133" s="84"/>
      <c r="Z133" s="84"/>
    </row>
    <row r="134" spans="1:26" ht="15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144">
        <f t="shared" si="3"/>
        <v>128</v>
      </c>
      <c r="L134" s="142" t="str">
        <f t="shared" si="4"/>
        <v>52209 HRVATSKA ZAKLADA ZA ZNANOST</v>
      </c>
      <c r="M134" s="142">
        <v>52209</v>
      </c>
      <c r="N134" s="145" t="s">
        <v>3525</v>
      </c>
      <c r="O134" s="146" t="s">
        <v>488</v>
      </c>
      <c r="P134" s="151" t="s">
        <v>3526</v>
      </c>
      <c r="Q134" s="145" t="s">
        <v>271</v>
      </c>
      <c r="R134" s="143">
        <v>1626841</v>
      </c>
      <c r="S134" s="139">
        <v>88776522763</v>
      </c>
      <c r="T134" s="140" t="s">
        <v>629</v>
      </c>
      <c r="U134" s="141" t="s">
        <v>3527</v>
      </c>
      <c r="V134" s="84"/>
      <c r="W134" s="84"/>
      <c r="X134" s="84"/>
      <c r="Y134" s="84"/>
      <c r="Z134" s="84"/>
    </row>
    <row r="135" spans="1:26" ht="15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144">
        <f t="shared" si="3"/>
        <v>129</v>
      </c>
      <c r="L135" s="142" t="str">
        <f t="shared" si="4"/>
        <v>21869 LEKSIKOGRAFSKI ZAVOD MIROSLAV KRLEŽA</v>
      </c>
      <c r="M135" s="142">
        <v>21869</v>
      </c>
      <c r="N135" s="145" t="s">
        <v>612</v>
      </c>
      <c r="O135" s="146" t="s">
        <v>488</v>
      </c>
      <c r="P135" s="151" t="s">
        <v>613</v>
      </c>
      <c r="Q135" s="145" t="s">
        <v>271</v>
      </c>
      <c r="R135" s="143">
        <v>3211622</v>
      </c>
      <c r="S135" s="139" t="s">
        <v>614</v>
      </c>
      <c r="T135" s="140" t="s">
        <v>629</v>
      </c>
      <c r="U135" s="141" t="s">
        <v>602</v>
      </c>
      <c r="V135" s="84"/>
      <c r="W135" s="84"/>
      <c r="X135" s="84"/>
      <c r="Y135" s="84"/>
      <c r="Z135" s="84"/>
    </row>
    <row r="136" spans="1:26" ht="15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144">
        <f t="shared" ref="K136:K138" si="5">+K135+1</f>
        <v>130</v>
      </c>
      <c r="L136" s="142" t="str">
        <f t="shared" ref="L136:L138" si="6">M136&amp;" "&amp;N136</f>
        <v>21836 NACIONALNA I SVEUČILIŠNA KNJIŽNICA U ZAGREBU</v>
      </c>
      <c r="M136" s="142">
        <v>21836</v>
      </c>
      <c r="N136" s="145" t="s">
        <v>606</v>
      </c>
      <c r="O136" s="146" t="s">
        <v>488</v>
      </c>
      <c r="P136" s="151" t="s">
        <v>607</v>
      </c>
      <c r="Q136" s="145" t="s">
        <v>271</v>
      </c>
      <c r="R136" s="143">
        <v>3205363</v>
      </c>
      <c r="S136" s="139" t="s">
        <v>608</v>
      </c>
      <c r="T136" s="140" t="s">
        <v>629</v>
      </c>
      <c r="U136" s="141" t="s">
        <v>602</v>
      </c>
      <c r="V136" s="84"/>
      <c r="W136" s="84"/>
      <c r="X136" s="84"/>
      <c r="Y136" s="84"/>
      <c r="Z136" s="84"/>
    </row>
    <row r="137" spans="1:26" ht="15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144">
        <f t="shared" si="5"/>
        <v>131</v>
      </c>
      <c r="L137" s="142" t="str">
        <f t="shared" si="6"/>
        <v>40883 NACIONALNI CENTAR ZA VANJSKO VREDNOVANJE OBRAZOVANJA</v>
      </c>
      <c r="M137" s="142">
        <v>40883</v>
      </c>
      <c r="N137" s="145" t="s">
        <v>622</v>
      </c>
      <c r="O137" s="146" t="s">
        <v>488</v>
      </c>
      <c r="P137" s="151" t="s">
        <v>1769</v>
      </c>
      <c r="Q137" s="145" t="s">
        <v>1770</v>
      </c>
      <c r="R137" s="143">
        <v>1943430</v>
      </c>
      <c r="S137" s="139" t="s">
        <v>623</v>
      </c>
      <c r="T137" s="140" t="s">
        <v>629</v>
      </c>
      <c r="U137" s="141" t="s">
        <v>602</v>
      </c>
      <c r="V137" s="84"/>
      <c r="W137" s="84"/>
      <c r="X137" s="84"/>
      <c r="Y137" s="84"/>
      <c r="Z137" s="84"/>
    </row>
    <row r="138" spans="1:26" ht="15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144">
        <f t="shared" si="5"/>
        <v>132</v>
      </c>
      <c r="L138" s="142" t="str">
        <f t="shared" si="6"/>
        <v>23665 SVEUČILIŠTE U ZAGREBU - SVEUČILIŠNI RAČUNSKI CENTAR - SRCE</v>
      </c>
      <c r="M138" s="142">
        <v>23665</v>
      </c>
      <c r="N138" s="145" t="s">
        <v>615</v>
      </c>
      <c r="O138" s="146" t="s">
        <v>488</v>
      </c>
      <c r="P138" s="151" t="s">
        <v>610</v>
      </c>
      <c r="Q138" s="145" t="s">
        <v>271</v>
      </c>
      <c r="R138" s="143">
        <v>3283020</v>
      </c>
      <c r="S138" s="139" t="s">
        <v>616</v>
      </c>
      <c r="T138" s="140" t="s">
        <v>629</v>
      </c>
      <c r="U138" s="141" t="s">
        <v>602</v>
      </c>
      <c r="V138" s="84"/>
      <c r="W138" s="84"/>
      <c r="X138" s="84"/>
      <c r="Y138" s="84"/>
      <c r="Z138" s="84"/>
    </row>
    <row r="139" spans="1:26" ht="15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15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ht="15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ht="15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ht="15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ht="15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spans="1:26" ht="15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15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ht="15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spans="1:26" ht="15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 ht="15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 ht="15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 ht="15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ht="15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spans="1:26" ht="15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ht="1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15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spans="1:26" ht="15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15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 ht="15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spans="1:26" ht="15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spans="1:26" ht="15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spans="1:26" ht="15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spans="1:26" ht="1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spans="1:26" ht="15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spans="1:26" ht="15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spans="1:26" ht="1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spans="1:26" ht="15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t="15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 ht="15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 ht="15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 ht="15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</row>
    <row r="171" spans="1:26" ht="15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</row>
    <row r="172" spans="1:26" ht="15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</row>
    <row r="173" spans="1:26" ht="15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</row>
    <row r="174" spans="1:26" ht="15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spans="1:26" ht="1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spans="1:26" ht="15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</row>
    <row r="177" spans="1:26" ht="15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spans="1:26" ht="15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spans="1:26" ht="15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</row>
    <row r="180" spans="1:26" ht="15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</row>
    <row r="181" spans="1:26" ht="15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</row>
    <row r="182" spans="1:26" ht="15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spans="1:26" ht="15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spans="1:26" ht="15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spans="1:26" ht="15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 ht="15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 ht="15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 ht="15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 ht="15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 ht="15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spans="1:26" ht="15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 ht="15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spans="1:26" ht="15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spans="1:26" ht="15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spans="1:26" ht="15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spans="1:26" ht="15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spans="1:26" ht="15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spans="1:26" ht="15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spans="1:26" ht="15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spans="1:26" ht="15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ht="15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ht="15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spans="1:26" ht="15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26" ht="15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spans="1:26" ht="15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spans="1:26" ht="15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ht="15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spans="1:26" ht="15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spans="1:26" ht="15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ht="15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15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spans="1:26" ht="1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spans="1:26" ht="1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spans="1:26" ht="15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spans="1:26" ht="15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spans="1:26" ht="15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spans="1:26" ht="15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spans="1:26" ht="15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spans="1:26" ht="15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spans="1:26" ht="15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spans="1:26" ht="15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spans="1:26" ht="15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ht="15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spans="1:26" ht="15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</row>
    <row r="225" spans="1:26" ht="15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spans="1:26" ht="15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</row>
    <row r="227" spans="1:26" ht="15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</row>
    <row r="228" spans="1:26" ht="15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</row>
    <row r="229" spans="1:26" ht="15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</row>
    <row r="230" spans="1:26" ht="15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</row>
    <row r="231" spans="1:26" ht="15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</row>
    <row r="232" spans="1:26" ht="15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</row>
    <row r="233" spans="1:26" ht="15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</row>
    <row r="234" spans="1:26" ht="15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spans="1:26" ht="15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spans="1:26" ht="15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spans="1:26" ht="15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spans="1:26" ht="15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spans="1:26" ht="15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spans="1:26" ht="15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spans="1:26" ht="15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spans="1:26" ht="15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spans="1:26" ht="15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spans="1:26" ht="15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spans="1:26" ht="15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spans="1:26" ht="15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spans="1:26" ht="15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spans="1:26" ht="15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spans="1:26" ht="15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spans="1:26" ht="15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spans="1:26" ht="15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spans="1:26" ht="15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spans="1:26" ht="15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spans="1:26" ht="15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spans="1:26" ht="15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spans="1:26" ht="15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spans="1:26" ht="15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spans="1:26" ht="15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spans="1:26" ht="15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spans="1:26" ht="15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spans="1:26" ht="15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spans="1:26" ht="15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spans="1:26" ht="15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spans="1:26" ht="15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spans="1:26" ht="15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spans="1:26" ht="15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spans="1:26" ht="15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</row>
    <row r="268" spans="1:26" ht="15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</row>
    <row r="269" spans="1:26" ht="15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</row>
    <row r="270" spans="1:26" ht="15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</row>
    <row r="271" spans="1:26" ht="15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</row>
    <row r="272" spans="1:26" ht="15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</row>
    <row r="273" spans="1:26" ht="15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</row>
    <row r="274" spans="1:26" ht="15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</row>
    <row r="275" spans="1:26" ht="15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</row>
    <row r="276" spans="1:26" ht="15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</row>
    <row r="277" spans="1:26" ht="15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</row>
    <row r="278" spans="1:26" ht="15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</row>
    <row r="279" spans="1:26" ht="15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</row>
    <row r="280" spans="1:26" ht="15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</row>
    <row r="281" spans="1:26" ht="15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</row>
    <row r="282" spans="1:26" ht="15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</row>
    <row r="283" spans="1:26" ht="15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</row>
    <row r="284" spans="1:26" ht="15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</row>
    <row r="285" spans="1:26" ht="15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</row>
    <row r="286" spans="1:26" ht="15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</row>
    <row r="287" spans="1:26" ht="15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</row>
    <row r="288" spans="1:26" ht="15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</row>
    <row r="289" spans="1:26" ht="15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</row>
    <row r="290" spans="1:26" ht="15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</row>
    <row r="291" spans="1:26" ht="15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</row>
    <row r="292" spans="1:26" ht="15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</row>
    <row r="293" spans="1:26" ht="15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</row>
    <row r="294" spans="1:26" ht="15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</row>
    <row r="295" spans="1:26" ht="15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</row>
    <row r="296" spans="1:26" ht="15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</row>
    <row r="297" spans="1:26" ht="15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</row>
    <row r="298" spans="1:26" ht="15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</row>
    <row r="299" spans="1:26" ht="15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</row>
    <row r="300" spans="1:26" ht="15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</row>
    <row r="301" spans="1:26" ht="15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</row>
    <row r="302" spans="1:26" ht="15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</row>
    <row r="303" spans="1:26" ht="15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</row>
    <row r="304" spans="1:26" ht="15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</row>
    <row r="305" spans="1:26" ht="15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</row>
    <row r="306" spans="1:26" ht="15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</row>
    <row r="307" spans="1:26" ht="15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</row>
    <row r="308" spans="1:26" ht="15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</row>
    <row r="309" spans="1:26" ht="15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</row>
    <row r="310" spans="1:26" ht="15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</row>
    <row r="311" spans="1:26" ht="15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</row>
    <row r="312" spans="1:26" ht="15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</row>
    <row r="313" spans="1:26" ht="15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</row>
    <row r="314" spans="1:26" ht="15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spans="1:26" ht="15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</row>
    <row r="316" spans="1:26" ht="15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</row>
    <row r="317" spans="1:26" ht="15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</row>
    <row r="318" spans="1:26" ht="15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spans="1:26" ht="15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</row>
    <row r="320" spans="1:26" ht="15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</row>
    <row r="321" spans="1:26" ht="15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</row>
    <row r="322" spans="1:26" ht="15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</row>
    <row r="323" spans="1:26" ht="15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</row>
    <row r="324" spans="1:26" ht="15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</row>
    <row r="325" spans="1:26" ht="15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</row>
    <row r="326" spans="1:26" ht="15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</row>
    <row r="327" spans="1:26" ht="15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</row>
    <row r="328" spans="1:26" ht="15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</row>
    <row r="329" spans="1:26" ht="15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</row>
    <row r="330" spans="1:26" ht="15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</row>
    <row r="331" spans="1:26" ht="15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</row>
    <row r="332" spans="1:26" ht="15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</row>
    <row r="333" spans="1:26" ht="15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</row>
    <row r="334" spans="1:26" ht="15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</row>
    <row r="335" spans="1:26" ht="15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</row>
    <row r="336" spans="1:26" ht="15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</row>
    <row r="337" spans="1:26" ht="15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</row>
    <row r="338" spans="1:26" ht="15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</row>
    <row r="339" spans="1:26" ht="15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</row>
    <row r="340" spans="1:26" ht="15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</row>
    <row r="341" spans="1:26" ht="15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</row>
    <row r="342" spans="1:26" ht="15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</row>
    <row r="343" spans="1:26" ht="15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</row>
    <row r="344" spans="1:26" ht="15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</row>
    <row r="345" spans="1:26" ht="15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</row>
    <row r="346" spans="1:26" ht="15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</row>
    <row r="347" spans="1:26" ht="15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</row>
    <row r="348" spans="1:26" ht="15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</row>
    <row r="349" spans="1:26" ht="15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</row>
    <row r="350" spans="1:26" ht="15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</row>
    <row r="351" spans="1:26" ht="15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</row>
    <row r="352" spans="1:26" ht="15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</row>
    <row r="353" spans="1:26" ht="15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</row>
    <row r="354" spans="1:26" ht="15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</row>
    <row r="355" spans="1:26" ht="15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</row>
    <row r="356" spans="1:26" ht="15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</row>
    <row r="357" spans="1:26" ht="15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</row>
    <row r="358" spans="1:26" ht="15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</row>
    <row r="359" spans="1:26" ht="15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</row>
    <row r="360" spans="1:26" ht="15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</row>
    <row r="361" spans="1:26" ht="15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</row>
    <row r="362" spans="1:26" ht="15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</row>
    <row r="363" spans="1:26" ht="15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</row>
    <row r="364" spans="1:26" ht="15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</row>
    <row r="365" spans="1:26" ht="15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</row>
    <row r="366" spans="1:26" ht="15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</row>
    <row r="367" spans="1:26" ht="15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</row>
    <row r="368" spans="1:26" ht="15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</row>
    <row r="369" spans="1:26" ht="15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</row>
    <row r="370" spans="1:26" ht="15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</row>
    <row r="371" spans="1:26" ht="15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</row>
    <row r="372" spans="1:26" ht="15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</row>
    <row r="373" spans="1:26" ht="15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</row>
    <row r="374" spans="1:26" ht="15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</row>
    <row r="375" spans="1:26" ht="15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</row>
    <row r="376" spans="1:26" ht="15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</row>
    <row r="377" spans="1:26" ht="15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</row>
    <row r="378" spans="1:26" ht="15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</row>
    <row r="379" spans="1:26" ht="15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</row>
    <row r="380" spans="1:26" ht="15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</row>
    <row r="381" spans="1:26" ht="15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</row>
    <row r="382" spans="1:26" ht="15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</row>
    <row r="383" spans="1:26" ht="15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</row>
    <row r="384" spans="1:26" ht="15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</row>
    <row r="385" spans="1:26" ht="15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</row>
    <row r="386" spans="1:26" ht="15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</row>
    <row r="387" spans="1:26" ht="15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</row>
    <row r="388" spans="1:26" ht="15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</row>
    <row r="389" spans="1:26" ht="15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</row>
    <row r="390" spans="1:26" ht="15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</row>
    <row r="391" spans="1:26" ht="15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</row>
    <row r="392" spans="1:26" ht="15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</row>
    <row r="393" spans="1:26" ht="15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</row>
    <row r="394" spans="1:26" ht="15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</row>
    <row r="395" spans="1:26" ht="15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</row>
    <row r="396" spans="1:26" ht="15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</row>
    <row r="397" spans="1:26" ht="15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</row>
    <row r="398" spans="1:26" ht="15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</row>
    <row r="399" spans="1:26" ht="15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</row>
    <row r="400" spans="1:26" ht="15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</row>
    <row r="401" spans="1:26" ht="15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</row>
    <row r="402" spans="1:26" ht="15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</row>
    <row r="403" spans="1:26" ht="15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</row>
    <row r="404" spans="1:26" ht="15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</row>
    <row r="405" spans="1:26" ht="15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</row>
    <row r="406" spans="1:26" ht="15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</row>
    <row r="407" spans="1:26" ht="15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</row>
    <row r="408" spans="1:26" ht="15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</row>
    <row r="409" spans="1:26" ht="15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</row>
    <row r="410" spans="1:26" ht="15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</row>
    <row r="411" spans="1:26" ht="15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</row>
    <row r="412" spans="1:26" ht="15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</row>
    <row r="413" spans="1:26" ht="15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</row>
    <row r="414" spans="1:26" ht="15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</row>
    <row r="415" spans="1:26" ht="15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</row>
    <row r="416" spans="1:26" ht="15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</row>
    <row r="417" spans="1:26" ht="15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</row>
    <row r="418" spans="1:26" ht="15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</row>
    <row r="419" spans="1:26" ht="15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</row>
    <row r="420" spans="1:26" ht="15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</row>
    <row r="421" spans="1:26" ht="15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</row>
    <row r="422" spans="1:26" ht="15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</row>
    <row r="423" spans="1:26" ht="15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</row>
    <row r="424" spans="1:26" ht="15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spans="1:26" ht="15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spans="1:26" ht="15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</row>
    <row r="427" spans="1:26" ht="15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</row>
    <row r="428" spans="1:26" ht="15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</row>
    <row r="429" spans="1:26" ht="15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</row>
    <row r="430" spans="1:26" ht="15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</row>
    <row r="431" spans="1:26" ht="15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</row>
    <row r="432" spans="1:26" ht="15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</row>
    <row r="433" spans="1:26" ht="15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</row>
    <row r="434" spans="1:26" ht="15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</row>
    <row r="435" spans="1:26" ht="15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</row>
    <row r="436" spans="1:26" ht="15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</row>
    <row r="437" spans="1:26" ht="15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</row>
    <row r="438" spans="1:26" ht="15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</row>
    <row r="439" spans="1:26" ht="15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</row>
    <row r="440" spans="1:26" ht="15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</row>
    <row r="441" spans="1:26" ht="15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</row>
    <row r="442" spans="1:26" ht="15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</row>
    <row r="443" spans="1:26" ht="15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</row>
    <row r="444" spans="1:26" ht="15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</row>
    <row r="445" spans="1:26" ht="15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</row>
    <row r="446" spans="1:26" ht="15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</row>
    <row r="447" spans="1:26" ht="15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</row>
    <row r="448" spans="1:26" ht="15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</row>
    <row r="449" spans="1:26" ht="15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</row>
    <row r="450" spans="1:26" ht="15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</row>
    <row r="451" spans="1:26" ht="15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</row>
    <row r="452" spans="1:26" ht="15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</row>
    <row r="453" spans="1:26" ht="15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</row>
    <row r="454" spans="1:26" ht="15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</row>
    <row r="455" spans="1:26" ht="15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</row>
    <row r="456" spans="1:26" ht="15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</row>
    <row r="457" spans="1:26" ht="15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</row>
    <row r="458" spans="1:26" ht="15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</row>
    <row r="459" spans="1:26" ht="15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</row>
    <row r="460" spans="1:26" ht="15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</row>
    <row r="461" spans="1:26" ht="15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</row>
    <row r="462" spans="1:26" ht="15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</row>
    <row r="463" spans="1:26" ht="15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</row>
    <row r="464" spans="1:26" ht="15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</row>
    <row r="465" spans="1:26" ht="15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</row>
    <row r="466" spans="1:26" ht="15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</row>
    <row r="467" spans="1:26" ht="15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</row>
    <row r="468" spans="1:26" ht="15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</row>
    <row r="469" spans="1:26" ht="15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</row>
    <row r="470" spans="1:26" ht="15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</row>
    <row r="471" spans="1:26" ht="15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</row>
    <row r="472" spans="1:26" ht="15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</row>
    <row r="473" spans="1:26" ht="15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</row>
    <row r="474" spans="1:26" ht="15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</row>
    <row r="475" spans="1:26" ht="15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</row>
    <row r="476" spans="1:26" ht="15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</row>
    <row r="477" spans="1:26" ht="15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</row>
    <row r="478" spans="1:26" ht="15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</row>
    <row r="479" spans="1:26" ht="15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</row>
    <row r="480" spans="1:26" ht="15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</row>
    <row r="481" spans="1:26" ht="15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</row>
    <row r="482" spans="1:26" ht="15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</row>
    <row r="483" spans="1:26" ht="15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</row>
    <row r="484" spans="1:26" ht="15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</row>
    <row r="485" spans="1:26" ht="15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</row>
    <row r="486" spans="1:26" ht="15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</row>
    <row r="487" spans="1:26" ht="15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</row>
    <row r="488" spans="1:26" ht="15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</row>
    <row r="489" spans="1:26" ht="15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</row>
    <row r="490" spans="1:26" ht="15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</row>
    <row r="491" spans="1:26" ht="15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</row>
    <row r="492" spans="1:26" ht="15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</row>
    <row r="493" spans="1:26" ht="15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</row>
    <row r="494" spans="1:26" ht="15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</row>
    <row r="495" spans="1:26" ht="15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</row>
    <row r="496" spans="1:26" ht="15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</row>
    <row r="497" spans="1:26" ht="15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</row>
    <row r="498" spans="1:26" ht="15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</row>
    <row r="499" spans="1:26" ht="15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</row>
    <row r="500" spans="1:26" ht="15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</row>
    <row r="501" spans="1:26" ht="15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</row>
    <row r="502" spans="1:26" ht="15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</row>
    <row r="503" spans="1:26" ht="15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</row>
    <row r="504" spans="1:26" ht="15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</row>
    <row r="505" spans="1:26" ht="15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</row>
    <row r="506" spans="1:26" ht="15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</row>
    <row r="507" spans="1:26" ht="15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</row>
    <row r="508" spans="1:26" ht="15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</row>
    <row r="509" spans="1:26" ht="15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</row>
    <row r="510" spans="1:26" ht="15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</row>
    <row r="511" spans="1:26" ht="15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</row>
    <row r="512" spans="1:26" ht="15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</row>
    <row r="513" spans="1:26" ht="15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</row>
    <row r="514" spans="1:26" ht="15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</row>
    <row r="515" spans="1:26" ht="15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</row>
    <row r="516" spans="1:26" ht="15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</row>
    <row r="517" spans="1:26" ht="15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</row>
    <row r="518" spans="1:26" ht="15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</row>
    <row r="519" spans="1:26" ht="15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</row>
    <row r="520" spans="1:26" ht="15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</row>
    <row r="521" spans="1:26" ht="15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</row>
    <row r="522" spans="1:26" ht="15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</row>
    <row r="523" spans="1:26" ht="15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</row>
    <row r="524" spans="1:26" ht="15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</row>
    <row r="525" spans="1:26" ht="15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</row>
    <row r="526" spans="1:26" ht="15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</row>
    <row r="527" spans="1:26" ht="15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</row>
    <row r="528" spans="1:26" ht="15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</row>
    <row r="529" spans="1:26" ht="15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</row>
    <row r="530" spans="1:26" ht="15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</row>
    <row r="531" spans="1:26" ht="15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</row>
    <row r="532" spans="1:26" ht="15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</row>
    <row r="533" spans="1:26" ht="15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</row>
    <row r="534" spans="1:26" ht="15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</row>
    <row r="535" spans="1:26" ht="15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</row>
    <row r="536" spans="1:26" ht="15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</row>
    <row r="537" spans="1:26" ht="15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</row>
    <row r="538" spans="1:26" ht="15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</row>
    <row r="539" spans="1:26" ht="15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</row>
    <row r="540" spans="1:26" ht="15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</row>
    <row r="541" spans="1:26" ht="15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</row>
    <row r="542" spans="1:26" ht="15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</row>
    <row r="543" spans="1:26" ht="15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</row>
    <row r="544" spans="1:26" ht="15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</row>
    <row r="545" spans="1:26" ht="15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</row>
    <row r="546" spans="1:26" ht="15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</row>
    <row r="547" spans="1:26" ht="15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</row>
    <row r="548" spans="1:26" ht="15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</row>
    <row r="549" spans="1:26" ht="15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</row>
    <row r="550" spans="1:26" ht="15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</row>
    <row r="551" spans="1:26" ht="15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</row>
    <row r="552" spans="1:26" ht="15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</row>
    <row r="553" spans="1:26" ht="15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</row>
    <row r="554" spans="1:26" ht="15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</row>
    <row r="555" spans="1:26" ht="15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</row>
    <row r="556" spans="1:26" ht="15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</row>
    <row r="557" spans="1:26" ht="15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</row>
    <row r="558" spans="1:26" ht="15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</row>
    <row r="559" spans="1:26" ht="15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</row>
    <row r="560" spans="1:26" ht="15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</row>
    <row r="561" spans="1:26" ht="15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</row>
    <row r="562" spans="1:26" ht="15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</row>
    <row r="563" spans="1:26" ht="15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</row>
    <row r="564" spans="1:26" ht="15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</row>
    <row r="565" spans="1:26" ht="15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</row>
    <row r="566" spans="1:26" ht="15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</row>
    <row r="567" spans="1:26" ht="15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</row>
    <row r="568" spans="1:26" ht="15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</row>
    <row r="569" spans="1:26" ht="15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</row>
    <row r="570" spans="1:26" ht="15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</row>
    <row r="571" spans="1:26" ht="15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</row>
    <row r="572" spans="1:26" ht="15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</row>
    <row r="573" spans="1:26" ht="15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</row>
    <row r="574" spans="1:26" ht="15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</row>
    <row r="575" spans="1:26" ht="15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</row>
    <row r="576" spans="1:26" ht="15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</row>
    <row r="577" spans="1:26" ht="15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</row>
    <row r="578" spans="1:26" ht="15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</row>
    <row r="579" spans="1:26" ht="15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</row>
    <row r="580" spans="1:26" ht="15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</row>
    <row r="581" spans="1:26" ht="15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</row>
    <row r="582" spans="1:26" ht="15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</row>
    <row r="583" spans="1:26" ht="15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</row>
    <row r="584" spans="1:26" ht="15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</row>
    <row r="585" spans="1:26" ht="15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</row>
    <row r="586" spans="1:26" ht="15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</row>
    <row r="587" spans="1:26" ht="15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</row>
    <row r="588" spans="1:26" ht="15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</row>
    <row r="589" spans="1:26" ht="15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</row>
    <row r="590" spans="1:26" ht="15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</row>
    <row r="591" spans="1:26" ht="15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</row>
    <row r="592" spans="1:26" ht="15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</row>
    <row r="593" spans="1:26" ht="15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</row>
    <row r="594" spans="1:26" ht="15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</row>
    <row r="595" spans="1:26" ht="15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</row>
    <row r="596" spans="1:26" ht="15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</row>
    <row r="597" spans="1:26" ht="15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</row>
    <row r="598" spans="1:26" ht="15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</row>
    <row r="599" spans="1:26" ht="15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</row>
    <row r="600" spans="1:26" ht="15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</row>
    <row r="601" spans="1:26" ht="15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</row>
    <row r="602" spans="1:26" ht="15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</row>
    <row r="603" spans="1:26" ht="15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</row>
    <row r="604" spans="1:26" ht="15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</row>
    <row r="605" spans="1:26" ht="15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</row>
    <row r="606" spans="1:26" ht="15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</row>
    <row r="607" spans="1:26" ht="15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</row>
    <row r="608" spans="1:26" ht="15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</row>
    <row r="609" spans="1:26" ht="15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</row>
    <row r="610" spans="1:26" ht="15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</row>
    <row r="611" spans="1:26" ht="15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</row>
    <row r="612" spans="1:26" ht="15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</row>
    <row r="613" spans="1:26" ht="15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</row>
    <row r="614" spans="1:26" ht="15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</row>
    <row r="615" spans="1:26" ht="15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</row>
    <row r="616" spans="1:26" ht="15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</row>
    <row r="617" spans="1:26" ht="15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</row>
    <row r="618" spans="1:26" ht="15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</row>
    <row r="619" spans="1:26" ht="15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</row>
    <row r="620" spans="1:26" ht="15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</row>
    <row r="621" spans="1:26" ht="15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</row>
    <row r="622" spans="1:26" ht="15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</row>
    <row r="623" spans="1:26" ht="15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</row>
    <row r="624" spans="1:26" ht="15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</row>
    <row r="625" spans="1:26" ht="15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</row>
    <row r="626" spans="1:26" ht="15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</row>
    <row r="627" spans="1:26" ht="15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</row>
    <row r="628" spans="1:26" ht="15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</row>
    <row r="629" spans="1:26" ht="15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</row>
    <row r="630" spans="1:26" ht="15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</row>
    <row r="631" spans="1:26" ht="15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</row>
    <row r="632" spans="1:26" ht="15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</row>
    <row r="633" spans="1:26" ht="15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</row>
    <row r="634" spans="1:26" ht="15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</row>
    <row r="635" spans="1:26" ht="15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</row>
    <row r="636" spans="1:26" ht="15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</row>
    <row r="637" spans="1:26" ht="15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</row>
    <row r="638" spans="1:26" ht="15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</row>
    <row r="639" spans="1:26" ht="15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</row>
    <row r="640" spans="1:26" ht="15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</row>
    <row r="641" spans="1:26" ht="15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</row>
    <row r="642" spans="1:26" ht="15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</row>
    <row r="643" spans="1:26" ht="15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</row>
    <row r="644" spans="1:26" ht="15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</row>
    <row r="645" spans="1:26" ht="15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</row>
    <row r="646" spans="1:26" ht="15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</row>
    <row r="647" spans="1:26" ht="15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</row>
    <row r="648" spans="1:26" ht="15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</row>
    <row r="649" spans="1:26" ht="15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</row>
    <row r="650" spans="1:26" ht="15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</row>
    <row r="651" spans="1:26" ht="15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</row>
    <row r="652" spans="1:26" ht="15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</row>
    <row r="653" spans="1:26" ht="15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</row>
    <row r="654" spans="1:26" ht="15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</row>
    <row r="655" spans="1:26" ht="15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</row>
    <row r="656" spans="1:26" ht="15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</row>
    <row r="657" spans="1:26" ht="15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</row>
    <row r="658" spans="1:26" ht="15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</row>
    <row r="659" spans="1:26" ht="15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</row>
    <row r="660" spans="1:26" ht="15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</row>
    <row r="661" spans="1:26" ht="15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</row>
    <row r="662" spans="1:26" ht="15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</row>
    <row r="663" spans="1:26" ht="15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</row>
    <row r="664" spans="1:26" ht="15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</row>
    <row r="665" spans="1:26" ht="15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</row>
    <row r="666" spans="1:26" ht="15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</row>
    <row r="667" spans="1:26" ht="15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</row>
    <row r="668" spans="1:26" ht="15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</row>
    <row r="669" spans="1:26" ht="15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</row>
    <row r="670" spans="1:26" ht="15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</row>
    <row r="671" spans="1:26" ht="15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</row>
    <row r="672" spans="1:26" ht="15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</row>
    <row r="673" spans="1:26" ht="15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</row>
    <row r="674" spans="1:26" ht="15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</row>
    <row r="675" spans="1:26" ht="15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</row>
    <row r="676" spans="1:26" ht="15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</row>
    <row r="677" spans="1:26" ht="15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</row>
    <row r="678" spans="1:26" ht="15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</row>
    <row r="679" spans="1:26" ht="15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</row>
    <row r="680" spans="1:26" ht="15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</row>
    <row r="681" spans="1:26" ht="15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</row>
    <row r="682" spans="1:26" ht="15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</row>
    <row r="683" spans="1:26" ht="15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</row>
    <row r="684" spans="1:26" ht="15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</row>
    <row r="685" spans="1:26" ht="15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</row>
    <row r="686" spans="1:26" ht="15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</row>
    <row r="687" spans="1:26" ht="15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</row>
    <row r="688" spans="1:26" ht="15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</row>
    <row r="689" spans="1:26" ht="15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</row>
    <row r="690" spans="1:26" ht="15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</row>
    <row r="691" spans="1:26" ht="15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</row>
    <row r="692" spans="1:26" ht="15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</row>
    <row r="693" spans="1:26" ht="15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</row>
    <row r="694" spans="1:26" ht="15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</row>
    <row r="695" spans="1:26" ht="15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</row>
    <row r="696" spans="1:26" ht="15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</row>
    <row r="697" spans="1:26" ht="15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</row>
    <row r="698" spans="1:26" ht="15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</row>
    <row r="699" spans="1:26" ht="15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</row>
    <row r="700" spans="1:26" ht="15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</row>
    <row r="701" spans="1:26" ht="15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</row>
    <row r="702" spans="1:26" ht="15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</row>
    <row r="703" spans="1:26" ht="15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</row>
    <row r="704" spans="1:26" ht="15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</row>
    <row r="705" spans="1:26" ht="15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</row>
    <row r="706" spans="1:26" ht="15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</row>
    <row r="707" spans="1:26" ht="15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</row>
    <row r="708" spans="1:26" ht="15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</row>
    <row r="709" spans="1:26" ht="15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</row>
    <row r="710" spans="1:26" ht="15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</row>
    <row r="711" spans="1:26" ht="15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</row>
    <row r="712" spans="1:26" ht="15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</row>
    <row r="713" spans="1:26" ht="15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</row>
    <row r="714" spans="1:26" ht="15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</row>
    <row r="715" spans="1:26" ht="15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</row>
    <row r="716" spans="1:26" ht="15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</row>
    <row r="717" spans="1:26" ht="15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</row>
    <row r="718" spans="1:26" ht="15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</row>
    <row r="719" spans="1:26" ht="15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</row>
    <row r="720" spans="1:26" ht="15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</row>
    <row r="721" spans="1:26" ht="15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</row>
    <row r="722" spans="1:26" ht="15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</row>
    <row r="723" spans="1:26" ht="15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</row>
    <row r="724" spans="1:26" ht="15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</row>
    <row r="725" spans="1:26" ht="15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</row>
    <row r="726" spans="1:26" ht="15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</row>
    <row r="727" spans="1:26" ht="15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</row>
    <row r="728" spans="1:26" ht="15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</row>
    <row r="729" spans="1:26" ht="15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</row>
    <row r="730" spans="1:26" ht="15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</row>
    <row r="731" spans="1:26" ht="15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</row>
    <row r="732" spans="1:26" ht="15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</row>
    <row r="733" spans="1:26" ht="15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</row>
    <row r="734" spans="1:26" ht="15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</row>
    <row r="735" spans="1:26" ht="15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</row>
    <row r="736" spans="1:26" ht="15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</row>
    <row r="737" spans="1:26" ht="15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</row>
    <row r="738" spans="1:26" ht="15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</row>
    <row r="739" spans="1:26" ht="15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</row>
    <row r="740" spans="1:26" ht="15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</row>
    <row r="741" spans="1:26" ht="15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</row>
    <row r="742" spans="1:26" ht="15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</row>
    <row r="743" spans="1:26" ht="15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</row>
    <row r="744" spans="1:26" ht="15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</row>
    <row r="745" spans="1:26" ht="15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</row>
    <row r="746" spans="1:26" ht="15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</row>
    <row r="747" spans="1:26" ht="15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</row>
    <row r="748" spans="1:26" ht="15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</row>
    <row r="749" spans="1:26" ht="15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</row>
    <row r="750" spans="1:26" ht="15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</row>
    <row r="751" spans="1:26" ht="15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</row>
    <row r="752" spans="1:26" ht="15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</row>
    <row r="753" spans="1:26" ht="15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</row>
    <row r="754" spans="1:26" ht="15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</row>
    <row r="755" spans="1:26" ht="15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</row>
    <row r="756" spans="1:26" ht="15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</row>
    <row r="757" spans="1:26" ht="15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</row>
    <row r="758" spans="1:26" ht="15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</row>
    <row r="759" spans="1:26" ht="15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</row>
    <row r="760" spans="1:26" ht="15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</row>
    <row r="761" spans="1:26" ht="15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</row>
    <row r="762" spans="1:26" ht="15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</row>
    <row r="763" spans="1:26" ht="15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</row>
    <row r="764" spans="1:26" ht="15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</row>
    <row r="765" spans="1:26" ht="15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</row>
    <row r="766" spans="1:26" ht="15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</row>
    <row r="767" spans="1:26" ht="15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</row>
    <row r="768" spans="1:26" ht="15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</row>
    <row r="769" spans="1:26" ht="15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</row>
    <row r="770" spans="1:26" ht="15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</row>
    <row r="771" spans="1:26" ht="15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</row>
    <row r="772" spans="1:26" ht="15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</row>
    <row r="773" spans="1:26" ht="15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</row>
    <row r="774" spans="1:26" ht="15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</row>
    <row r="775" spans="1:26" ht="15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</row>
    <row r="776" spans="1:26" ht="15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</row>
    <row r="777" spans="1:26" ht="15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</row>
    <row r="778" spans="1:26" ht="15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</row>
    <row r="779" spans="1:26" ht="15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</row>
    <row r="780" spans="1:26" ht="15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</row>
    <row r="781" spans="1:26" ht="15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</row>
    <row r="782" spans="1:26" ht="15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</row>
    <row r="783" spans="1:26" ht="15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</row>
    <row r="784" spans="1:26" ht="15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</row>
    <row r="785" spans="1:26" ht="15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</row>
    <row r="786" spans="1:26" ht="15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</row>
    <row r="787" spans="1:26" ht="15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</row>
    <row r="788" spans="1:26" ht="15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</row>
    <row r="789" spans="1:26" ht="15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</row>
    <row r="790" spans="1:26" ht="15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</row>
    <row r="791" spans="1:26" ht="15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</row>
    <row r="792" spans="1:26" ht="15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</row>
    <row r="793" spans="1:26" ht="15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</row>
    <row r="794" spans="1:26" ht="15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</row>
    <row r="795" spans="1:26" ht="15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</row>
    <row r="796" spans="1:26" ht="15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</row>
    <row r="797" spans="1:26" ht="15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</row>
    <row r="798" spans="1:26" ht="15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</row>
    <row r="799" spans="1:26" ht="15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</row>
    <row r="800" spans="1:26" ht="15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</row>
    <row r="801" spans="1:26" ht="15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</row>
    <row r="802" spans="1:26" ht="15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</row>
    <row r="803" spans="1:26" ht="15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</row>
    <row r="804" spans="1:26" ht="15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</row>
    <row r="805" spans="1:26" ht="15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</row>
    <row r="806" spans="1:26" ht="15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</row>
    <row r="807" spans="1:26" ht="15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</row>
    <row r="808" spans="1:26" ht="15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</row>
    <row r="809" spans="1:26" ht="15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</row>
    <row r="810" spans="1:26" ht="15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</row>
    <row r="811" spans="1:26" ht="15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</row>
    <row r="812" spans="1:26" ht="15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</row>
    <row r="813" spans="1:26" ht="15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</row>
    <row r="814" spans="1:26" ht="15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</row>
    <row r="815" spans="1:26" ht="15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</row>
    <row r="816" spans="1:26" ht="15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</row>
    <row r="817" spans="1:26" ht="15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</row>
    <row r="818" spans="1:26" ht="15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</row>
    <row r="819" spans="1:26" ht="15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</row>
    <row r="820" spans="1:26" ht="15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</row>
    <row r="821" spans="1:26" ht="15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</row>
    <row r="822" spans="1:26" ht="15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</row>
    <row r="823" spans="1:26" ht="15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</row>
    <row r="824" spans="1:26" ht="15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</row>
    <row r="825" spans="1:26" ht="15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</row>
    <row r="826" spans="1:26" ht="15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</row>
    <row r="827" spans="1:26" ht="15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</row>
    <row r="828" spans="1:26" ht="15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</row>
    <row r="829" spans="1:26" ht="15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</row>
    <row r="830" spans="1:26" ht="15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</row>
    <row r="831" spans="1:26" ht="15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</row>
    <row r="832" spans="1:26" ht="15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</row>
    <row r="833" spans="1:26" ht="15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</row>
    <row r="834" spans="1:26" ht="15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</row>
    <row r="835" spans="1:26" ht="15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</row>
    <row r="836" spans="1:26" ht="15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</row>
    <row r="837" spans="1:26" ht="15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</row>
    <row r="838" spans="1:26" ht="15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</row>
    <row r="839" spans="1:26" ht="15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</row>
    <row r="840" spans="1:26" ht="15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</row>
    <row r="841" spans="1:26" ht="15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</row>
    <row r="842" spans="1:26" ht="15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</row>
    <row r="843" spans="1:26" ht="15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</row>
    <row r="844" spans="1:26" ht="15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</row>
    <row r="845" spans="1:26" ht="15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</row>
    <row r="846" spans="1:26" ht="15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</row>
    <row r="847" spans="1:26" ht="15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</row>
    <row r="848" spans="1:26" ht="15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</row>
    <row r="849" spans="1:26" ht="15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</row>
    <row r="850" spans="1:26" ht="15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</row>
    <row r="851" spans="1:26" ht="15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</row>
    <row r="852" spans="1:26" ht="15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</row>
    <row r="853" spans="1:26" ht="15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</row>
    <row r="854" spans="1:26" ht="15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</row>
    <row r="855" spans="1:26" ht="15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</row>
    <row r="856" spans="1:26" ht="15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</row>
    <row r="857" spans="1:26" ht="15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</row>
    <row r="858" spans="1:26" ht="15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</row>
    <row r="859" spans="1:26" ht="15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</row>
    <row r="860" spans="1:26" ht="15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</row>
    <row r="861" spans="1:26" ht="15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</row>
    <row r="862" spans="1:26" ht="15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</row>
    <row r="863" spans="1:26" ht="15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</row>
    <row r="864" spans="1:26" ht="15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</row>
    <row r="865" spans="1:26" ht="15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</row>
    <row r="866" spans="1:26" ht="15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</row>
    <row r="867" spans="1:26" ht="15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</row>
    <row r="868" spans="1:26" ht="15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</row>
    <row r="869" spans="1:26" ht="15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</row>
    <row r="870" spans="1:26" ht="15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</row>
    <row r="871" spans="1:26" ht="15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</row>
    <row r="872" spans="1:26" ht="15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</row>
    <row r="873" spans="1:26" ht="15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</row>
    <row r="874" spans="1:26" ht="15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</row>
    <row r="875" spans="1:26" ht="15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</row>
    <row r="876" spans="1:26" ht="15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</row>
    <row r="877" spans="1:26" ht="15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</row>
    <row r="878" spans="1:26" ht="15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</row>
    <row r="879" spans="1:26" ht="15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</row>
    <row r="880" spans="1:26" ht="15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</row>
    <row r="881" spans="1:26" ht="15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</row>
    <row r="882" spans="1:26" ht="15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</row>
    <row r="883" spans="1:26" ht="15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</row>
    <row r="884" spans="1:26" ht="15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</row>
    <row r="885" spans="1:26" ht="15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</row>
    <row r="886" spans="1:26" ht="15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</row>
    <row r="887" spans="1:26" ht="15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</row>
    <row r="888" spans="1:26" ht="15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</row>
    <row r="889" spans="1:26" ht="15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</row>
    <row r="890" spans="1:26" ht="15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</row>
    <row r="891" spans="1:26" ht="15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</row>
    <row r="892" spans="1:26" ht="15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</row>
    <row r="893" spans="1:26" ht="15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</row>
    <row r="894" spans="1:26" ht="15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</row>
    <row r="895" spans="1:26" ht="15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</row>
    <row r="896" spans="1:26" ht="15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</row>
    <row r="897" spans="1:26" ht="15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</row>
    <row r="898" spans="1:26" ht="15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</row>
    <row r="899" spans="1:26" ht="15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</row>
    <row r="900" spans="1:26" ht="15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</row>
    <row r="901" spans="1:26" ht="15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</row>
    <row r="902" spans="1:26" ht="15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</row>
    <row r="903" spans="1:26" ht="15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</row>
    <row r="904" spans="1:26" ht="15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</row>
    <row r="905" spans="1:26" ht="15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</row>
    <row r="906" spans="1:26" ht="15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</row>
    <row r="907" spans="1:26" ht="15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</row>
    <row r="908" spans="1:26" ht="15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</row>
    <row r="909" spans="1:26" ht="15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</row>
    <row r="910" spans="1:26" ht="15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</row>
    <row r="911" spans="1:26" ht="15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</row>
    <row r="912" spans="1:26" ht="15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</row>
    <row r="913" spans="1:26" ht="15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</row>
    <row r="914" spans="1:26" ht="15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</row>
    <row r="915" spans="1:26" ht="15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</row>
    <row r="916" spans="1:26" ht="15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</row>
    <row r="917" spans="1:26" ht="15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</row>
    <row r="918" spans="1:26" ht="15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</row>
    <row r="919" spans="1:26" ht="15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</row>
    <row r="920" spans="1:26" ht="15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</row>
    <row r="921" spans="1:26" ht="15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</row>
    <row r="922" spans="1:26" ht="15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</row>
    <row r="923" spans="1:26" ht="15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</row>
    <row r="924" spans="1:26" ht="15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</row>
    <row r="925" spans="1:26" ht="15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</row>
    <row r="926" spans="1:26" ht="15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</row>
    <row r="927" spans="1:26" ht="15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</row>
    <row r="928" spans="1:26" ht="15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</row>
    <row r="929" spans="1:26" ht="15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</row>
    <row r="930" spans="1:26" ht="15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</row>
    <row r="931" spans="1:26" ht="15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</row>
    <row r="932" spans="1:26" ht="15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</row>
    <row r="933" spans="1:26" ht="15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</row>
    <row r="934" spans="1:26" ht="15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</row>
    <row r="935" spans="1:26" ht="15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</row>
    <row r="936" spans="1:26" ht="15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</row>
    <row r="937" spans="1:26" ht="15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</row>
    <row r="938" spans="1:26" ht="15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</row>
    <row r="939" spans="1:26" ht="15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</row>
    <row r="940" spans="1:26" ht="15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</row>
    <row r="941" spans="1:26" ht="15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</row>
    <row r="942" spans="1:26" ht="15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</row>
    <row r="943" spans="1:26" ht="15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</row>
    <row r="944" spans="1:26" ht="15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</row>
    <row r="945" spans="1:26" ht="15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</row>
    <row r="946" spans="1:26" ht="15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</row>
    <row r="947" spans="1:26" ht="15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</row>
    <row r="948" spans="1:26" ht="15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</row>
    <row r="949" spans="1:26" ht="15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</row>
    <row r="950" spans="1:26" ht="15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</row>
    <row r="951" spans="1:26" ht="15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</row>
    <row r="952" spans="1:26" ht="15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</row>
    <row r="953" spans="1:26" ht="15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</row>
    <row r="954" spans="1:26" ht="15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</row>
    <row r="955" spans="1:26" ht="15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</row>
    <row r="956" spans="1:26" ht="15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</row>
    <row r="957" spans="1:26" ht="15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</row>
    <row r="958" spans="1:26" ht="15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</row>
    <row r="959" spans="1:26" ht="15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</row>
    <row r="960" spans="1:26" ht="15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</row>
    <row r="961" spans="1:26" ht="15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</row>
    <row r="962" spans="1:26" ht="15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</row>
    <row r="963" spans="1:26" ht="15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</row>
    <row r="964" spans="1:26" ht="15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6" ht="15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</row>
    <row r="966" spans="1:26" ht="15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</row>
    <row r="967" spans="1:26" ht="15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</row>
    <row r="968" spans="1:26" ht="15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</row>
    <row r="969" spans="1:26" ht="15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</row>
    <row r="970" spans="1:26" ht="15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</row>
    <row r="971" spans="1:26" ht="15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</row>
    <row r="972" spans="1:26" ht="15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</row>
    <row r="973" spans="1:26" ht="15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</row>
    <row r="974" spans="1:26" ht="15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</row>
    <row r="975" spans="1:26" ht="15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</row>
    <row r="976" spans="1:26" ht="15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</row>
    <row r="977" spans="1:26" ht="15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</row>
    <row r="978" spans="1:26" ht="15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</row>
    <row r="979" spans="1:26" ht="15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</row>
    <row r="980" spans="1:26" ht="15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</row>
    <row r="981" spans="1:26" ht="15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</row>
    <row r="982" spans="1:26" ht="15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</row>
    <row r="983" spans="1:26" ht="15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</row>
    <row r="984" spans="1:26" ht="15"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</row>
    <row r="985" spans="1:26" ht="15"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</row>
    <row r="986" spans="1:26" ht="15"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</row>
    <row r="987" spans="1:26" ht="15"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</row>
    <row r="988" spans="1:26" ht="15"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</row>
    <row r="989" spans="1:26" ht="15"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</row>
    <row r="990" spans="1:26" ht="15"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</row>
    <row r="991" spans="1:26" ht="15"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</row>
    <row r="992" spans="1:26" ht="15"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</row>
    <row r="993" spans="6:26" ht="15"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</row>
    <row r="994" spans="6:26" ht="15"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</row>
    <row r="995" spans="6:26" ht="15"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</row>
    <row r="996" spans="6:26" ht="15">
      <c r="F996" s="84"/>
      <c r="G996" s="84"/>
      <c r="H996" s="84"/>
      <c r="I996" s="84"/>
      <c r="J996" s="84"/>
      <c r="V996" s="84"/>
      <c r="W996" s="84"/>
      <c r="X996" s="84"/>
      <c r="Y996" s="84"/>
      <c r="Z996" s="84"/>
    </row>
  </sheetData>
  <sheetProtection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8"/>
  <sheetViews>
    <sheetView showGridLines="0" zoomScale="90" zoomScaleNormal="90" workbookViewId="0">
      <pane ySplit="2" topLeftCell="A3" activePane="bottomLeft" state="frozen"/>
      <selection pane="bottomLeft" activeCell="H3" sqref="H3:H20"/>
    </sheetView>
  </sheetViews>
  <sheetFormatPr defaultColWidth="9.140625" defaultRowHeight="15" zeroHeight="1"/>
  <cols>
    <col min="1" max="1" width="7.85546875" style="295" bestFit="1" customWidth="1"/>
    <col min="2" max="2" width="19" customWidth="1"/>
    <col min="3" max="3" width="7" bestFit="1" customWidth="1"/>
    <col min="4" max="4" width="19" customWidth="1"/>
    <col min="5" max="5" width="13.140625" customWidth="1"/>
    <col min="6" max="6" width="42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91" t="s">
        <v>5247</v>
      </c>
      <c r="B1" s="391"/>
      <c r="C1" s="391"/>
      <c r="D1" s="391"/>
      <c r="E1" s="116" t="str">
        <f>IF(OR('OPĆI DIO'!C3="odaberite -",'OPĆI DIO'!C3=""),"Molimo odaberite proračunskog korisnika na radnom listu Opći podaci!","")</f>
        <v/>
      </c>
      <c r="I1" s="291" t="s">
        <v>5246</v>
      </c>
    </row>
    <row r="2" spans="1:23" ht="36" customHeight="1">
      <c r="A2" s="345" t="s">
        <v>38</v>
      </c>
      <c r="B2" s="25" t="s">
        <v>39</v>
      </c>
      <c r="C2" s="25" t="s">
        <v>40</v>
      </c>
      <c r="D2" s="25" t="s">
        <v>41</v>
      </c>
      <c r="E2" s="79" t="s">
        <v>652</v>
      </c>
      <c r="F2" s="25" t="s">
        <v>653</v>
      </c>
      <c r="G2" s="322" t="s">
        <v>5260</v>
      </c>
      <c r="H2" s="322" t="s">
        <v>5259</v>
      </c>
      <c r="I2" s="322" t="s">
        <v>5261</v>
      </c>
      <c r="J2" s="277" t="s">
        <v>5245</v>
      </c>
      <c r="L2" s="76" t="s">
        <v>632</v>
      </c>
      <c r="M2" s="76" t="s">
        <v>633</v>
      </c>
      <c r="R2" s="19" t="s">
        <v>645</v>
      </c>
    </row>
    <row r="3" spans="1:23">
      <c r="A3" s="370">
        <v>8006</v>
      </c>
      <c r="B3" s="370" t="s">
        <v>45</v>
      </c>
      <c r="C3" s="371">
        <v>11</v>
      </c>
      <c r="D3" s="372" t="s">
        <v>46</v>
      </c>
      <c r="E3" s="81" t="s">
        <v>645</v>
      </c>
      <c r="F3" s="373" t="s">
        <v>226</v>
      </c>
      <c r="G3" s="113">
        <v>3642136</v>
      </c>
      <c r="H3" s="359">
        <f>I3-G3</f>
        <v>89558</v>
      </c>
      <c r="I3" s="359">
        <v>3731694</v>
      </c>
      <c r="J3" s="81"/>
      <c r="L3" s="73" t="str">
        <f>LEFT(E3,2)</f>
        <v>67</v>
      </c>
      <c r="M3" s="73" t="str">
        <f>LEFT(E3,3)</f>
        <v>671</v>
      </c>
      <c r="N3" t="s">
        <v>261</v>
      </c>
      <c r="R3" s="19" t="s">
        <v>646</v>
      </c>
    </row>
    <row r="4" spans="1:23">
      <c r="A4" s="370">
        <v>8006</v>
      </c>
      <c r="B4" s="370" t="s">
        <v>45</v>
      </c>
      <c r="C4" s="371">
        <v>12</v>
      </c>
      <c r="D4" s="372" t="s">
        <v>228</v>
      </c>
      <c r="E4" s="81" t="s">
        <v>646</v>
      </c>
      <c r="F4" s="373" t="s">
        <v>226</v>
      </c>
      <c r="G4" s="113">
        <v>107688</v>
      </c>
      <c r="H4" s="359">
        <f t="shared" ref="H4:H20" si="0">I4-G4</f>
        <v>7106</v>
      </c>
      <c r="I4" s="359">
        <v>114794</v>
      </c>
      <c r="J4" s="81"/>
      <c r="L4" s="73" t="str">
        <f t="shared" ref="L4:L67" si="1">LEFT(E4,2)</f>
        <v>67</v>
      </c>
      <c r="M4" s="73" t="str">
        <f t="shared" ref="M4:M67" si="2">LEFT(E4,3)</f>
        <v>671</v>
      </c>
    </row>
    <row r="5" spans="1:23">
      <c r="A5" s="370">
        <v>8006</v>
      </c>
      <c r="B5" s="370" t="s">
        <v>45</v>
      </c>
      <c r="C5" s="371">
        <v>31</v>
      </c>
      <c r="D5" s="372" t="s">
        <v>90</v>
      </c>
      <c r="E5" s="81">
        <v>641310031</v>
      </c>
      <c r="F5" s="373" t="s">
        <v>203</v>
      </c>
      <c r="G5" s="359">
        <v>0</v>
      </c>
      <c r="H5" s="359">
        <f t="shared" si="0"/>
        <v>0</v>
      </c>
      <c r="I5" s="359">
        <v>0</v>
      </c>
      <c r="J5" s="81"/>
      <c r="L5" s="73" t="str">
        <f t="shared" si="1"/>
        <v>64</v>
      </c>
      <c r="M5" s="73" t="str">
        <f t="shared" si="2"/>
        <v>641</v>
      </c>
      <c r="N5" s="73" t="s">
        <v>40</v>
      </c>
      <c r="O5" s="73" t="s">
        <v>41</v>
      </c>
      <c r="R5" s="26" t="s">
        <v>634</v>
      </c>
      <c r="S5" s="25" t="s">
        <v>647</v>
      </c>
      <c r="T5" s="25" t="s">
        <v>648</v>
      </c>
      <c r="U5" s="25" t="s">
        <v>41</v>
      </c>
      <c r="V5" s="80" t="s">
        <v>649</v>
      </c>
      <c r="W5" s="80" t="s">
        <v>5075</v>
      </c>
    </row>
    <row r="6" spans="1:23">
      <c r="A6" s="370">
        <v>8006</v>
      </c>
      <c r="B6" s="370" t="s">
        <v>45</v>
      </c>
      <c r="C6" s="371">
        <v>31</v>
      </c>
      <c r="D6" s="372" t="s">
        <v>90</v>
      </c>
      <c r="E6" s="81">
        <v>641320031</v>
      </c>
      <c r="F6" s="373" t="s">
        <v>204</v>
      </c>
      <c r="G6" s="359">
        <v>400</v>
      </c>
      <c r="H6" s="359">
        <f t="shared" si="0"/>
        <v>50</v>
      </c>
      <c r="I6" s="359">
        <v>450</v>
      </c>
      <c r="J6" s="81"/>
      <c r="L6" s="73" t="str">
        <f t="shared" si="1"/>
        <v>64</v>
      </c>
      <c r="M6" s="73" t="str">
        <f t="shared" si="2"/>
        <v>641</v>
      </c>
      <c r="N6" s="73">
        <v>11</v>
      </c>
      <c r="O6" s="73" t="s">
        <v>46</v>
      </c>
      <c r="R6" s="5" t="s">
        <v>645</v>
      </c>
      <c r="S6" s="5" t="s">
        <v>226</v>
      </c>
      <c r="T6" s="5">
        <v>11</v>
      </c>
      <c r="U6" s="5" t="s">
        <v>46</v>
      </c>
      <c r="V6">
        <v>671</v>
      </c>
      <c r="W6">
        <v>67</v>
      </c>
    </row>
    <row r="7" spans="1:23">
      <c r="A7" s="370">
        <v>8006</v>
      </c>
      <c r="B7" s="370" t="s">
        <v>45</v>
      </c>
      <c r="C7" s="371">
        <v>31</v>
      </c>
      <c r="D7" s="372" t="s">
        <v>90</v>
      </c>
      <c r="E7" s="81">
        <v>6614</v>
      </c>
      <c r="F7" s="373" t="s">
        <v>1699</v>
      </c>
      <c r="G7" s="359">
        <v>0</v>
      </c>
      <c r="H7" s="359">
        <f t="shared" si="0"/>
        <v>0</v>
      </c>
      <c r="I7" s="359">
        <v>0</v>
      </c>
      <c r="J7" s="81"/>
      <c r="L7" s="73" t="str">
        <f t="shared" si="1"/>
        <v>66</v>
      </c>
      <c r="M7" s="73" t="str">
        <f t="shared" si="2"/>
        <v>661</v>
      </c>
      <c r="N7" s="73">
        <v>12</v>
      </c>
      <c r="O7" s="73" t="s">
        <v>228</v>
      </c>
      <c r="R7" s="5" t="s">
        <v>646</v>
      </c>
      <c r="S7" s="5" t="s">
        <v>226</v>
      </c>
      <c r="T7" s="5">
        <v>12</v>
      </c>
      <c r="U7" s="5" t="s">
        <v>228</v>
      </c>
      <c r="V7">
        <v>671</v>
      </c>
      <c r="W7">
        <v>67</v>
      </c>
    </row>
    <row r="8" spans="1:23">
      <c r="A8" s="370">
        <v>8006</v>
      </c>
      <c r="B8" s="370" t="s">
        <v>45</v>
      </c>
      <c r="C8" s="371">
        <v>31</v>
      </c>
      <c r="D8" s="372" t="s">
        <v>90</v>
      </c>
      <c r="E8" s="81">
        <v>6615</v>
      </c>
      <c r="F8" s="373" t="s">
        <v>18</v>
      </c>
      <c r="G8" s="359">
        <v>70000</v>
      </c>
      <c r="H8" s="359">
        <f t="shared" si="0"/>
        <v>0</v>
      </c>
      <c r="I8" s="359">
        <v>70000</v>
      </c>
      <c r="J8" s="81"/>
      <c r="L8" s="73" t="str">
        <f t="shared" si="1"/>
        <v>66</v>
      </c>
      <c r="M8" s="73" t="str">
        <f t="shared" si="2"/>
        <v>661</v>
      </c>
      <c r="N8" s="73">
        <v>31</v>
      </c>
      <c r="O8" s="73" t="s">
        <v>90</v>
      </c>
      <c r="R8" s="5">
        <v>614810041</v>
      </c>
      <c r="S8" s="5" t="s">
        <v>1207</v>
      </c>
      <c r="T8" s="5">
        <v>41</v>
      </c>
      <c r="U8" s="5" t="s">
        <v>1204</v>
      </c>
      <c r="V8">
        <v>614</v>
      </c>
      <c r="W8">
        <v>61</v>
      </c>
    </row>
    <row r="9" spans="1:23">
      <c r="A9" s="370">
        <v>8006</v>
      </c>
      <c r="B9" s="370" t="s">
        <v>45</v>
      </c>
      <c r="C9" s="371">
        <v>43</v>
      </c>
      <c r="D9" s="372" t="s">
        <v>95</v>
      </c>
      <c r="E9" s="81">
        <v>65264</v>
      </c>
      <c r="F9" s="373" t="s">
        <v>209</v>
      </c>
      <c r="G9" s="359">
        <v>250000</v>
      </c>
      <c r="H9" s="359">
        <f t="shared" si="0"/>
        <v>-30000</v>
      </c>
      <c r="I9" s="359">
        <v>220000</v>
      </c>
      <c r="J9" s="81"/>
      <c r="L9" s="73" t="str">
        <f t="shared" si="1"/>
        <v>65</v>
      </c>
      <c r="M9" s="73" t="str">
        <f t="shared" si="2"/>
        <v>652</v>
      </c>
      <c r="N9">
        <v>41</v>
      </c>
      <c r="O9" t="s">
        <v>1204</v>
      </c>
      <c r="R9" s="5">
        <v>614820041</v>
      </c>
      <c r="S9" s="5" t="s">
        <v>1208</v>
      </c>
      <c r="T9" s="5">
        <v>41</v>
      </c>
      <c r="U9" s="5" t="s">
        <v>1204</v>
      </c>
      <c r="V9">
        <v>614</v>
      </c>
      <c r="W9">
        <v>61</v>
      </c>
    </row>
    <row r="10" spans="1:23">
      <c r="A10" s="370">
        <v>8006</v>
      </c>
      <c r="B10" s="370" t="s">
        <v>45</v>
      </c>
      <c r="C10" s="371">
        <v>43</v>
      </c>
      <c r="D10" s="372" t="s">
        <v>95</v>
      </c>
      <c r="E10" s="81">
        <v>65268</v>
      </c>
      <c r="F10" s="373" t="s">
        <v>1677</v>
      </c>
      <c r="G10" s="359">
        <v>400000</v>
      </c>
      <c r="H10" s="359">
        <f t="shared" si="0"/>
        <v>-100000</v>
      </c>
      <c r="I10" s="359">
        <v>300000</v>
      </c>
      <c r="J10" s="81"/>
      <c r="L10" s="73" t="str">
        <f t="shared" si="1"/>
        <v>65</v>
      </c>
      <c r="M10" s="73" t="str">
        <f t="shared" si="2"/>
        <v>652</v>
      </c>
      <c r="N10" s="73">
        <v>52</v>
      </c>
      <c r="O10" s="73" t="s">
        <v>107</v>
      </c>
      <c r="R10" s="5">
        <v>631110000</v>
      </c>
      <c r="S10" s="5" t="s">
        <v>22</v>
      </c>
      <c r="T10" s="5">
        <v>52</v>
      </c>
      <c r="U10" s="5" t="s">
        <v>1666</v>
      </c>
      <c r="V10">
        <v>631</v>
      </c>
      <c r="W10">
        <v>63</v>
      </c>
    </row>
    <row r="11" spans="1:23">
      <c r="A11" s="370">
        <v>8006</v>
      </c>
      <c r="B11" s="370" t="s">
        <v>45</v>
      </c>
      <c r="C11" s="371">
        <v>52</v>
      </c>
      <c r="D11" s="372" t="s">
        <v>1666</v>
      </c>
      <c r="E11" s="81">
        <v>631120000</v>
      </c>
      <c r="F11" s="373" t="s">
        <v>23</v>
      </c>
      <c r="G11" s="359">
        <v>4000</v>
      </c>
      <c r="H11" s="359">
        <f t="shared" si="0"/>
        <v>0</v>
      </c>
      <c r="I11" s="359">
        <v>4000</v>
      </c>
      <c r="J11" s="81"/>
      <c r="L11" s="73" t="str">
        <f t="shared" si="1"/>
        <v>63</v>
      </c>
      <c r="M11" s="73" t="str">
        <f t="shared" si="2"/>
        <v>631</v>
      </c>
      <c r="N11">
        <v>552</v>
      </c>
      <c r="O11" t="s">
        <v>1205</v>
      </c>
      <c r="R11" s="5">
        <v>631120000</v>
      </c>
      <c r="S11" s="5" t="s">
        <v>23</v>
      </c>
      <c r="T11" s="5">
        <v>52</v>
      </c>
      <c r="U11" s="5" t="s">
        <v>1666</v>
      </c>
      <c r="V11">
        <v>631</v>
      </c>
      <c r="W11">
        <v>63</v>
      </c>
    </row>
    <row r="12" spans="1:23">
      <c r="A12" s="370">
        <v>8006</v>
      </c>
      <c r="B12" s="370" t="s">
        <v>45</v>
      </c>
      <c r="C12" s="371">
        <v>52</v>
      </c>
      <c r="D12" s="372" t="s">
        <v>1666</v>
      </c>
      <c r="E12" s="81">
        <v>6341</v>
      </c>
      <c r="F12" s="373" t="s">
        <v>1700</v>
      </c>
      <c r="G12" s="359">
        <v>0</v>
      </c>
      <c r="H12" s="359">
        <f t="shared" si="0"/>
        <v>0</v>
      </c>
      <c r="I12" s="359">
        <v>0</v>
      </c>
      <c r="J12" s="81"/>
      <c r="L12" s="73" t="str">
        <f t="shared" ref="L12" si="3">LEFT(E12,2)</f>
        <v>63</v>
      </c>
      <c r="M12" s="73" t="str">
        <f t="shared" ref="M12" si="4">LEFT(E12,3)</f>
        <v>634</v>
      </c>
      <c r="N12" s="73">
        <v>51</v>
      </c>
      <c r="O12" s="73" t="s">
        <v>85</v>
      </c>
      <c r="R12" s="5">
        <v>614840041</v>
      </c>
      <c r="S12" s="5" t="s">
        <v>1210</v>
      </c>
      <c r="T12" s="5">
        <v>41</v>
      </c>
      <c r="U12" s="5" t="s">
        <v>1204</v>
      </c>
      <c r="V12">
        <v>614</v>
      </c>
      <c r="W12">
        <v>61</v>
      </c>
    </row>
    <row r="13" spans="1:23">
      <c r="A13" s="370">
        <v>8006</v>
      </c>
      <c r="B13" s="370" t="s">
        <v>45</v>
      </c>
      <c r="C13" s="371">
        <v>52</v>
      </c>
      <c r="D13" s="372" t="s">
        <v>1666</v>
      </c>
      <c r="E13" s="81">
        <v>6361</v>
      </c>
      <c r="F13" s="373" t="s">
        <v>1670</v>
      </c>
      <c r="G13" s="359">
        <v>0</v>
      </c>
      <c r="H13" s="359">
        <f t="shared" si="0"/>
        <v>0</v>
      </c>
      <c r="I13" s="359">
        <v>0</v>
      </c>
      <c r="J13" s="81"/>
      <c r="L13" s="73" t="str">
        <f>LEFT(E13,2)</f>
        <v>63</v>
      </c>
      <c r="M13" s="73" t="str">
        <f>LEFT(E13,3)</f>
        <v>636</v>
      </c>
      <c r="N13" s="73">
        <v>43</v>
      </c>
      <c r="O13" s="73" t="s">
        <v>95</v>
      </c>
      <c r="R13" s="5">
        <v>614830041</v>
      </c>
      <c r="S13" s="5" t="s">
        <v>1209</v>
      </c>
      <c r="T13" s="5">
        <v>41</v>
      </c>
      <c r="U13" s="5" t="s">
        <v>1204</v>
      </c>
      <c r="V13">
        <v>614</v>
      </c>
      <c r="W13">
        <v>61</v>
      </c>
    </row>
    <row r="14" spans="1:23">
      <c r="A14" s="370">
        <v>8006</v>
      </c>
      <c r="B14" s="370" t="s">
        <v>45</v>
      </c>
      <c r="C14" s="371">
        <v>52</v>
      </c>
      <c r="D14" s="372" t="s">
        <v>1666</v>
      </c>
      <c r="E14" s="81">
        <v>6381</v>
      </c>
      <c r="F14" s="373" t="s">
        <v>1777</v>
      </c>
      <c r="G14" s="359">
        <v>0</v>
      </c>
      <c r="H14" s="359">
        <f t="shared" si="0"/>
        <v>0</v>
      </c>
      <c r="I14" s="359">
        <v>0</v>
      </c>
      <c r="J14" s="81"/>
      <c r="L14" s="73" t="str">
        <f>LEFT(E14,2)</f>
        <v>63</v>
      </c>
      <c r="M14" s="73" t="str">
        <f>LEFT(E14,3)</f>
        <v>638</v>
      </c>
      <c r="N14" s="73">
        <v>51</v>
      </c>
      <c r="O14" s="73" t="s">
        <v>85</v>
      </c>
      <c r="R14" s="5">
        <v>614840041</v>
      </c>
      <c r="S14" s="5" t="s">
        <v>1210</v>
      </c>
      <c r="T14" s="5">
        <v>41</v>
      </c>
      <c r="U14" s="5" t="s">
        <v>1204</v>
      </c>
      <c r="V14">
        <v>614</v>
      </c>
      <c r="W14">
        <v>61</v>
      </c>
    </row>
    <row r="15" spans="1:23">
      <c r="A15" s="370">
        <v>8006</v>
      </c>
      <c r="B15" s="370" t="s">
        <v>45</v>
      </c>
      <c r="C15" s="371">
        <v>52</v>
      </c>
      <c r="D15" s="372" t="s">
        <v>1666</v>
      </c>
      <c r="E15" s="81">
        <v>6391</v>
      </c>
      <c r="F15" s="373" t="s">
        <v>28</v>
      </c>
      <c r="G15" s="359">
        <v>59000</v>
      </c>
      <c r="H15" s="359">
        <f t="shared" si="0"/>
        <v>0</v>
      </c>
      <c r="I15" s="359">
        <v>59000</v>
      </c>
      <c r="J15" s="81" t="s">
        <v>5263</v>
      </c>
      <c r="L15" s="73" t="str">
        <f t="shared" si="1"/>
        <v>63</v>
      </c>
      <c r="M15" s="73" t="str">
        <f t="shared" si="2"/>
        <v>639</v>
      </c>
      <c r="N15" s="73">
        <v>561</v>
      </c>
      <c r="O15" s="73" t="s">
        <v>109</v>
      </c>
      <c r="R15" s="5">
        <v>631220000</v>
      </c>
      <c r="S15" s="5" t="s">
        <v>25</v>
      </c>
      <c r="T15" s="5">
        <v>52</v>
      </c>
      <c r="U15" s="5" t="s">
        <v>1666</v>
      </c>
      <c r="V15">
        <v>631</v>
      </c>
      <c r="W15">
        <v>63</v>
      </c>
    </row>
    <row r="16" spans="1:23">
      <c r="A16" s="370">
        <v>8006</v>
      </c>
      <c r="B16" s="370" t="s">
        <v>45</v>
      </c>
      <c r="C16" s="371">
        <v>563</v>
      </c>
      <c r="D16" s="372" t="s">
        <v>111</v>
      </c>
      <c r="E16" s="81">
        <v>632310563</v>
      </c>
      <c r="F16" s="373" t="s">
        <v>1742</v>
      </c>
      <c r="G16" s="359">
        <v>0</v>
      </c>
      <c r="H16" s="359">
        <f t="shared" si="0"/>
        <v>245812</v>
      </c>
      <c r="I16" s="359">
        <v>245812</v>
      </c>
      <c r="J16" s="81"/>
      <c r="L16" s="73" t="str">
        <f t="shared" si="1"/>
        <v>63</v>
      </c>
      <c r="M16" s="73" t="str">
        <f t="shared" si="2"/>
        <v>632</v>
      </c>
      <c r="N16" s="73">
        <v>563</v>
      </c>
      <c r="O16" s="73" t="s">
        <v>111</v>
      </c>
      <c r="R16" s="5">
        <v>632112000</v>
      </c>
      <c r="S16" s="5" t="s">
        <v>1667</v>
      </c>
      <c r="T16" s="5">
        <v>52</v>
      </c>
      <c r="U16" s="5" t="s">
        <v>1666</v>
      </c>
      <c r="V16">
        <v>632</v>
      </c>
      <c r="W16">
        <v>63</v>
      </c>
    </row>
    <row r="17" spans="1:23">
      <c r="A17" s="370">
        <v>8006</v>
      </c>
      <c r="B17" s="370" t="s">
        <v>45</v>
      </c>
      <c r="C17" s="371">
        <v>563</v>
      </c>
      <c r="D17" s="372" t="s">
        <v>111</v>
      </c>
      <c r="E17" s="81">
        <v>632410563</v>
      </c>
      <c r="F17" s="373" t="s">
        <v>1742</v>
      </c>
      <c r="G17" s="359">
        <v>1000000</v>
      </c>
      <c r="H17" s="359">
        <f t="shared" si="0"/>
        <v>-443723</v>
      </c>
      <c r="I17" s="359">
        <v>556277</v>
      </c>
      <c r="J17" s="81"/>
      <c r="L17" s="73" t="str">
        <f t="shared" si="1"/>
        <v>63</v>
      </c>
      <c r="M17" s="73" t="str">
        <f t="shared" si="2"/>
        <v>632</v>
      </c>
      <c r="N17" s="73">
        <v>573</v>
      </c>
      <c r="O17" t="s">
        <v>1215</v>
      </c>
      <c r="R17" s="5">
        <v>632212000</v>
      </c>
      <c r="S17" s="5" t="s">
        <v>1668</v>
      </c>
      <c r="T17" s="5">
        <v>52</v>
      </c>
      <c r="U17" s="5" t="s">
        <v>1666</v>
      </c>
      <c r="V17">
        <v>632</v>
      </c>
      <c r="W17">
        <v>63</v>
      </c>
    </row>
    <row r="18" spans="1:23">
      <c r="A18" s="370">
        <v>8006</v>
      </c>
      <c r="B18" s="370" t="s">
        <v>45</v>
      </c>
      <c r="C18" s="371">
        <v>52</v>
      </c>
      <c r="D18" s="372" t="s">
        <v>1666</v>
      </c>
      <c r="E18" s="81">
        <v>6393</v>
      </c>
      <c r="F18" s="373" t="s">
        <v>30</v>
      </c>
      <c r="G18" s="359">
        <v>211919</v>
      </c>
      <c r="H18" s="359">
        <f t="shared" si="0"/>
        <v>1288081</v>
      </c>
      <c r="I18" s="359">
        <v>1500000</v>
      </c>
      <c r="J18" s="81" t="s">
        <v>5264</v>
      </c>
      <c r="L18" s="73" t="str">
        <f t="shared" si="1"/>
        <v>63</v>
      </c>
      <c r="M18" s="73" t="str">
        <f t="shared" si="2"/>
        <v>639</v>
      </c>
      <c r="N18">
        <v>575</v>
      </c>
      <c r="O18" t="s">
        <v>1217</v>
      </c>
      <c r="R18" s="5">
        <v>632310552</v>
      </c>
      <c r="S18" s="5" t="s">
        <v>1212</v>
      </c>
      <c r="T18" s="5">
        <v>552</v>
      </c>
      <c r="U18" s="5" t="s">
        <v>1205</v>
      </c>
      <c r="V18">
        <v>632</v>
      </c>
      <c r="W18">
        <v>63</v>
      </c>
    </row>
    <row r="19" spans="1:23">
      <c r="A19" s="370">
        <v>8006</v>
      </c>
      <c r="B19" s="370" t="s">
        <v>45</v>
      </c>
      <c r="C19" s="371">
        <v>43</v>
      </c>
      <c r="D19" s="372" t="s">
        <v>95</v>
      </c>
      <c r="E19" s="81">
        <v>818120043</v>
      </c>
      <c r="F19" s="373" t="s">
        <v>1222</v>
      </c>
      <c r="G19" s="359">
        <v>150000</v>
      </c>
      <c r="H19" s="359">
        <f t="shared" si="0"/>
        <v>0</v>
      </c>
      <c r="I19" s="359">
        <v>150000</v>
      </c>
      <c r="J19" s="81"/>
      <c r="L19" s="73" t="str">
        <f t="shared" si="1"/>
        <v>81</v>
      </c>
      <c r="M19" s="73" t="str">
        <f t="shared" si="2"/>
        <v>818</v>
      </c>
      <c r="N19" s="215">
        <v>5761</v>
      </c>
      <c r="O19" s="136" t="s">
        <v>3523</v>
      </c>
      <c r="R19" s="5">
        <v>632310559</v>
      </c>
      <c r="S19" s="5" t="s">
        <v>1213</v>
      </c>
      <c r="T19" s="5">
        <v>559</v>
      </c>
      <c r="U19" s="5" t="s">
        <v>1206</v>
      </c>
      <c r="V19">
        <v>632</v>
      </c>
      <c r="W19">
        <v>63</v>
      </c>
    </row>
    <row r="20" spans="1:23">
      <c r="A20" s="370">
        <v>8006</v>
      </c>
      <c r="B20" s="370" t="s">
        <v>45</v>
      </c>
      <c r="C20" s="371">
        <v>52</v>
      </c>
      <c r="D20" s="372" t="s">
        <v>1666</v>
      </c>
      <c r="E20" s="81">
        <v>6361</v>
      </c>
      <c r="F20" s="373" t="s">
        <v>1670</v>
      </c>
      <c r="G20" s="359">
        <v>90126</v>
      </c>
      <c r="H20" s="359">
        <f t="shared" si="0"/>
        <v>0</v>
      </c>
      <c r="I20" s="359">
        <v>90126</v>
      </c>
      <c r="J20" s="81"/>
      <c r="L20" s="73" t="str">
        <f t="shared" si="1"/>
        <v>63</v>
      </c>
      <c r="M20" s="73" t="str">
        <f t="shared" si="2"/>
        <v>636</v>
      </c>
      <c r="N20" s="215">
        <v>5762</v>
      </c>
      <c r="O20" s="136" t="s">
        <v>3523</v>
      </c>
      <c r="R20" s="5">
        <v>632310561</v>
      </c>
      <c r="S20" s="5" t="s">
        <v>109</v>
      </c>
      <c r="T20" s="5">
        <v>561</v>
      </c>
      <c r="U20" s="5" t="s">
        <v>109</v>
      </c>
      <c r="V20">
        <v>632</v>
      </c>
      <c r="W20">
        <v>63</v>
      </c>
    </row>
    <row r="21" spans="1:23">
      <c r="A21" s="374" t="str">
        <f>IF(E21="","",VLOOKUP('OPĆI DIO'!$C$3,'OPĆI DIO'!$L$6:$U$138,10,FALSE))</f>
        <v/>
      </c>
      <c r="B21" s="370" t="str">
        <f>IF(E21="","",VLOOKUP('OPĆI DIO'!$C$3,'OPĆI DIO'!$L$6:$U$138,9,FALSE))</f>
        <v/>
      </c>
      <c r="C21" s="371" t="str">
        <f t="shared" ref="C21:C66" si="5">IFERROR(VLOOKUP(E21,$R$6:$U$113,3,FALSE),"")</f>
        <v/>
      </c>
      <c r="D21" s="372" t="str">
        <f t="shared" ref="D21:D66" si="6">IFERROR(VLOOKUP(E21,$R$6:$U$113,4,FALSE),"")</f>
        <v/>
      </c>
      <c r="E21" s="81"/>
      <c r="F21" s="373" t="str">
        <f t="shared" ref="F21:F66" si="7">IFERROR(VLOOKUP(E21,$R$6:$U$113,2,FALSE),"")</f>
        <v/>
      </c>
      <c r="G21" s="359"/>
      <c r="H21" s="359"/>
      <c r="I21" s="359"/>
      <c r="J21" s="81"/>
      <c r="L21" s="73" t="str">
        <f t="shared" si="1"/>
        <v/>
      </c>
      <c r="M21" s="73" t="str">
        <f t="shared" si="2"/>
        <v/>
      </c>
      <c r="N21" s="129">
        <v>581</v>
      </c>
      <c r="O21" s="163" t="s">
        <v>1772</v>
      </c>
      <c r="R21" s="5">
        <v>632310563</v>
      </c>
      <c r="S21" s="5" t="s">
        <v>1742</v>
      </c>
      <c r="T21" s="5">
        <v>563</v>
      </c>
      <c r="U21" s="5" t="s">
        <v>111</v>
      </c>
      <c r="V21">
        <v>632</v>
      </c>
      <c r="W21">
        <v>63</v>
      </c>
    </row>
    <row r="22" spans="1:23">
      <c r="A22" s="374" t="str">
        <f>IF(E22="","",VLOOKUP('OPĆI DIO'!$C$3,'OPĆI DIO'!$L$6:$U$138,10,FALSE))</f>
        <v/>
      </c>
      <c r="B22" s="370" t="str">
        <f>IF(E22="","",VLOOKUP('OPĆI DIO'!$C$3,'OPĆI DIO'!$L$6:$U$138,9,FALSE))</f>
        <v/>
      </c>
      <c r="C22" s="371" t="str">
        <f t="shared" si="5"/>
        <v/>
      </c>
      <c r="D22" s="372" t="str">
        <f t="shared" si="6"/>
        <v/>
      </c>
      <c r="E22" s="81"/>
      <c r="F22" s="373" t="str">
        <f t="shared" si="7"/>
        <v/>
      </c>
      <c r="G22" s="359"/>
      <c r="H22" s="359"/>
      <c r="I22" s="359"/>
      <c r="J22" s="81"/>
      <c r="L22" s="73" t="str">
        <f t="shared" si="1"/>
        <v/>
      </c>
      <c r="M22" s="73" t="str">
        <f t="shared" si="2"/>
        <v/>
      </c>
      <c r="N22" s="73">
        <v>61</v>
      </c>
      <c r="O22" s="73" t="s">
        <v>113</v>
      </c>
      <c r="R22" s="5">
        <v>632310573</v>
      </c>
      <c r="S22" s="5" t="s">
        <v>1214</v>
      </c>
      <c r="T22" s="5">
        <v>573</v>
      </c>
      <c r="U22" s="5" t="s">
        <v>1215</v>
      </c>
      <c r="V22">
        <v>632</v>
      </c>
      <c r="W22">
        <v>63</v>
      </c>
    </row>
    <row r="23" spans="1:23">
      <c r="A23" s="374" t="str">
        <f>IF(E23="","",VLOOKUP('OPĆI DIO'!$C$3,'OPĆI DIO'!$L$6:$U$138,10,FALSE))</f>
        <v/>
      </c>
      <c r="B23" s="370" t="str">
        <f>IF(E23="","",VLOOKUP('OPĆI DIO'!$C$3,'OPĆI DIO'!$L$6:$U$138,9,FALSE))</f>
        <v/>
      </c>
      <c r="C23" s="371" t="str">
        <f t="shared" si="5"/>
        <v/>
      </c>
      <c r="D23" s="372" t="str">
        <f t="shared" si="6"/>
        <v/>
      </c>
      <c r="E23" s="81"/>
      <c r="F23" s="373" t="str">
        <f t="shared" si="7"/>
        <v/>
      </c>
      <c r="G23" s="359"/>
      <c r="H23" s="359"/>
      <c r="I23" s="359"/>
      <c r="J23" s="81"/>
      <c r="L23" s="73" t="str">
        <f t="shared" si="1"/>
        <v/>
      </c>
      <c r="M23" s="73" t="str">
        <f t="shared" si="2"/>
        <v/>
      </c>
      <c r="N23" s="213">
        <v>63</v>
      </c>
      <c r="O23" s="73" t="s">
        <v>3519</v>
      </c>
      <c r="R23" s="5">
        <v>632310575</v>
      </c>
      <c r="S23" s="5" t="s">
        <v>1216</v>
      </c>
      <c r="T23" s="5">
        <v>575</v>
      </c>
      <c r="U23" s="5" t="s">
        <v>1217</v>
      </c>
      <c r="V23">
        <v>632</v>
      </c>
      <c r="W23">
        <v>63</v>
      </c>
    </row>
    <row r="24" spans="1:23">
      <c r="A24" s="374" t="str">
        <f>IF(E24="","",VLOOKUP('OPĆI DIO'!$C$3,'OPĆI DIO'!$L$6:$U$138,10,FALSE))</f>
        <v/>
      </c>
      <c r="B24" s="370" t="str">
        <f>IF(E24="","",VLOOKUP('OPĆI DIO'!$C$3,'OPĆI DIO'!$L$6:$U$138,9,FALSE))</f>
        <v/>
      </c>
      <c r="C24" s="371" t="str">
        <f t="shared" si="5"/>
        <v/>
      </c>
      <c r="D24" s="372" t="str">
        <f t="shared" si="6"/>
        <v/>
      </c>
      <c r="E24" s="81"/>
      <c r="F24" s="373" t="str">
        <f t="shared" si="7"/>
        <v/>
      </c>
      <c r="G24" s="359"/>
      <c r="H24" s="359"/>
      <c r="I24" s="359"/>
      <c r="J24" s="81"/>
      <c r="L24" s="73"/>
      <c r="M24" s="73" t="str">
        <f t="shared" si="2"/>
        <v/>
      </c>
      <c r="N24" s="73">
        <v>71</v>
      </c>
      <c r="O24" s="73" t="s">
        <v>171</v>
      </c>
      <c r="R24" s="214">
        <v>632315761</v>
      </c>
      <c r="S24" s="214" t="s">
        <v>1773</v>
      </c>
      <c r="T24" s="214">
        <v>576</v>
      </c>
      <c r="U24" s="214" t="s">
        <v>1698</v>
      </c>
      <c r="V24">
        <v>632</v>
      </c>
      <c r="W24">
        <v>63</v>
      </c>
    </row>
    <row r="25" spans="1:23">
      <c r="A25" s="374" t="str">
        <f>IF(E25="","",VLOOKUP('OPĆI DIO'!$C$3,'OPĆI DIO'!$L$6:$U$138,10,FALSE))</f>
        <v/>
      </c>
      <c r="B25" s="370" t="str">
        <f>IF(E25="","",VLOOKUP('OPĆI DIO'!$C$3,'OPĆI DIO'!$L$6:$U$138,9,FALSE))</f>
        <v/>
      </c>
      <c r="C25" s="371" t="str">
        <f t="shared" si="5"/>
        <v/>
      </c>
      <c r="D25" s="372" t="str">
        <f t="shared" si="6"/>
        <v/>
      </c>
      <c r="E25" s="81"/>
      <c r="F25" s="373" t="str">
        <f t="shared" si="7"/>
        <v/>
      </c>
      <c r="G25" s="359"/>
      <c r="H25" s="359"/>
      <c r="I25" s="359"/>
      <c r="J25" s="81"/>
      <c r="L25" s="73"/>
      <c r="M25" s="73" t="str">
        <f t="shared" si="2"/>
        <v/>
      </c>
      <c r="N25" s="73">
        <v>81</v>
      </c>
      <c r="O25" s="73" t="s">
        <v>56</v>
      </c>
      <c r="R25" s="214">
        <v>632315762</v>
      </c>
      <c r="S25" s="214" t="s">
        <v>3521</v>
      </c>
      <c r="T25" s="214">
        <v>576</v>
      </c>
      <c r="U25" s="214" t="s">
        <v>1698</v>
      </c>
      <c r="V25">
        <v>632</v>
      </c>
      <c r="W25">
        <v>63</v>
      </c>
    </row>
    <row r="26" spans="1:23">
      <c r="A26" s="374" t="str">
        <f>IF(E26="","",VLOOKUP('OPĆI DIO'!$C$3,'OPĆI DIO'!$L$6:$U$138,10,FALSE))</f>
        <v/>
      </c>
      <c r="B26" s="370" t="str">
        <f>IF(E26="","",VLOOKUP('OPĆI DIO'!$C$3,'OPĆI DIO'!$L$6:$U$138,9,FALSE))</f>
        <v/>
      </c>
      <c r="C26" s="371" t="str">
        <f t="shared" si="5"/>
        <v/>
      </c>
      <c r="D26" s="372" t="str">
        <f t="shared" si="6"/>
        <v/>
      </c>
      <c r="E26" s="81"/>
      <c r="F26" s="373" t="str">
        <f t="shared" si="7"/>
        <v/>
      </c>
      <c r="G26" s="359"/>
      <c r="H26" s="359"/>
      <c r="I26" s="359"/>
      <c r="J26" s="81"/>
      <c r="L26" s="73"/>
      <c r="M26" s="73" t="str">
        <f t="shared" si="2"/>
        <v/>
      </c>
      <c r="N26" s="73"/>
      <c r="O26" s="73"/>
      <c r="R26" s="5">
        <v>632310581</v>
      </c>
      <c r="S26" s="5" t="s">
        <v>1775</v>
      </c>
      <c r="T26" s="5">
        <v>581</v>
      </c>
      <c r="U26" s="5" t="s">
        <v>1772</v>
      </c>
      <c r="V26">
        <v>632</v>
      </c>
      <c r="W26">
        <v>63</v>
      </c>
    </row>
    <row r="27" spans="1:23">
      <c r="A27" s="374" t="str">
        <f>IF(E27="","",VLOOKUP('OPĆI DIO'!$C$3,'OPĆI DIO'!$L$6:$U$138,10,FALSE))</f>
        <v/>
      </c>
      <c r="B27" s="370" t="str">
        <f>IF(E27="","",VLOOKUP('OPĆI DIO'!$C$3,'OPĆI DIO'!$L$6:$U$138,9,FALSE))</f>
        <v/>
      </c>
      <c r="C27" s="371" t="str">
        <f t="shared" si="5"/>
        <v/>
      </c>
      <c r="D27" s="372" t="str">
        <f t="shared" si="6"/>
        <v/>
      </c>
      <c r="E27" s="81"/>
      <c r="F27" s="373" t="str">
        <f t="shared" si="7"/>
        <v/>
      </c>
      <c r="G27" s="359"/>
      <c r="H27" s="359"/>
      <c r="I27" s="359"/>
      <c r="J27" s="81"/>
      <c r="L27" s="73"/>
      <c r="M27" s="73" t="str">
        <f t="shared" si="2"/>
        <v/>
      </c>
      <c r="R27" s="5">
        <v>632311700</v>
      </c>
      <c r="S27" s="5" t="s">
        <v>20</v>
      </c>
      <c r="T27" s="5">
        <v>51</v>
      </c>
      <c r="U27" s="5" t="s">
        <v>1669</v>
      </c>
      <c r="V27">
        <v>632</v>
      </c>
      <c r="W27">
        <v>63</v>
      </c>
    </row>
    <row r="28" spans="1:23">
      <c r="A28" s="374" t="str">
        <f>IF(E28="","",VLOOKUP('OPĆI DIO'!$C$3,'OPĆI DIO'!$L$6:$U$138,10,FALSE))</f>
        <v/>
      </c>
      <c r="B28" s="370" t="str">
        <f>IF(E28="","",VLOOKUP('OPĆI DIO'!$C$3,'OPĆI DIO'!$L$6:$U$138,9,FALSE))</f>
        <v/>
      </c>
      <c r="C28" s="371" t="str">
        <f t="shared" si="5"/>
        <v/>
      </c>
      <c r="D28" s="372" t="str">
        <f t="shared" si="6"/>
        <v/>
      </c>
      <c r="E28" s="81"/>
      <c r="F28" s="373" t="str">
        <f t="shared" si="7"/>
        <v/>
      </c>
      <c r="G28" s="359"/>
      <c r="H28" s="359"/>
      <c r="I28" s="359"/>
      <c r="J28" s="81"/>
      <c r="L28" s="73"/>
      <c r="M28" s="73" t="str">
        <f t="shared" si="2"/>
        <v/>
      </c>
      <c r="R28" s="5">
        <v>632311800</v>
      </c>
      <c r="S28" s="5" t="s">
        <v>213</v>
      </c>
      <c r="T28" s="5">
        <v>51</v>
      </c>
      <c r="U28" s="5" t="s">
        <v>1669</v>
      </c>
      <c r="V28">
        <v>632</v>
      </c>
      <c r="W28">
        <v>63</v>
      </c>
    </row>
    <row r="29" spans="1:23">
      <c r="A29" s="374" t="str">
        <f>IF(E29="","",VLOOKUP('OPĆI DIO'!$C$3,'OPĆI DIO'!$L$6:$U$138,10,FALSE))</f>
        <v/>
      </c>
      <c r="B29" s="370" t="str">
        <f>IF(E29="","",VLOOKUP('OPĆI DIO'!$C$3,'OPĆI DIO'!$L$6:$U$138,9,FALSE))</f>
        <v/>
      </c>
      <c r="C29" s="371" t="str">
        <f t="shared" si="5"/>
        <v/>
      </c>
      <c r="D29" s="372" t="str">
        <f t="shared" si="6"/>
        <v/>
      </c>
      <c r="E29" s="81"/>
      <c r="F29" s="373" t="str">
        <f t="shared" si="7"/>
        <v/>
      </c>
      <c r="G29" s="359"/>
      <c r="H29" s="359"/>
      <c r="I29" s="359"/>
      <c r="J29" s="81"/>
      <c r="L29" s="73"/>
      <c r="M29" s="73" t="str">
        <f t="shared" si="2"/>
        <v/>
      </c>
      <c r="R29" s="5">
        <v>632410552</v>
      </c>
      <c r="S29" s="5" t="s">
        <v>1218</v>
      </c>
      <c r="T29" s="5">
        <v>552</v>
      </c>
      <c r="U29" s="5" t="s">
        <v>1205</v>
      </c>
      <c r="V29">
        <v>632</v>
      </c>
      <c r="W29">
        <v>63</v>
      </c>
    </row>
    <row r="30" spans="1:23">
      <c r="A30" s="374" t="str">
        <f>IF(E30="","",VLOOKUP('OPĆI DIO'!$C$3,'OPĆI DIO'!$L$6:$U$138,10,FALSE))</f>
        <v/>
      </c>
      <c r="B30" s="370" t="str">
        <f>IF(E30="","",VLOOKUP('OPĆI DIO'!$C$3,'OPĆI DIO'!$L$6:$U$138,9,FALSE))</f>
        <v/>
      </c>
      <c r="C30" s="371" t="str">
        <f t="shared" si="5"/>
        <v/>
      </c>
      <c r="D30" s="372" t="str">
        <f t="shared" si="6"/>
        <v/>
      </c>
      <c r="E30" s="81"/>
      <c r="F30" s="373" t="str">
        <f t="shared" si="7"/>
        <v/>
      </c>
      <c r="G30" s="359"/>
      <c r="H30" s="359"/>
      <c r="I30" s="359"/>
      <c r="J30" s="81"/>
      <c r="L30" s="73"/>
      <c r="M30" s="73" t="str">
        <f t="shared" si="2"/>
        <v/>
      </c>
      <c r="R30" s="5">
        <v>632410559</v>
      </c>
      <c r="S30" s="5" t="s">
        <v>1219</v>
      </c>
      <c r="T30" s="5">
        <v>559</v>
      </c>
      <c r="U30" s="5" t="s">
        <v>1206</v>
      </c>
      <c r="V30">
        <v>632</v>
      </c>
      <c r="W30">
        <v>63</v>
      </c>
    </row>
    <row r="31" spans="1:23">
      <c r="A31" s="374" t="str">
        <f>IF(E31="","",VLOOKUP('OPĆI DIO'!$C$3,'OPĆI DIO'!$L$6:$U$138,10,FALSE))</f>
        <v/>
      </c>
      <c r="B31" s="370" t="str">
        <f>IF(E31="","",VLOOKUP('OPĆI DIO'!$C$3,'OPĆI DIO'!$L$6:$U$138,9,FALSE))</f>
        <v/>
      </c>
      <c r="C31" s="371" t="str">
        <f t="shared" si="5"/>
        <v/>
      </c>
      <c r="D31" s="372" t="str">
        <f t="shared" si="6"/>
        <v/>
      </c>
      <c r="E31" s="81"/>
      <c r="F31" s="373" t="str">
        <f t="shared" si="7"/>
        <v/>
      </c>
      <c r="G31" s="359"/>
      <c r="H31" s="359"/>
      <c r="I31" s="359"/>
      <c r="J31" s="81"/>
      <c r="L31" s="73"/>
      <c r="M31" s="73" t="str">
        <f t="shared" si="2"/>
        <v/>
      </c>
      <c r="R31" s="5">
        <v>632410561</v>
      </c>
      <c r="S31" s="5" t="s">
        <v>109</v>
      </c>
      <c r="T31" s="5">
        <v>561</v>
      </c>
      <c r="U31" s="5" t="s">
        <v>109</v>
      </c>
      <c r="V31">
        <v>632</v>
      </c>
      <c r="W31">
        <v>63</v>
      </c>
    </row>
    <row r="32" spans="1:23">
      <c r="A32" s="374" t="str">
        <f>IF(E32="","",VLOOKUP('OPĆI DIO'!$C$3,'OPĆI DIO'!$L$6:$U$138,10,FALSE))</f>
        <v/>
      </c>
      <c r="B32" s="370" t="str">
        <f>IF(E32="","",VLOOKUP('OPĆI DIO'!$C$3,'OPĆI DIO'!$L$6:$U$138,9,FALSE))</f>
        <v/>
      </c>
      <c r="C32" s="371" t="str">
        <f t="shared" si="5"/>
        <v/>
      </c>
      <c r="D32" s="372" t="str">
        <f t="shared" si="6"/>
        <v/>
      </c>
      <c r="E32" s="81"/>
      <c r="F32" s="373" t="str">
        <f t="shared" si="7"/>
        <v/>
      </c>
      <c r="G32" s="359"/>
      <c r="H32" s="359"/>
      <c r="I32" s="359"/>
      <c r="J32" s="81"/>
      <c r="L32" s="73"/>
      <c r="M32" s="73" t="str">
        <f t="shared" si="2"/>
        <v/>
      </c>
      <c r="R32" s="5">
        <v>632410563</v>
      </c>
      <c r="S32" s="5" t="s">
        <v>1742</v>
      </c>
      <c r="T32" s="5">
        <v>563</v>
      </c>
      <c r="U32" s="5" t="s">
        <v>111</v>
      </c>
      <c r="V32">
        <v>632</v>
      </c>
      <c r="W32">
        <v>63</v>
      </c>
    </row>
    <row r="33" spans="1:23">
      <c r="A33" s="374" t="str">
        <f>IF(E33="","",VLOOKUP('OPĆI DIO'!$C$3,'OPĆI DIO'!$L$6:$U$138,10,FALSE))</f>
        <v/>
      </c>
      <c r="B33" s="370" t="str">
        <f>IF(E33="","",VLOOKUP('OPĆI DIO'!$C$3,'OPĆI DIO'!$L$6:$U$138,9,FALSE))</f>
        <v/>
      </c>
      <c r="C33" s="371" t="str">
        <f t="shared" si="5"/>
        <v/>
      </c>
      <c r="D33" s="372" t="str">
        <f t="shared" si="6"/>
        <v/>
      </c>
      <c r="E33" s="81"/>
      <c r="F33" s="373" t="str">
        <f t="shared" si="7"/>
        <v/>
      </c>
      <c r="G33" s="359"/>
      <c r="H33" s="359"/>
      <c r="I33" s="359"/>
      <c r="J33" s="81"/>
      <c r="L33" s="73"/>
      <c r="M33" s="73" t="str">
        <f t="shared" si="2"/>
        <v/>
      </c>
      <c r="R33" s="5">
        <v>632410573</v>
      </c>
      <c r="S33" s="5" t="s">
        <v>1220</v>
      </c>
      <c r="T33" s="5">
        <v>573</v>
      </c>
      <c r="U33" s="5" t="s">
        <v>1215</v>
      </c>
      <c r="V33">
        <v>632</v>
      </c>
      <c r="W33">
        <v>63</v>
      </c>
    </row>
    <row r="34" spans="1:23">
      <c r="A34" s="374" t="str">
        <f>IF(E34="","",VLOOKUP('OPĆI DIO'!$C$3,'OPĆI DIO'!$L$6:$U$138,10,FALSE))</f>
        <v/>
      </c>
      <c r="B34" s="370" t="str">
        <f>IF(E34="","",VLOOKUP('OPĆI DIO'!$C$3,'OPĆI DIO'!$L$6:$U$138,9,FALSE))</f>
        <v/>
      </c>
      <c r="C34" s="371" t="str">
        <f t="shared" si="5"/>
        <v/>
      </c>
      <c r="D34" s="372" t="str">
        <f t="shared" si="6"/>
        <v/>
      </c>
      <c r="E34" s="81"/>
      <c r="F34" s="373" t="str">
        <f t="shared" si="7"/>
        <v/>
      </c>
      <c r="G34" s="359"/>
      <c r="H34" s="359"/>
      <c r="I34" s="359"/>
      <c r="J34" s="81"/>
      <c r="L34" s="73"/>
      <c r="M34" s="73" t="str">
        <f t="shared" si="2"/>
        <v/>
      </c>
      <c r="R34" s="5">
        <v>632410575</v>
      </c>
      <c r="S34" s="5" t="s">
        <v>1221</v>
      </c>
      <c r="T34" s="5">
        <v>575</v>
      </c>
      <c r="U34" s="5" t="s">
        <v>1217</v>
      </c>
      <c r="V34">
        <v>632</v>
      </c>
      <c r="W34">
        <v>63</v>
      </c>
    </row>
    <row r="35" spans="1:23">
      <c r="A35" s="374" t="str">
        <f>IF(E35="","",VLOOKUP('OPĆI DIO'!$C$3,'OPĆI DIO'!$L$6:$U$138,10,FALSE))</f>
        <v/>
      </c>
      <c r="B35" s="370" t="str">
        <f>IF(E35="","",VLOOKUP('OPĆI DIO'!$C$3,'OPĆI DIO'!$L$6:$U$138,9,FALSE))</f>
        <v/>
      </c>
      <c r="C35" s="371" t="str">
        <f t="shared" si="5"/>
        <v/>
      </c>
      <c r="D35" s="372" t="str">
        <f t="shared" si="6"/>
        <v/>
      </c>
      <c r="E35" s="81"/>
      <c r="F35" s="373" t="str">
        <f t="shared" si="7"/>
        <v/>
      </c>
      <c r="G35" s="359"/>
      <c r="H35" s="359"/>
      <c r="I35" s="359"/>
      <c r="J35" s="81"/>
      <c r="L35" s="73" t="str">
        <f t="shared" si="1"/>
        <v/>
      </c>
      <c r="M35" s="73" t="str">
        <f t="shared" si="2"/>
        <v/>
      </c>
      <c r="R35" s="214">
        <v>632415761</v>
      </c>
      <c r="S35" s="214" t="s">
        <v>1774</v>
      </c>
      <c r="T35" s="214">
        <v>576</v>
      </c>
      <c r="U35" s="214" t="s">
        <v>1698</v>
      </c>
      <c r="V35">
        <v>632</v>
      </c>
      <c r="W35">
        <v>63</v>
      </c>
    </row>
    <row r="36" spans="1:23">
      <c r="A36" s="374" t="str">
        <f>IF(E36="","",VLOOKUP('OPĆI DIO'!$C$3,'OPĆI DIO'!$L$6:$U$138,10,FALSE))</f>
        <v/>
      </c>
      <c r="B36" s="370" t="str">
        <f>IF(E36="","",VLOOKUP('OPĆI DIO'!$C$3,'OPĆI DIO'!$L$6:$U$138,9,FALSE))</f>
        <v/>
      </c>
      <c r="C36" s="371" t="str">
        <f t="shared" si="5"/>
        <v/>
      </c>
      <c r="D36" s="372" t="str">
        <f t="shared" si="6"/>
        <v/>
      </c>
      <c r="E36" s="81"/>
      <c r="F36" s="373" t="str">
        <f t="shared" si="7"/>
        <v/>
      </c>
      <c r="G36" s="359"/>
      <c r="H36" s="359"/>
      <c r="I36" s="359"/>
      <c r="J36" s="81"/>
      <c r="L36" s="73" t="str">
        <f t="shared" si="1"/>
        <v/>
      </c>
      <c r="M36" s="73" t="str">
        <f t="shared" si="2"/>
        <v/>
      </c>
      <c r="R36" s="214">
        <v>632415762</v>
      </c>
      <c r="S36" s="214" t="s">
        <v>3522</v>
      </c>
      <c r="T36" s="214">
        <v>576</v>
      </c>
      <c r="U36" s="214" t="s">
        <v>1698</v>
      </c>
      <c r="V36">
        <v>632</v>
      </c>
      <c r="W36">
        <v>63</v>
      </c>
    </row>
    <row r="37" spans="1:23">
      <c r="A37" s="374" t="str">
        <f>IF(E37="","",VLOOKUP('OPĆI DIO'!$C$3,'OPĆI DIO'!$L$6:$U$138,10,FALSE))</f>
        <v/>
      </c>
      <c r="B37" s="370" t="str">
        <f>IF(E37="","",VLOOKUP('OPĆI DIO'!$C$3,'OPĆI DIO'!$L$6:$U$138,9,FALSE))</f>
        <v/>
      </c>
      <c r="C37" s="371" t="str">
        <f t="shared" si="5"/>
        <v/>
      </c>
      <c r="D37" s="372" t="str">
        <f t="shared" si="6"/>
        <v/>
      </c>
      <c r="E37" s="81"/>
      <c r="F37" s="373" t="str">
        <f t="shared" si="7"/>
        <v/>
      </c>
      <c r="G37" s="359"/>
      <c r="H37" s="359"/>
      <c r="I37" s="359"/>
      <c r="J37" s="81"/>
      <c r="L37" s="73" t="str">
        <f t="shared" si="1"/>
        <v/>
      </c>
      <c r="M37" s="73" t="str">
        <f t="shared" si="2"/>
        <v/>
      </c>
      <c r="R37" s="5">
        <v>632410581</v>
      </c>
      <c r="S37" s="5" t="s">
        <v>1776</v>
      </c>
      <c r="T37" s="5">
        <v>581</v>
      </c>
      <c r="U37" s="5" t="s">
        <v>1772</v>
      </c>
      <c r="V37">
        <v>632</v>
      </c>
      <c r="W37">
        <v>63</v>
      </c>
    </row>
    <row r="38" spans="1:23">
      <c r="A38" s="374" t="str">
        <f>IF(E38="","",VLOOKUP('OPĆI DIO'!$C$3,'OPĆI DIO'!$L$6:$U$138,10,FALSE))</f>
        <v/>
      </c>
      <c r="B38" s="370" t="str">
        <f>IF(E38="","",VLOOKUP('OPĆI DIO'!$C$3,'OPĆI DIO'!$L$6:$U$138,9,FALSE))</f>
        <v/>
      </c>
      <c r="C38" s="371" t="str">
        <f t="shared" si="5"/>
        <v/>
      </c>
      <c r="D38" s="372" t="str">
        <f t="shared" si="6"/>
        <v/>
      </c>
      <c r="E38" s="81"/>
      <c r="F38" s="373" t="str">
        <f t="shared" si="7"/>
        <v/>
      </c>
      <c r="G38" s="359"/>
      <c r="H38" s="359"/>
      <c r="I38" s="359"/>
      <c r="J38" s="81"/>
      <c r="L38" s="73" t="str">
        <f t="shared" si="1"/>
        <v/>
      </c>
      <c r="M38" s="73" t="str">
        <f t="shared" si="2"/>
        <v/>
      </c>
      <c r="R38" s="5">
        <v>632411700</v>
      </c>
      <c r="S38" s="5" t="s">
        <v>21</v>
      </c>
      <c r="T38" s="5">
        <v>51</v>
      </c>
      <c r="U38" s="5" t="s">
        <v>1669</v>
      </c>
      <c r="V38">
        <v>632</v>
      </c>
      <c r="W38">
        <v>63</v>
      </c>
    </row>
    <row r="39" spans="1:23">
      <c r="A39" s="374" t="str">
        <f>IF(E39="","",VLOOKUP('OPĆI DIO'!$C$3,'OPĆI DIO'!$L$6:$U$138,10,FALSE))</f>
        <v/>
      </c>
      <c r="B39" s="370" t="str">
        <f>IF(E39="","",VLOOKUP('OPĆI DIO'!$C$3,'OPĆI DIO'!$L$6:$U$138,9,FALSE))</f>
        <v/>
      </c>
      <c r="C39" s="371" t="str">
        <f t="shared" si="5"/>
        <v/>
      </c>
      <c r="D39" s="372" t="str">
        <f t="shared" si="6"/>
        <v/>
      </c>
      <c r="E39" s="81"/>
      <c r="F39" s="373" t="str">
        <f t="shared" si="7"/>
        <v/>
      </c>
      <c r="G39" s="359"/>
      <c r="H39" s="359"/>
      <c r="I39" s="359"/>
      <c r="J39" s="81"/>
      <c r="K39" s="321"/>
      <c r="L39" s="73" t="str">
        <f t="shared" si="1"/>
        <v/>
      </c>
      <c r="M39" s="318">
        <f>+G14+G10+G37</f>
        <v>400000</v>
      </c>
      <c r="R39" s="5">
        <v>6341</v>
      </c>
      <c r="S39" s="5" t="s">
        <v>1700</v>
      </c>
      <c r="T39" s="5">
        <v>52</v>
      </c>
      <c r="U39" s="5" t="s">
        <v>1666</v>
      </c>
      <c r="V39">
        <v>634</v>
      </c>
      <c r="W39">
        <v>63</v>
      </c>
    </row>
    <row r="40" spans="1:23">
      <c r="A40" s="374" t="str">
        <f>IF(E40="","",VLOOKUP('OPĆI DIO'!$C$3,'OPĆI DIO'!$L$6:$U$138,10,FALSE))</f>
        <v/>
      </c>
      <c r="B40" s="370" t="str">
        <f>IF(E40="","",VLOOKUP('OPĆI DIO'!$C$3,'OPĆI DIO'!$L$6:$U$138,9,FALSE))</f>
        <v/>
      </c>
      <c r="C40" s="371" t="str">
        <f t="shared" si="5"/>
        <v/>
      </c>
      <c r="D40" s="372" t="str">
        <f t="shared" si="6"/>
        <v/>
      </c>
      <c r="E40" s="81"/>
      <c r="F40" s="373" t="str">
        <f t="shared" si="7"/>
        <v/>
      </c>
      <c r="G40" s="359"/>
      <c r="H40" s="359"/>
      <c r="I40" s="359"/>
      <c r="J40" s="81"/>
      <c r="L40" s="73" t="str">
        <f t="shared" si="1"/>
        <v/>
      </c>
      <c r="M40" s="73" t="str">
        <f t="shared" si="2"/>
        <v/>
      </c>
      <c r="R40" s="5">
        <v>6342</v>
      </c>
      <c r="S40" s="5" t="s">
        <v>1701</v>
      </c>
      <c r="T40" s="5">
        <v>52</v>
      </c>
      <c r="U40" s="5" t="s">
        <v>1666</v>
      </c>
      <c r="V40">
        <v>634</v>
      </c>
      <c r="W40">
        <v>63</v>
      </c>
    </row>
    <row r="41" spans="1:23">
      <c r="A41" s="374" t="str">
        <f>IF(E41="","",VLOOKUP('OPĆI DIO'!$C$3,'OPĆI DIO'!$L$6:$U$138,10,FALSE))</f>
        <v/>
      </c>
      <c r="B41" s="370" t="str">
        <f>IF(E41="","",VLOOKUP('OPĆI DIO'!$C$3,'OPĆI DIO'!$L$6:$U$138,9,FALSE))</f>
        <v/>
      </c>
      <c r="C41" s="371" t="str">
        <f t="shared" si="5"/>
        <v/>
      </c>
      <c r="D41" s="372" t="str">
        <f t="shared" si="6"/>
        <v/>
      </c>
      <c r="E41" s="81"/>
      <c r="F41" s="373" t="str">
        <f t="shared" si="7"/>
        <v/>
      </c>
      <c r="G41" s="359"/>
      <c r="H41" s="359"/>
      <c r="I41" s="359"/>
      <c r="J41" s="81"/>
      <c r="L41" s="73" t="str">
        <f t="shared" si="1"/>
        <v/>
      </c>
      <c r="M41" s="73" t="str">
        <f t="shared" si="2"/>
        <v/>
      </c>
      <c r="R41" s="5">
        <v>6361</v>
      </c>
      <c r="S41" s="5" t="s">
        <v>1670</v>
      </c>
      <c r="T41" s="5">
        <v>52</v>
      </c>
      <c r="U41" s="5" t="s">
        <v>1666</v>
      </c>
      <c r="V41">
        <v>636</v>
      </c>
      <c r="W41">
        <v>63</v>
      </c>
    </row>
    <row r="42" spans="1:23">
      <c r="A42" s="374" t="str">
        <f>IF(E42="","",VLOOKUP('OPĆI DIO'!$C$3,'OPĆI DIO'!$L$6:$U$138,10,FALSE))</f>
        <v/>
      </c>
      <c r="B42" s="370" t="str">
        <f>IF(E42="","",VLOOKUP('OPĆI DIO'!$C$3,'OPĆI DIO'!$L$6:$U$138,9,FALSE))</f>
        <v/>
      </c>
      <c r="C42" s="371" t="str">
        <f t="shared" si="5"/>
        <v/>
      </c>
      <c r="D42" s="372" t="str">
        <f t="shared" si="6"/>
        <v/>
      </c>
      <c r="E42" s="81"/>
      <c r="F42" s="373" t="str">
        <f t="shared" si="7"/>
        <v/>
      </c>
      <c r="G42" s="359"/>
      <c r="H42" s="359"/>
      <c r="I42" s="359"/>
      <c r="J42" s="81"/>
      <c r="L42" s="73" t="str">
        <f t="shared" si="1"/>
        <v/>
      </c>
      <c r="M42" s="73" t="str">
        <f t="shared" si="2"/>
        <v/>
      </c>
      <c r="R42" s="5">
        <v>6362</v>
      </c>
      <c r="S42" s="5" t="s">
        <v>1671</v>
      </c>
      <c r="T42" s="5">
        <v>52</v>
      </c>
      <c r="U42" s="5" t="s">
        <v>1666</v>
      </c>
      <c r="V42">
        <v>636</v>
      </c>
      <c r="W42">
        <v>63</v>
      </c>
    </row>
    <row r="43" spans="1:23">
      <c r="A43" s="374" t="str">
        <f>IF(E43="","",VLOOKUP('OPĆI DIO'!$C$3,'OPĆI DIO'!$L$6:$U$138,10,FALSE))</f>
        <v/>
      </c>
      <c r="B43" s="370" t="str">
        <f>IF(E43="","",VLOOKUP('OPĆI DIO'!$C$3,'OPĆI DIO'!$L$6:$U$138,9,FALSE))</f>
        <v/>
      </c>
      <c r="C43" s="371" t="str">
        <f t="shared" si="5"/>
        <v/>
      </c>
      <c r="D43" s="372" t="str">
        <f t="shared" si="6"/>
        <v/>
      </c>
      <c r="E43" s="81"/>
      <c r="F43" s="373" t="str">
        <f t="shared" si="7"/>
        <v/>
      </c>
      <c r="G43" s="359"/>
      <c r="H43" s="359"/>
      <c r="I43" s="359"/>
      <c r="J43" s="81"/>
      <c r="L43" s="73" t="str">
        <f t="shared" si="1"/>
        <v/>
      </c>
      <c r="M43" s="73" t="str">
        <f t="shared" si="2"/>
        <v/>
      </c>
      <c r="R43" s="5">
        <v>6381</v>
      </c>
      <c r="S43" s="5" t="s">
        <v>1777</v>
      </c>
      <c r="T43" s="5">
        <v>52</v>
      </c>
      <c r="U43" s="5" t="s">
        <v>1666</v>
      </c>
      <c r="V43">
        <v>638</v>
      </c>
      <c r="W43">
        <v>63</v>
      </c>
    </row>
    <row r="44" spans="1:23">
      <c r="A44" s="374" t="str">
        <f>IF(E44="","",VLOOKUP('OPĆI DIO'!$C$3,'OPĆI DIO'!$L$6:$U$138,10,FALSE))</f>
        <v/>
      </c>
      <c r="B44" s="370" t="str">
        <f>IF(E44="","",VLOOKUP('OPĆI DIO'!$C$3,'OPĆI DIO'!$L$6:$U$138,9,FALSE))</f>
        <v/>
      </c>
      <c r="C44" s="371" t="str">
        <f t="shared" si="5"/>
        <v/>
      </c>
      <c r="D44" s="372" t="str">
        <f t="shared" si="6"/>
        <v/>
      </c>
      <c r="E44" s="81"/>
      <c r="F44" s="373" t="str">
        <f t="shared" si="7"/>
        <v/>
      </c>
      <c r="G44" s="359"/>
      <c r="H44" s="359"/>
      <c r="I44" s="359"/>
      <c r="J44" s="81"/>
      <c r="L44" s="73" t="str">
        <f t="shared" si="1"/>
        <v/>
      </c>
      <c r="M44" s="73" t="str">
        <f t="shared" si="2"/>
        <v/>
      </c>
      <c r="R44" s="5">
        <v>6382</v>
      </c>
      <c r="S44" s="5" t="s">
        <v>1778</v>
      </c>
      <c r="T44" s="5">
        <v>52</v>
      </c>
      <c r="U44" s="5" t="s">
        <v>1666</v>
      </c>
      <c r="V44">
        <v>638</v>
      </c>
      <c r="W44">
        <v>63</v>
      </c>
    </row>
    <row r="45" spans="1:23">
      <c r="A45" s="374" t="str">
        <f>IF(E45="","",VLOOKUP('OPĆI DIO'!$C$3,'OPĆI DIO'!$L$6:$U$138,10,FALSE))</f>
        <v/>
      </c>
      <c r="B45" s="370" t="str">
        <f>IF(E45="","",VLOOKUP('OPĆI DIO'!$C$3,'OPĆI DIO'!$L$6:$U$138,9,FALSE))</f>
        <v/>
      </c>
      <c r="C45" s="371" t="str">
        <f t="shared" si="5"/>
        <v/>
      </c>
      <c r="D45" s="372" t="str">
        <f t="shared" si="6"/>
        <v/>
      </c>
      <c r="E45" s="81"/>
      <c r="F45" s="373" t="str">
        <f t="shared" si="7"/>
        <v/>
      </c>
      <c r="G45" s="359"/>
      <c r="H45" s="359"/>
      <c r="I45" s="359"/>
      <c r="J45" s="81"/>
      <c r="L45" s="73" t="str">
        <f t="shared" si="1"/>
        <v/>
      </c>
      <c r="M45" s="73" t="str">
        <f t="shared" si="2"/>
        <v/>
      </c>
      <c r="R45" s="5">
        <v>6391</v>
      </c>
      <c r="S45" s="5" t="s">
        <v>28</v>
      </c>
      <c r="T45" s="5">
        <v>52</v>
      </c>
      <c r="U45" s="5" t="s">
        <v>1666</v>
      </c>
      <c r="V45">
        <v>639</v>
      </c>
      <c r="W45">
        <v>63</v>
      </c>
    </row>
    <row r="46" spans="1:23">
      <c r="A46" s="374" t="str">
        <f>IF(E46="","",VLOOKUP('OPĆI DIO'!$C$3,'OPĆI DIO'!$L$6:$U$138,10,FALSE))</f>
        <v/>
      </c>
      <c r="B46" s="370" t="str">
        <f>IF(E46="","",VLOOKUP('OPĆI DIO'!$C$3,'OPĆI DIO'!$L$6:$U$138,9,FALSE))</f>
        <v/>
      </c>
      <c r="C46" s="371" t="str">
        <f t="shared" si="5"/>
        <v/>
      </c>
      <c r="D46" s="372" t="str">
        <f t="shared" si="6"/>
        <v/>
      </c>
      <c r="E46" s="81"/>
      <c r="F46" s="373" t="str">
        <f t="shared" si="7"/>
        <v/>
      </c>
      <c r="G46" s="359"/>
      <c r="H46" s="359"/>
      <c r="I46" s="359"/>
      <c r="J46" s="81"/>
      <c r="L46" s="73" t="str">
        <f t="shared" si="1"/>
        <v/>
      </c>
      <c r="M46" s="73" t="str">
        <f t="shared" si="2"/>
        <v/>
      </c>
      <c r="R46" s="5">
        <v>6392</v>
      </c>
      <c r="S46" s="5" t="s">
        <v>29</v>
      </c>
      <c r="T46" s="5">
        <v>52</v>
      </c>
      <c r="U46" s="5" t="s">
        <v>1666</v>
      </c>
      <c r="V46">
        <v>639</v>
      </c>
      <c r="W46">
        <v>63</v>
      </c>
    </row>
    <row r="47" spans="1:23">
      <c r="A47" s="374" t="str">
        <f>IF(E47="","",VLOOKUP('OPĆI DIO'!$C$3,'OPĆI DIO'!$L$6:$U$138,10,FALSE))</f>
        <v/>
      </c>
      <c r="B47" s="370" t="str">
        <f>IF(E47="","",VLOOKUP('OPĆI DIO'!$C$3,'OPĆI DIO'!$L$6:$U$138,9,FALSE))</f>
        <v/>
      </c>
      <c r="C47" s="371" t="str">
        <f t="shared" si="5"/>
        <v/>
      </c>
      <c r="D47" s="372" t="str">
        <f t="shared" si="6"/>
        <v/>
      </c>
      <c r="E47" s="81"/>
      <c r="F47" s="373" t="str">
        <f t="shared" si="7"/>
        <v/>
      </c>
      <c r="G47" s="359"/>
      <c r="H47" s="359"/>
      <c r="I47" s="359"/>
      <c r="J47" s="81"/>
      <c r="L47" s="73" t="str">
        <f t="shared" si="1"/>
        <v/>
      </c>
      <c r="M47" s="73" t="str">
        <f t="shared" si="2"/>
        <v/>
      </c>
      <c r="R47" s="5">
        <v>6393</v>
      </c>
      <c r="S47" s="5" t="s">
        <v>30</v>
      </c>
      <c r="T47" s="5">
        <v>52</v>
      </c>
      <c r="U47" s="5" t="s">
        <v>1666</v>
      </c>
      <c r="V47">
        <v>639</v>
      </c>
      <c r="W47">
        <v>63</v>
      </c>
    </row>
    <row r="48" spans="1:23">
      <c r="A48" s="374" t="str">
        <f>IF(E48="","",VLOOKUP('OPĆI DIO'!$C$3,'OPĆI DIO'!$L$6:$U$138,10,FALSE))</f>
        <v/>
      </c>
      <c r="B48" s="370" t="str">
        <f>IF(E48="","",VLOOKUP('OPĆI DIO'!$C$3,'OPĆI DIO'!$L$6:$U$138,9,FALSE))</f>
        <v/>
      </c>
      <c r="C48" s="371" t="str">
        <f t="shared" si="5"/>
        <v/>
      </c>
      <c r="D48" s="372" t="str">
        <f t="shared" si="6"/>
        <v/>
      </c>
      <c r="E48" s="81"/>
      <c r="F48" s="373" t="str">
        <f t="shared" si="7"/>
        <v/>
      </c>
      <c r="G48" s="359"/>
      <c r="H48" s="359"/>
      <c r="I48" s="359"/>
      <c r="J48" s="81"/>
      <c r="L48" s="73" t="str">
        <f t="shared" si="1"/>
        <v/>
      </c>
      <c r="M48" s="73" t="str">
        <f t="shared" si="2"/>
        <v/>
      </c>
      <c r="R48" s="5">
        <v>6394</v>
      </c>
      <c r="S48" s="5" t="s">
        <v>31</v>
      </c>
      <c r="T48" s="5">
        <v>52</v>
      </c>
      <c r="U48" s="5" t="s">
        <v>1666</v>
      </c>
      <c r="V48">
        <v>639</v>
      </c>
      <c r="W48">
        <v>63</v>
      </c>
    </row>
    <row r="49" spans="1:23">
      <c r="A49" s="374" t="str">
        <f>IF(E49="","",VLOOKUP('OPĆI DIO'!$C$3,'OPĆI DIO'!$L$6:$U$138,10,FALSE))</f>
        <v/>
      </c>
      <c r="B49" s="370" t="str">
        <f>IF(E49="","",VLOOKUP('OPĆI DIO'!$C$3,'OPĆI DIO'!$L$6:$U$138,9,FALSE))</f>
        <v/>
      </c>
      <c r="C49" s="371" t="str">
        <f t="shared" si="5"/>
        <v/>
      </c>
      <c r="D49" s="372" t="str">
        <f t="shared" si="6"/>
        <v/>
      </c>
      <c r="E49" s="81"/>
      <c r="F49" s="373" t="str">
        <f t="shared" si="7"/>
        <v/>
      </c>
      <c r="G49" s="359"/>
      <c r="H49" s="359"/>
      <c r="I49" s="359"/>
      <c r="J49" s="81"/>
      <c r="L49" s="73" t="str">
        <f t="shared" si="1"/>
        <v/>
      </c>
      <c r="M49" s="73" t="str">
        <f t="shared" si="2"/>
        <v/>
      </c>
      <c r="R49" s="5">
        <v>641290031</v>
      </c>
      <c r="S49" s="5" t="s">
        <v>202</v>
      </c>
      <c r="T49" s="5">
        <v>31</v>
      </c>
      <c r="U49" s="5" t="s">
        <v>90</v>
      </c>
      <c r="V49">
        <v>641</v>
      </c>
      <c r="W49">
        <v>64</v>
      </c>
    </row>
    <row r="50" spans="1:23">
      <c r="A50" s="374" t="str">
        <f>IF(E50="","",VLOOKUP('OPĆI DIO'!$C$3,'OPĆI DIO'!$L$6:$U$138,10,FALSE))</f>
        <v/>
      </c>
      <c r="B50" s="370" t="str">
        <f>IF(E50="","",VLOOKUP('OPĆI DIO'!$C$3,'OPĆI DIO'!$L$6:$U$138,9,FALSE))</f>
        <v/>
      </c>
      <c r="C50" s="371" t="str">
        <f t="shared" si="5"/>
        <v/>
      </c>
      <c r="D50" s="372" t="str">
        <f t="shared" si="6"/>
        <v/>
      </c>
      <c r="E50" s="81"/>
      <c r="F50" s="373" t="str">
        <f t="shared" si="7"/>
        <v/>
      </c>
      <c r="G50" s="359"/>
      <c r="H50" s="359"/>
      <c r="I50" s="359"/>
      <c r="J50" s="81"/>
      <c r="L50" s="73" t="str">
        <f t="shared" si="1"/>
        <v/>
      </c>
      <c r="M50" s="73" t="str">
        <f t="shared" si="2"/>
        <v/>
      </c>
      <c r="R50" s="5">
        <v>641310031</v>
      </c>
      <c r="S50" s="5" t="s">
        <v>203</v>
      </c>
      <c r="T50" s="5">
        <v>31</v>
      </c>
      <c r="U50" s="5" t="s">
        <v>90</v>
      </c>
      <c r="V50">
        <v>641</v>
      </c>
      <c r="W50">
        <v>64</v>
      </c>
    </row>
    <row r="51" spans="1:23">
      <c r="A51" s="374" t="str">
        <f>IF(E51="","",VLOOKUP('OPĆI DIO'!$C$3,'OPĆI DIO'!$L$6:$U$138,10,FALSE))</f>
        <v/>
      </c>
      <c r="B51" s="370" t="str">
        <f>IF(E51="","",VLOOKUP('OPĆI DIO'!$C$3,'OPĆI DIO'!$L$6:$U$138,9,FALSE))</f>
        <v/>
      </c>
      <c r="C51" s="371" t="str">
        <f t="shared" si="5"/>
        <v/>
      </c>
      <c r="D51" s="372" t="str">
        <f t="shared" si="6"/>
        <v/>
      </c>
      <c r="E51" s="81"/>
      <c r="F51" s="373" t="str">
        <f t="shared" si="7"/>
        <v/>
      </c>
      <c r="G51" s="359"/>
      <c r="H51" s="359"/>
      <c r="I51" s="359"/>
      <c r="J51" s="81"/>
      <c r="L51" s="73" t="str">
        <f t="shared" si="1"/>
        <v/>
      </c>
      <c r="M51" s="73" t="str">
        <f t="shared" si="2"/>
        <v/>
      </c>
      <c r="R51" s="5">
        <v>641320031</v>
      </c>
      <c r="S51" s="5" t="s">
        <v>204</v>
      </c>
      <c r="T51" s="5">
        <v>31</v>
      </c>
      <c r="U51" s="5" t="s">
        <v>90</v>
      </c>
      <c r="V51">
        <v>641</v>
      </c>
      <c r="W51">
        <v>64</v>
      </c>
    </row>
    <row r="52" spans="1:23">
      <c r="A52" s="374" t="str">
        <f>IF(E52="","",VLOOKUP('OPĆI DIO'!$C$3,'OPĆI DIO'!$L$6:$U$138,10,FALSE))</f>
        <v/>
      </c>
      <c r="B52" s="370" t="str">
        <f>IF(E52="","",VLOOKUP('OPĆI DIO'!$C$3,'OPĆI DIO'!$L$6:$U$138,9,FALSE))</f>
        <v/>
      </c>
      <c r="C52" s="371" t="str">
        <f t="shared" si="5"/>
        <v/>
      </c>
      <c r="D52" s="372" t="str">
        <f t="shared" si="6"/>
        <v/>
      </c>
      <c r="E52" s="81"/>
      <c r="F52" s="373" t="str">
        <f t="shared" si="7"/>
        <v/>
      </c>
      <c r="G52" s="359"/>
      <c r="H52" s="359"/>
      <c r="I52" s="359"/>
      <c r="J52" s="81"/>
      <c r="L52" s="73" t="str">
        <f t="shared" si="1"/>
        <v/>
      </c>
      <c r="M52" s="73" t="str">
        <f t="shared" si="2"/>
        <v/>
      </c>
      <c r="R52" s="5">
        <v>641320043</v>
      </c>
      <c r="S52" s="5" t="s">
        <v>1672</v>
      </c>
      <c r="T52" s="5">
        <v>43</v>
      </c>
      <c r="U52" s="5" t="s">
        <v>95</v>
      </c>
      <c r="V52">
        <v>641</v>
      </c>
      <c r="W52">
        <v>64</v>
      </c>
    </row>
    <row r="53" spans="1:23">
      <c r="A53" s="374" t="str">
        <f>IF(E53="","",VLOOKUP('OPĆI DIO'!$C$3,'OPĆI DIO'!$L$6:$U$138,10,FALSE))</f>
        <v/>
      </c>
      <c r="B53" s="370" t="str">
        <f>IF(E53="","",VLOOKUP('OPĆI DIO'!$C$3,'OPĆI DIO'!$L$6:$U$138,9,FALSE))</f>
        <v/>
      </c>
      <c r="C53" s="371" t="str">
        <f t="shared" si="5"/>
        <v/>
      </c>
      <c r="D53" s="372" t="str">
        <f t="shared" si="6"/>
        <v/>
      </c>
      <c r="E53" s="81"/>
      <c r="F53" s="373" t="str">
        <f t="shared" si="7"/>
        <v/>
      </c>
      <c r="G53" s="359"/>
      <c r="H53" s="359"/>
      <c r="I53" s="359"/>
      <c r="J53" s="81"/>
      <c r="L53" s="73" t="str">
        <f t="shared" si="1"/>
        <v/>
      </c>
      <c r="M53" s="73" t="str">
        <f t="shared" si="2"/>
        <v/>
      </c>
      <c r="R53" s="5">
        <v>641510031</v>
      </c>
      <c r="S53" s="5" t="s">
        <v>1673</v>
      </c>
      <c r="T53" s="5">
        <v>31</v>
      </c>
      <c r="U53" s="5" t="s">
        <v>90</v>
      </c>
      <c r="V53">
        <v>641</v>
      </c>
      <c r="W53">
        <v>64</v>
      </c>
    </row>
    <row r="54" spans="1:23">
      <c r="A54" s="374" t="str">
        <f>IF(E54="","",VLOOKUP('OPĆI DIO'!$C$3,'OPĆI DIO'!$L$6:$U$138,10,FALSE))</f>
        <v/>
      </c>
      <c r="B54" s="370" t="str">
        <f>IF(E54="","",VLOOKUP('OPĆI DIO'!$C$3,'OPĆI DIO'!$L$6:$U$138,9,FALSE))</f>
        <v/>
      </c>
      <c r="C54" s="371" t="str">
        <f t="shared" si="5"/>
        <v/>
      </c>
      <c r="D54" s="372" t="str">
        <f t="shared" si="6"/>
        <v/>
      </c>
      <c r="E54" s="81"/>
      <c r="F54" s="373" t="str">
        <f t="shared" si="7"/>
        <v/>
      </c>
      <c r="G54" s="359"/>
      <c r="H54" s="359"/>
      <c r="I54" s="359"/>
      <c r="J54" s="81"/>
      <c r="L54" s="73" t="str">
        <f t="shared" si="1"/>
        <v/>
      </c>
      <c r="M54" s="73" t="str">
        <f t="shared" si="2"/>
        <v/>
      </c>
      <c r="R54" s="5">
        <v>641510043</v>
      </c>
      <c r="S54" s="5" t="s">
        <v>1674</v>
      </c>
      <c r="T54" s="5">
        <v>43</v>
      </c>
      <c r="U54" s="5" t="s">
        <v>95</v>
      </c>
      <c r="V54">
        <v>641</v>
      </c>
      <c r="W54">
        <v>64</v>
      </c>
    </row>
    <row r="55" spans="1:23">
      <c r="A55" s="374" t="str">
        <f>IF(E55="","",VLOOKUP('OPĆI DIO'!$C$3,'OPĆI DIO'!$L$6:$U$138,10,FALSE))</f>
        <v/>
      </c>
      <c r="B55" s="370" t="str">
        <f>IF(E55="","",VLOOKUP('OPĆI DIO'!$C$3,'OPĆI DIO'!$L$6:$U$138,9,FALSE))</f>
        <v/>
      </c>
      <c r="C55" s="371" t="str">
        <f t="shared" si="5"/>
        <v/>
      </c>
      <c r="D55" s="372" t="str">
        <f t="shared" si="6"/>
        <v/>
      </c>
      <c r="E55" s="81"/>
      <c r="F55" s="373" t="str">
        <f t="shared" si="7"/>
        <v/>
      </c>
      <c r="G55" s="359"/>
      <c r="H55" s="359"/>
      <c r="I55" s="359"/>
      <c r="J55" s="81"/>
      <c r="L55" s="73" t="str">
        <f t="shared" si="1"/>
        <v/>
      </c>
      <c r="M55" s="73" t="str">
        <f t="shared" si="2"/>
        <v/>
      </c>
      <c r="R55" s="5">
        <v>641630031</v>
      </c>
      <c r="S55" s="5" t="s">
        <v>205</v>
      </c>
      <c r="T55" s="5">
        <v>31</v>
      </c>
      <c r="U55" s="5" t="s">
        <v>90</v>
      </c>
      <c r="V55">
        <v>641</v>
      </c>
      <c r="W55">
        <v>64</v>
      </c>
    </row>
    <row r="56" spans="1:23">
      <c r="A56" s="374" t="str">
        <f>IF(E56="","",VLOOKUP('OPĆI DIO'!$C$3,'OPĆI DIO'!$L$6:$U$138,10,FALSE))</f>
        <v/>
      </c>
      <c r="B56" s="370" t="str">
        <f>IF(E56="","",VLOOKUP('OPĆI DIO'!$C$3,'OPĆI DIO'!$L$6:$U$138,9,FALSE))</f>
        <v/>
      </c>
      <c r="C56" s="371" t="str">
        <f t="shared" si="5"/>
        <v/>
      </c>
      <c r="D56" s="372" t="str">
        <f t="shared" si="6"/>
        <v/>
      </c>
      <c r="E56" s="81"/>
      <c r="F56" s="373" t="str">
        <f t="shared" si="7"/>
        <v/>
      </c>
      <c r="G56" s="359"/>
      <c r="H56" s="359"/>
      <c r="I56" s="359"/>
      <c r="J56" s="81"/>
      <c r="L56" s="73" t="str">
        <f t="shared" si="1"/>
        <v/>
      </c>
      <c r="M56" s="73" t="str">
        <f t="shared" si="2"/>
        <v/>
      </c>
      <c r="R56" s="5">
        <v>641720043</v>
      </c>
      <c r="S56" s="5" t="s">
        <v>208</v>
      </c>
      <c r="T56" s="5">
        <v>43</v>
      </c>
      <c r="U56" s="5" t="s">
        <v>95</v>
      </c>
      <c r="V56">
        <v>641</v>
      </c>
      <c r="W56">
        <v>64</v>
      </c>
    </row>
    <row r="57" spans="1:23">
      <c r="A57" s="374" t="str">
        <f>IF(E57="","",VLOOKUP('OPĆI DIO'!$C$3,'OPĆI DIO'!$L$6:$U$138,10,FALSE))</f>
        <v/>
      </c>
      <c r="B57" s="370" t="str">
        <f>IF(E57="","",VLOOKUP('OPĆI DIO'!$C$3,'OPĆI DIO'!$L$6:$U$138,9,FALSE))</f>
        <v/>
      </c>
      <c r="C57" s="371" t="str">
        <f t="shared" si="5"/>
        <v/>
      </c>
      <c r="D57" s="372" t="str">
        <f t="shared" si="6"/>
        <v/>
      </c>
      <c r="E57" s="81"/>
      <c r="F57" s="373" t="str">
        <f t="shared" si="7"/>
        <v/>
      </c>
      <c r="G57" s="359"/>
      <c r="H57" s="359"/>
      <c r="I57" s="359"/>
      <c r="J57" s="81"/>
      <c r="L57" s="73" t="str">
        <f t="shared" si="1"/>
        <v/>
      </c>
      <c r="M57" s="73" t="str">
        <f t="shared" si="2"/>
        <v/>
      </c>
      <c r="R57" s="5">
        <v>641770041</v>
      </c>
      <c r="S57" s="5" t="s">
        <v>1211</v>
      </c>
      <c r="T57" s="5">
        <v>41</v>
      </c>
      <c r="U57" s="5" t="s">
        <v>1204</v>
      </c>
      <c r="V57">
        <v>641</v>
      </c>
      <c r="W57">
        <v>64</v>
      </c>
    </row>
    <row r="58" spans="1:23">
      <c r="A58" s="374" t="str">
        <f>IF(E58="","",VLOOKUP('OPĆI DIO'!$C$3,'OPĆI DIO'!$L$6:$U$138,10,FALSE))</f>
        <v/>
      </c>
      <c r="B58" s="370" t="str">
        <f>IF(E58="","",VLOOKUP('OPĆI DIO'!$C$3,'OPĆI DIO'!$L$6:$U$138,9,FALSE))</f>
        <v/>
      </c>
      <c r="C58" s="371" t="str">
        <f t="shared" si="5"/>
        <v/>
      </c>
      <c r="D58" s="372" t="str">
        <f t="shared" si="6"/>
        <v/>
      </c>
      <c r="E58" s="81"/>
      <c r="F58" s="373" t="str">
        <f t="shared" si="7"/>
        <v/>
      </c>
      <c r="G58" s="359"/>
      <c r="H58" s="359"/>
      <c r="I58" s="359"/>
      <c r="J58" s="81"/>
      <c r="L58" s="73" t="str">
        <f t="shared" si="1"/>
        <v/>
      </c>
      <c r="M58" s="73" t="str">
        <f t="shared" si="2"/>
        <v/>
      </c>
      <c r="R58" s="5">
        <v>641990043</v>
      </c>
      <c r="S58" s="5" t="s">
        <v>1675</v>
      </c>
      <c r="T58" s="5">
        <v>43</v>
      </c>
      <c r="U58" s="5" t="s">
        <v>95</v>
      </c>
      <c r="V58">
        <v>641</v>
      </c>
      <c r="W58">
        <v>64</v>
      </c>
    </row>
    <row r="59" spans="1:23">
      <c r="A59" s="374" t="str">
        <f>IF(E59="","",VLOOKUP('OPĆI DIO'!$C$3,'OPĆI DIO'!$L$6:$U$138,10,FALSE))</f>
        <v/>
      </c>
      <c r="B59" s="370" t="str">
        <f>IF(E59="","",VLOOKUP('OPĆI DIO'!$C$3,'OPĆI DIO'!$L$6:$U$138,9,FALSE))</f>
        <v/>
      </c>
      <c r="C59" s="371" t="str">
        <f t="shared" si="5"/>
        <v/>
      </c>
      <c r="D59" s="372" t="str">
        <f t="shared" si="6"/>
        <v/>
      </c>
      <c r="E59" s="81"/>
      <c r="F59" s="373" t="str">
        <f t="shared" si="7"/>
        <v/>
      </c>
      <c r="G59" s="359"/>
      <c r="H59" s="359"/>
      <c r="I59" s="359"/>
      <c r="J59" s="81"/>
      <c r="L59" s="73" t="str">
        <f t="shared" si="1"/>
        <v/>
      </c>
      <c r="M59" s="73" t="str">
        <f t="shared" si="2"/>
        <v/>
      </c>
      <c r="R59" s="5">
        <v>642510031</v>
      </c>
      <c r="S59" s="5" t="s">
        <v>206</v>
      </c>
      <c r="T59" s="5">
        <v>31</v>
      </c>
      <c r="U59" s="5" t="s">
        <v>90</v>
      </c>
      <c r="V59">
        <v>642</v>
      </c>
      <c r="W59">
        <v>64</v>
      </c>
    </row>
    <row r="60" spans="1:23">
      <c r="A60" s="374" t="str">
        <f>IF(E60="","",VLOOKUP('OPĆI DIO'!$C$3,'OPĆI DIO'!$L$6:$U$138,10,FALSE))</f>
        <v/>
      </c>
      <c r="B60" s="370" t="str">
        <f>IF(E60="","",VLOOKUP('OPĆI DIO'!$C$3,'OPĆI DIO'!$L$6:$U$138,9,FALSE))</f>
        <v/>
      </c>
      <c r="C60" s="371" t="str">
        <f t="shared" si="5"/>
        <v/>
      </c>
      <c r="D60" s="372" t="str">
        <f t="shared" si="6"/>
        <v/>
      </c>
      <c r="E60" s="81"/>
      <c r="F60" s="373" t="str">
        <f t="shared" si="7"/>
        <v/>
      </c>
      <c r="G60" s="359"/>
      <c r="H60" s="359"/>
      <c r="I60" s="359"/>
      <c r="J60" s="81"/>
      <c r="L60" s="73" t="str">
        <f t="shared" si="1"/>
        <v/>
      </c>
      <c r="M60" s="73" t="str">
        <f t="shared" si="2"/>
        <v/>
      </c>
      <c r="R60" s="5">
        <v>642990031</v>
      </c>
      <c r="S60" s="5" t="s">
        <v>207</v>
      </c>
      <c r="T60" s="5">
        <v>31</v>
      </c>
      <c r="U60" s="5" t="s">
        <v>90</v>
      </c>
      <c r="V60">
        <v>642</v>
      </c>
      <c r="W60">
        <v>64</v>
      </c>
    </row>
    <row r="61" spans="1:23">
      <c r="A61" s="374" t="str">
        <f>IF(E61="","",VLOOKUP('OPĆI DIO'!$C$3,'OPĆI DIO'!$L$6:$U$138,10,FALSE))</f>
        <v/>
      </c>
      <c r="B61" s="370" t="str">
        <f>IF(E61="","",VLOOKUP('OPĆI DIO'!$C$3,'OPĆI DIO'!$L$6:$U$138,9,FALSE))</f>
        <v/>
      </c>
      <c r="C61" s="371" t="str">
        <f t="shared" si="5"/>
        <v/>
      </c>
      <c r="D61" s="372" t="str">
        <f t="shared" si="6"/>
        <v/>
      </c>
      <c r="E61" s="81"/>
      <c r="F61" s="373" t="str">
        <f t="shared" si="7"/>
        <v/>
      </c>
      <c r="G61" s="359"/>
      <c r="H61" s="359"/>
      <c r="I61" s="359"/>
      <c r="J61" s="81"/>
      <c r="L61" s="73" t="str">
        <f t="shared" si="1"/>
        <v/>
      </c>
      <c r="M61" s="73" t="str">
        <f t="shared" si="2"/>
        <v/>
      </c>
      <c r="R61" s="5">
        <v>65148</v>
      </c>
      <c r="S61" s="5" t="s">
        <v>19</v>
      </c>
      <c r="T61" s="5">
        <v>43</v>
      </c>
      <c r="U61" s="5" t="s">
        <v>95</v>
      </c>
      <c r="V61">
        <v>651</v>
      </c>
      <c r="W61">
        <v>65</v>
      </c>
    </row>
    <row r="62" spans="1:23">
      <c r="A62" s="374" t="str">
        <f>IF(E62="","",VLOOKUP('OPĆI DIO'!$C$3,'OPĆI DIO'!$L$6:$U$138,10,FALSE))</f>
        <v/>
      </c>
      <c r="B62" s="370" t="str">
        <f>IF(E62="","",VLOOKUP('OPĆI DIO'!$C$3,'OPĆI DIO'!$L$6:$U$138,9,FALSE))</f>
        <v/>
      </c>
      <c r="C62" s="371" t="str">
        <f t="shared" si="5"/>
        <v/>
      </c>
      <c r="D62" s="372" t="str">
        <f t="shared" si="6"/>
        <v/>
      </c>
      <c r="E62" s="81"/>
      <c r="F62" s="373" t="str">
        <f t="shared" si="7"/>
        <v/>
      </c>
      <c r="G62" s="359"/>
      <c r="H62" s="359"/>
      <c r="I62" s="359"/>
      <c r="J62" s="81"/>
      <c r="L62" s="73" t="str">
        <f t="shared" si="1"/>
        <v/>
      </c>
      <c r="M62" s="73" t="str">
        <f t="shared" si="2"/>
        <v/>
      </c>
      <c r="R62" s="5">
        <v>65218</v>
      </c>
      <c r="S62" s="5" t="s">
        <v>1676</v>
      </c>
      <c r="T62" s="5">
        <v>43</v>
      </c>
      <c r="U62" s="5" t="s">
        <v>95</v>
      </c>
      <c r="V62">
        <v>652</v>
      </c>
      <c r="W62">
        <v>65</v>
      </c>
    </row>
    <row r="63" spans="1:23">
      <c r="A63" s="374" t="str">
        <f>IF(E63="","",VLOOKUP('OPĆI DIO'!$C$3,'OPĆI DIO'!$L$6:$U$138,10,FALSE))</f>
        <v/>
      </c>
      <c r="B63" s="370" t="str">
        <f>IF(E63="","",VLOOKUP('OPĆI DIO'!$C$3,'OPĆI DIO'!$L$6:$U$138,9,FALSE))</f>
        <v/>
      </c>
      <c r="C63" s="371" t="str">
        <f t="shared" si="5"/>
        <v/>
      </c>
      <c r="D63" s="372" t="str">
        <f t="shared" si="6"/>
        <v/>
      </c>
      <c r="E63" s="81"/>
      <c r="F63" s="373" t="str">
        <f t="shared" si="7"/>
        <v/>
      </c>
      <c r="G63" s="359"/>
      <c r="H63" s="359"/>
      <c r="I63" s="359"/>
      <c r="J63" s="81"/>
      <c r="L63" s="73" t="str">
        <f t="shared" si="1"/>
        <v/>
      </c>
      <c r="M63" s="73" t="str">
        <f t="shared" si="2"/>
        <v/>
      </c>
      <c r="R63" s="5">
        <v>65264</v>
      </c>
      <c r="S63" s="5" t="s">
        <v>209</v>
      </c>
      <c r="T63" s="5">
        <v>43</v>
      </c>
      <c r="U63" s="5" t="s">
        <v>95</v>
      </c>
      <c r="V63">
        <v>652</v>
      </c>
      <c r="W63">
        <v>65</v>
      </c>
    </row>
    <row r="64" spans="1:23">
      <c r="A64" s="374" t="str">
        <f>IF(E64="","",VLOOKUP('OPĆI DIO'!$C$3,'OPĆI DIO'!$L$6:$U$138,10,FALSE))</f>
        <v/>
      </c>
      <c r="B64" s="370" t="str">
        <f>IF(E64="","",VLOOKUP('OPĆI DIO'!$C$3,'OPĆI DIO'!$L$6:$U$138,9,FALSE))</f>
        <v/>
      </c>
      <c r="C64" s="371" t="str">
        <f t="shared" si="5"/>
        <v/>
      </c>
      <c r="D64" s="372" t="str">
        <f t="shared" si="6"/>
        <v/>
      </c>
      <c r="E64" s="81"/>
      <c r="F64" s="373" t="str">
        <f t="shared" si="7"/>
        <v/>
      </c>
      <c r="G64" s="359"/>
      <c r="H64" s="359"/>
      <c r="I64" s="359"/>
      <c r="J64" s="81"/>
      <c r="L64" s="73" t="str">
        <f t="shared" si="1"/>
        <v/>
      </c>
      <c r="M64" s="73" t="str">
        <f t="shared" si="2"/>
        <v/>
      </c>
      <c r="R64" s="5">
        <v>652670043</v>
      </c>
      <c r="S64" s="5" t="s">
        <v>210</v>
      </c>
      <c r="T64" s="5">
        <v>43</v>
      </c>
      <c r="U64" s="5" t="s">
        <v>95</v>
      </c>
      <c r="V64">
        <v>652</v>
      </c>
      <c r="W64">
        <v>65</v>
      </c>
    </row>
    <row r="65" spans="1:23">
      <c r="A65" s="374" t="str">
        <f>IF(E65="","",VLOOKUP('OPĆI DIO'!$C$3,'OPĆI DIO'!$L$6:$U$138,10,FALSE))</f>
        <v/>
      </c>
      <c r="B65" s="370" t="str">
        <f>IF(E65="","",VLOOKUP('OPĆI DIO'!$C$3,'OPĆI DIO'!$L$6:$U$138,9,FALSE))</f>
        <v/>
      </c>
      <c r="C65" s="371" t="str">
        <f t="shared" si="5"/>
        <v/>
      </c>
      <c r="D65" s="372" t="str">
        <f t="shared" si="6"/>
        <v/>
      </c>
      <c r="E65" s="81"/>
      <c r="F65" s="373" t="str">
        <f t="shared" si="7"/>
        <v/>
      </c>
      <c r="G65" s="359"/>
      <c r="H65" s="359"/>
      <c r="I65" s="359"/>
      <c r="J65" s="81"/>
      <c r="L65" s="73" t="str">
        <f t="shared" si="1"/>
        <v/>
      </c>
      <c r="M65" s="73" t="str">
        <f t="shared" si="2"/>
        <v/>
      </c>
      <c r="R65" s="5">
        <v>652670071</v>
      </c>
      <c r="S65" s="5" t="s">
        <v>1780</v>
      </c>
      <c r="T65" s="5">
        <v>71</v>
      </c>
      <c r="U65" s="5" t="s">
        <v>171</v>
      </c>
      <c r="V65">
        <v>652</v>
      </c>
      <c r="W65">
        <v>65</v>
      </c>
    </row>
    <row r="66" spans="1:23">
      <c r="A66" s="374" t="str">
        <f>IF(E66="","",VLOOKUP('OPĆI DIO'!$C$3,'OPĆI DIO'!$L$6:$U$138,10,FALSE))</f>
        <v/>
      </c>
      <c r="B66" s="370" t="str">
        <f>IF(E66="","",VLOOKUP('OPĆI DIO'!$C$3,'OPĆI DIO'!$L$6:$U$138,9,FALSE))</f>
        <v/>
      </c>
      <c r="C66" s="371" t="str">
        <f t="shared" si="5"/>
        <v/>
      </c>
      <c r="D66" s="372" t="str">
        <f t="shared" si="6"/>
        <v/>
      </c>
      <c r="E66" s="81"/>
      <c r="F66" s="373" t="str">
        <f t="shared" si="7"/>
        <v/>
      </c>
      <c r="G66" s="359"/>
      <c r="H66" s="359"/>
      <c r="I66" s="359"/>
      <c r="J66" s="81"/>
      <c r="L66" s="73" t="str">
        <f t="shared" si="1"/>
        <v/>
      </c>
      <c r="M66" s="73" t="str">
        <f t="shared" si="2"/>
        <v/>
      </c>
      <c r="R66" s="5">
        <v>65268</v>
      </c>
      <c r="S66" s="5" t="s">
        <v>1677</v>
      </c>
      <c r="T66" s="5">
        <v>43</v>
      </c>
      <c r="U66" s="5" t="s">
        <v>95</v>
      </c>
      <c r="V66">
        <v>652</v>
      </c>
      <c r="W66">
        <v>65</v>
      </c>
    </row>
    <row r="67" spans="1:23">
      <c r="A67" s="374" t="str">
        <f>IF(E67="","",VLOOKUP('OPĆI DIO'!$C$3,'OPĆI DIO'!$L$6:$U$138,10,FALSE))</f>
        <v/>
      </c>
      <c r="B67" s="370" t="str">
        <f>IF(E67="","",VLOOKUP('OPĆI DIO'!$C$3,'OPĆI DIO'!$L$6:$U$138,9,FALSE))</f>
        <v/>
      </c>
      <c r="C67" s="371" t="str">
        <f t="shared" ref="C67:C130" si="8">IFERROR(VLOOKUP(E67,$R$6:$U$113,3,FALSE),"")</f>
        <v/>
      </c>
      <c r="D67" s="372" t="str">
        <f t="shared" ref="D67:D130" si="9">IFERROR(VLOOKUP(E67,$R$6:$U$113,4,FALSE),"")</f>
        <v/>
      </c>
      <c r="E67" s="81"/>
      <c r="F67" s="373" t="str">
        <f t="shared" ref="F67:F130" si="10">IFERROR(VLOOKUP(E67,$R$6:$U$113,2,FALSE),"")</f>
        <v/>
      </c>
      <c r="G67" s="359"/>
      <c r="H67" s="359"/>
      <c r="I67" s="359"/>
      <c r="J67" s="81"/>
      <c r="L67" s="73" t="str">
        <f t="shared" si="1"/>
        <v/>
      </c>
      <c r="M67" s="73" t="str">
        <f t="shared" si="2"/>
        <v/>
      </c>
      <c r="R67" s="5">
        <v>6614</v>
      </c>
      <c r="S67" s="5" t="s">
        <v>1699</v>
      </c>
      <c r="T67" s="5">
        <v>31</v>
      </c>
      <c r="U67" s="5" t="s">
        <v>90</v>
      </c>
      <c r="V67">
        <v>661</v>
      </c>
      <c r="W67">
        <v>66</v>
      </c>
    </row>
    <row r="68" spans="1:23">
      <c r="A68" s="374" t="str">
        <f>IF(E68="","",VLOOKUP('OPĆI DIO'!$C$3,'OPĆI DIO'!$L$6:$U$138,10,FALSE))</f>
        <v/>
      </c>
      <c r="B68" s="370" t="str">
        <f>IF(E68="","",VLOOKUP('OPĆI DIO'!$C$3,'OPĆI DIO'!$L$6:$U$138,9,FALSE))</f>
        <v/>
      </c>
      <c r="C68" s="371" t="str">
        <f t="shared" si="8"/>
        <v/>
      </c>
      <c r="D68" s="372" t="str">
        <f t="shared" si="9"/>
        <v/>
      </c>
      <c r="E68" s="81"/>
      <c r="F68" s="373" t="str">
        <f t="shared" si="10"/>
        <v/>
      </c>
      <c r="G68" s="359"/>
      <c r="H68" s="359"/>
      <c r="I68" s="359"/>
      <c r="J68" s="81"/>
      <c r="L68" s="73" t="str">
        <f t="shared" ref="L68:L131" si="11">LEFT(E68,2)</f>
        <v/>
      </c>
      <c r="M68" s="73" t="str">
        <f t="shared" ref="M68:M131" si="12">LEFT(E68,3)</f>
        <v/>
      </c>
      <c r="R68" s="5">
        <v>6615</v>
      </c>
      <c r="S68" s="5" t="s">
        <v>18</v>
      </c>
      <c r="T68" s="5">
        <v>31</v>
      </c>
      <c r="U68" s="5" t="s">
        <v>90</v>
      </c>
      <c r="V68">
        <v>661</v>
      </c>
      <c r="W68">
        <v>66</v>
      </c>
    </row>
    <row r="69" spans="1:23">
      <c r="A69" s="374" t="str">
        <f>IF(E69="","",VLOOKUP('OPĆI DIO'!$C$3,'OPĆI DIO'!$L$6:$U$138,10,FALSE))</f>
        <v/>
      </c>
      <c r="B69" s="370" t="str">
        <f>IF(E69="","",VLOOKUP('OPĆI DIO'!$C$3,'OPĆI DIO'!$L$6:$U$138,9,FALSE))</f>
        <v/>
      </c>
      <c r="C69" s="371" t="str">
        <f t="shared" si="8"/>
        <v/>
      </c>
      <c r="D69" s="372" t="str">
        <f t="shared" si="9"/>
        <v/>
      </c>
      <c r="E69" s="81"/>
      <c r="F69" s="373" t="str">
        <f t="shared" si="10"/>
        <v/>
      </c>
      <c r="G69" s="359"/>
      <c r="H69" s="359"/>
      <c r="I69" s="359"/>
      <c r="J69" s="81"/>
      <c r="L69" s="73" t="str">
        <f t="shared" si="11"/>
        <v/>
      </c>
      <c r="M69" s="73" t="str">
        <f t="shared" si="12"/>
        <v/>
      </c>
      <c r="R69" s="5">
        <v>663110000</v>
      </c>
      <c r="S69" s="5" t="s">
        <v>32</v>
      </c>
      <c r="T69" s="5">
        <v>61</v>
      </c>
      <c r="U69" s="5" t="s">
        <v>1678</v>
      </c>
      <c r="V69">
        <v>663</v>
      </c>
      <c r="W69">
        <v>66</v>
      </c>
    </row>
    <row r="70" spans="1:23">
      <c r="A70" s="374" t="str">
        <f>IF(E70="","",VLOOKUP('OPĆI DIO'!$C$3,'OPĆI DIO'!$L$6:$U$138,10,FALSE))</f>
        <v/>
      </c>
      <c r="B70" s="370" t="str">
        <f>IF(E70="","",VLOOKUP('OPĆI DIO'!$C$3,'OPĆI DIO'!$L$6:$U$138,9,FALSE))</f>
        <v/>
      </c>
      <c r="C70" s="371" t="str">
        <f t="shared" si="8"/>
        <v/>
      </c>
      <c r="D70" s="372" t="str">
        <f t="shared" si="9"/>
        <v/>
      </c>
      <c r="E70" s="81"/>
      <c r="F70" s="373" t="str">
        <f t="shared" si="10"/>
        <v/>
      </c>
      <c r="G70" s="359"/>
      <c r="H70" s="359"/>
      <c r="I70" s="359"/>
      <c r="J70" s="81"/>
      <c r="L70" s="73" t="str">
        <f t="shared" si="11"/>
        <v/>
      </c>
      <c r="M70" s="73" t="str">
        <f t="shared" si="12"/>
        <v/>
      </c>
      <c r="R70" s="5">
        <v>663120000</v>
      </c>
      <c r="S70" s="5" t="s">
        <v>33</v>
      </c>
      <c r="T70" s="5">
        <v>61</v>
      </c>
      <c r="U70" s="5" t="s">
        <v>1678</v>
      </c>
      <c r="V70">
        <v>663</v>
      </c>
      <c r="W70">
        <v>66</v>
      </c>
    </row>
    <row r="71" spans="1:23">
      <c r="A71" s="374" t="str">
        <f>IF(E71="","",VLOOKUP('OPĆI DIO'!$C$3,'OPĆI DIO'!$L$6:$U$138,10,FALSE))</f>
        <v/>
      </c>
      <c r="B71" s="370" t="str">
        <f>IF(E71="","",VLOOKUP('OPĆI DIO'!$C$3,'OPĆI DIO'!$L$6:$U$138,9,FALSE))</f>
        <v/>
      </c>
      <c r="C71" s="371" t="str">
        <f t="shared" si="8"/>
        <v/>
      </c>
      <c r="D71" s="372" t="str">
        <f t="shared" si="9"/>
        <v/>
      </c>
      <c r="E71" s="81"/>
      <c r="F71" s="373" t="str">
        <f t="shared" si="10"/>
        <v/>
      </c>
      <c r="G71" s="359"/>
      <c r="H71" s="359"/>
      <c r="I71" s="359"/>
      <c r="J71" s="81"/>
      <c r="L71" s="73" t="str">
        <f t="shared" si="11"/>
        <v/>
      </c>
      <c r="M71" s="73" t="str">
        <f t="shared" si="12"/>
        <v/>
      </c>
      <c r="R71" s="5">
        <v>663130000</v>
      </c>
      <c r="S71" s="5" t="s">
        <v>34</v>
      </c>
      <c r="T71" s="5">
        <v>61</v>
      </c>
      <c r="U71" s="5" t="s">
        <v>1678</v>
      </c>
      <c r="V71">
        <v>663</v>
      </c>
      <c r="W71">
        <v>66</v>
      </c>
    </row>
    <row r="72" spans="1:23">
      <c r="A72" s="374" t="str">
        <f>IF(E72="","",VLOOKUP('OPĆI DIO'!$C$3,'OPĆI DIO'!$L$6:$U$138,10,FALSE))</f>
        <v/>
      </c>
      <c r="B72" s="370" t="str">
        <f>IF(E72="","",VLOOKUP('OPĆI DIO'!$C$3,'OPĆI DIO'!$L$6:$U$138,9,FALSE))</f>
        <v/>
      </c>
      <c r="C72" s="371" t="str">
        <f t="shared" si="8"/>
        <v/>
      </c>
      <c r="D72" s="372" t="str">
        <f t="shared" si="9"/>
        <v/>
      </c>
      <c r="E72" s="81"/>
      <c r="F72" s="373" t="str">
        <f t="shared" si="10"/>
        <v/>
      </c>
      <c r="G72" s="359"/>
      <c r="H72" s="359"/>
      <c r="I72" s="359"/>
      <c r="J72" s="81"/>
      <c r="L72" s="73" t="str">
        <f t="shared" si="11"/>
        <v/>
      </c>
      <c r="M72" s="73" t="str">
        <f t="shared" si="12"/>
        <v/>
      </c>
      <c r="R72" s="5">
        <v>663140000</v>
      </c>
      <c r="S72" s="5" t="s">
        <v>1679</v>
      </c>
      <c r="T72" s="5">
        <v>61</v>
      </c>
      <c r="U72" s="5" t="s">
        <v>1678</v>
      </c>
      <c r="V72">
        <v>663</v>
      </c>
      <c r="W72">
        <v>66</v>
      </c>
    </row>
    <row r="73" spans="1:23">
      <c r="A73" s="374" t="str">
        <f>IF(E73="","",VLOOKUP('OPĆI DIO'!$C$3,'OPĆI DIO'!$L$6:$U$138,10,FALSE))</f>
        <v/>
      </c>
      <c r="B73" s="370" t="str">
        <f>IF(E73="","",VLOOKUP('OPĆI DIO'!$C$3,'OPĆI DIO'!$L$6:$U$138,9,FALSE))</f>
        <v/>
      </c>
      <c r="C73" s="371" t="str">
        <f t="shared" si="8"/>
        <v/>
      </c>
      <c r="D73" s="372" t="str">
        <f t="shared" si="9"/>
        <v/>
      </c>
      <c r="E73" s="81"/>
      <c r="F73" s="373" t="str">
        <f t="shared" si="10"/>
        <v/>
      </c>
      <c r="G73" s="359"/>
      <c r="H73" s="359"/>
      <c r="I73" s="359"/>
      <c r="J73" s="81"/>
      <c r="L73" s="73" t="str">
        <f t="shared" si="11"/>
        <v/>
      </c>
      <c r="M73" s="73" t="str">
        <f t="shared" si="12"/>
        <v/>
      </c>
      <c r="R73" s="5">
        <v>663210000</v>
      </c>
      <c r="S73" s="5" t="s">
        <v>1680</v>
      </c>
      <c r="T73" s="5">
        <v>61</v>
      </c>
      <c r="U73" s="5" t="s">
        <v>1678</v>
      </c>
      <c r="V73">
        <v>663</v>
      </c>
      <c r="W73">
        <v>66</v>
      </c>
    </row>
    <row r="74" spans="1:23">
      <c r="A74" s="374" t="str">
        <f>IF(E74="","",VLOOKUP('OPĆI DIO'!$C$3,'OPĆI DIO'!$L$6:$U$138,10,FALSE))</f>
        <v/>
      </c>
      <c r="B74" s="370" t="str">
        <f>IF(E74="","",VLOOKUP('OPĆI DIO'!$C$3,'OPĆI DIO'!$L$6:$U$138,9,FALSE))</f>
        <v/>
      </c>
      <c r="C74" s="371" t="str">
        <f t="shared" si="8"/>
        <v/>
      </c>
      <c r="D74" s="372" t="str">
        <f t="shared" si="9"/>
        <v/>
      </c>
      <c r="E74" s="81"/>
      <c r="F74" s="373" t="str">
        <f t="shared" si="10"/>
        <v/>
      </c>
      <c r="G74" s="359"/>
      <c r="H74" s="359"/>
      <c r="I74" s="359"/>
      <c r="J74" s="81"/>
      <c r="L74" s="73" t="str">
        <f t="shared" si="11"/>
        <v/>
      </c>
      <c r="M74" s="73" t="str">
        <f t="shared" si="12"/>
        <v/>
      </c>
      <c r="R74" s="5">
        <v>663220000</v>
      </c>
      <c r="S74" s="5" t="s">
        <v>35</v>
      </c>
      <c r="T74" s="5">
        <v>61</v>
      </c>
      <c r="U74" s="5" t="s">
        <v>1678</v>
      </c>
      <c r="V74">
        <v>663</v>
      </c>
      <c r="W74">
        <v>66</v>
      </c>
    </row>
    <row r="75" spans="1:23">
      <c r="A75" s="374" t="str">
        <f>IF(E75="","",VLOOKUP('OPĆI DIO'!$C$3,'OPĆI DIO'!$L$6:$U$138,10,FALSE))</f>
        <v/>
      </c>
      <c r="B75" s="370" t="str">
        <f>IF(E75="","",VLOOKUP('OPĆI DIO'!$C$3,'OPĆI DIO'!$L$6:$U$138,9,FALSE))</f>
        <v/>
      </c>
      <c r="C75" s="371" t="str">
        <f t="shared" si="8"/>
        <v/>
      </c>
      <c r="D75" s="372" t="str">
        <f t="shared" si="9"/>
        <v/>
      </c>
      <c r="E75" s="81"/>
      <c r="F75" s="373" t="str">
        <f t="shared" si="10"/>
        <v/>
      </c>
      <c r="G75" s="359"/>
      <c r="H75" s="359"/>
      <c r="I75" s="359"/>
      <c r="J75" s="81"/>
      <c r="L75" s="73" t="str">
        <f t="shared" si="11"/>
        <v/>
      </c>
      <c r="M75" s="73" t="str">
        <f t="shared" si="12"/>
        <v/>
      </c>
      <c r="R75" s="5">
        <v>663230000</v>
      </c>
      <c r="S75" s="5" t="s">
        <v>36</v>
      </c>
      <c r="T75" s="5">
        <v>61</v>
      </c>
      <c r="U75" s="5" t="s">
        <v>1678</v>
      </c>
      <c r="V75">
        <v>663</v>
      </c>
      <c r="W75">
        <v>66</v>
      </c>
    </row>
    <row r="76" spans="1:23">
      <c r="A76" s="374" t="str">
        <f>IF(E76="","",VLOOKUP('OPĆI DIO'!$C$3,'OPĆI DIO'!$L$6:$U$138,10,FALSE))</f>
        <v/>
      </c>
      <c r="B76" s="370" t="str">
        <f>IF(E76="","",VLOOKUP('OPĆI DIO'!$C$3,'OPĆI DIO'!$L$6:$U$138,9,FALSE))</f>
        <v/>
      </c>
      <c r="C76" s="371" t="str">
        <f t="shared" si="8"/>
        <v/>
      </c>
      <c r="D76" s="372" t="str">
        <f t="shared" si="9"/>
        <v/>
      </c>
      <c r="E76" s="81"/>
      <c r="F76" s="373" t="str">
        <f t="shared" si="10"/>
        <v/>
      </c>
      <c r="G76" s="359"/>
      <c r="H76" s="359"/>
      <c r="I76" s="359"/>
      <c r="J76" s="81"/>
      <c r="L76" s="73" t="str">
        <f t="shared" si="11"/>
        <v/>
      </c>
      <c r="M76" s="73" t="str">
        <f t="shared" si="12"/>
        <v/>
      </c>
      <c r="R76" s="5">
        <v>663240000</v>
      </c>
      <c r="S76" s="5" t="s">
        <v>1681</v>
      </c>
      <c r="T76" s="5">
        <v>61</v>
      </c>
      <c r="U76" s="5" t="s">
        <v>1678</v>
      </c>
      <c r="V76">
        <v>663</v>
      </c>
      <c r="W76">
        <v>66</v>
      </c>
    </row>
    <row r="77" spans="1:23">
      <c r="A77" s="374" t="str">
        <f>IF(E77="","",VLOOKUP('OPĆI DIO'!$C$3,'OPĆI DIO'!$L$6:$U$138,10,FALSE))</f>
        <v/>
      </c>
      <c r="B77" s="370" t="str">
        <f>IF(E77="","",VLOOKUP('OPĆI DIO'!$C$3,'OPĆI DIO'!$L$6:$U$138,9,FALSE))</f>
        <v/>
      </c>
      <c r="C77" s="371" t="str">
        <f t="shared" si="8"/>
        <v/>
      </c>
      <c r="D77" s="372" t="str">
        <f t="shared" si="9"/>
        <v/>
      </c>
      <c r="E77" s="81"/>
      <c r="F77" s="373" t="str">
        <f t="shared" si="10"/>
        <v/>
      </c>
      <c r="G77" s="359"/>
      <c r="H77" s="359"/>
      <c r="I77" s="359"/>
      <c r="J77" s="81"/>
      <c r="L77" s="73" t="str">
        <f t="shared" si="11"/>
        <v/>
      </c>
      <c r="M77" s="73" t="str">
        <f t="shared" si="12"/>
        <v/>
      </c>
      <c r="R77" s="5">
        <v>663121000</v>
      </c>
      <c r="S77" s="5" t="s">
        <v>5251</v>
      </c>
      <c r="T77" s="5">
        <v>63</v>
      </c>
      <c r="U77" s="5" t="s">
        <v>5255</v>
      </c>
      <c r="V77">
        <v>663</v>
      </c>
      <c r="W77">
        <v>66</v>
      </c>
    </row>
    <row r="78" spans="1:23">
      <c r="A78" s="374" t="str">
        <f>IF(E78="","",VLOOKUP('OPĆI DIO'!$C$3,'OPĆI DIO'!$L$6:$U$138,10,FALSE))</f>
        <v/>
      </c>
      <c r="B78" s="370" t="str">
        <f>IF(E78="","",VLOOKUP('OPĆI DIO'!$C$3,'OPĆI DIO'!$L$6:$U$138,9,FALSE))</f>
        <v/>
      </c>
      <c r="C78" s="371" t="str">
        <f t="shared" si="8"/>
        <v/>
      </c>
      <c r="D78" s="372" t="str">
        <f t="shared" si="9"/>
        <v/>
      </c>
      <c r="E78" s="81"/>
      <c r="F78" s="373" t="str">
        <f t="shared" si="10"/>
        <v/>
      </c>
      <c r="G78" s="359"/>
      <c r="H78" s="359"/>
      <c r="I78" s="359"/>
      <c r="J78" s="81"/>
      <c r="L78" s="73" t="str">
        <f t="shared" si="11"/>
        <v/>
      </c>
      <c r="M78" s="73" t="str">
        <f t="shared" si="12"/>
        <v/>
      </c>
      <c r="R78" s="5">
        <v>663131000</v>
      </c>
      <c r="S78" s="5" t="s">
        <v>5252</v>
      </c>
      <c r="T78" s="5">
        <v>63</v>
      </c>
      <c r="U78" s="5" t="s">
        <v>5255</v>
      </c>
      <c r="V78">
        <v>663</v>
      </c>
      <c r="W78">
        <v>66</v>
      </c>
    </row>
    <row r="79" spans="1:23">
      <c r="A79" s="374" t="str">
        <f>IF(E79="","",VLOOKUP('OPĆI DIO'!$C$3,'OPĆI DIO'!$L$6:$U$138,10,FALSE))</f>
        <v/>
      </c>
      <c r="B79" s="370" t="str">
        <f>IF(E79="","",VLOOKUP('OPĆI DIO'!$C$3,'OPĆI DIO'!$L$6:$U$138,9,FALSE))</f>
        <v/>
      </c>
      <c r="C79" s="371" t="str">
        <f t="shared" si="8"/>
        <v/>
      </c>
      <c r="D79" s="372" t="str">
        <f t="shared" si="9"/>
        <v/>
      </c>
      <c r="E79" s="81"/>
      <c r="F79" s="373" t="str">
        <f t="shared" si="10"/>
        <v/>
      </c>
      <c r="G79" s="359"/>
      <c r="H79" s="359"/>
      <c r="I79" s="359"/>
      <c r="J79" s="81"/>
      <c r="L79" s="73" t="str">
        <f t="shared" si="11"/>
        <v/>
      </c>
      <c r="M79" s="73" t="str">
        <f t="shared" si="12"/>
        <v/>
      </c>
      <c r="R79" s="5">
        <v>663221000</v>
      </c>
      <c r="S79" s="5" t="s">
        <v>5253</v>
      </c>
      <c r="T79" s="5">
        <v>63</v>
      </c>
      <c r="U79" s="5" t="s">
        <v>5255</v>
      </c>
      <c r="V79">
        <v>663</v>
      </c>
      <c r="W79">
        <v>66</v>
      </c>
    </row>
    <row r="80" spans="1:23">
      <c r="A80" s="374" t="str">
        <f>IF(E80="","",VLOOKUP('OPĆI DIO'!$C$3,'OPĆI DIO'!$L$6:$U$138,10,FALSE))</f>
        <v/>
      </c>
      <c r="B80" s="370" t="str">
        <f>IF(E80="","",VLOOKUP('OPĆI DIO'!$C$3,'OPĆI DIO'!$L$6:$U$138,9,FALSE))</f>
        <v/>
      </c>
      <c r="C80" s="371" t="str">
        <f t="shared" si="8"/>
        <v/>
      </c>
      <c r="D80" s="372" t="str">
        <f t="shared" si="9"/>
        <v/>
      </c>
      <c r="E80" s="81"/>
      <c r="F80" s="373" t="str">
        <f t="shared" si="10"/>
        <v/>
      </c>
      <c r="G80" s="359"/>
      <c r="H80" s="359"/>
      <c r="I80" s="359"/>
      <c r="J80" s="81"/>
      <c r="L80" s="73" t="str">
        <f t="shared" si="11"/>
        <v/>
      </c>
      <c r="M80" s="73" t="str">
        <f t="shared" si="12"/>
        <v/>
      </c>
      <c r="R80" s="5">
        <v>663231000</v>
      </c>
      <c r="S80" s="5" t="s">
        <v>5254</v>
      </c>
      <c r="T80" s="5">
        <v>63</v>
      </c>
      <c r="U80" s="5" t="s">
        <v>5255</v>
      </c>
      <c r="V80">
        <v>663</v>
      </c>
      <c r="W80">
        <v>66</v>
      </c>
    </row>
    <row r="81" spans="1:23">
      <c r="A81" s="374" t="str">
        <f>IF(E81="","",VLOOKUP('OPĆI DIO'!$C$3,'OPĆI DIO'!$L$6:$U$138,10,FALSE))</f>
        <v/>
      </c>
      <c r="B81" s="370" t="str">
        <f>IF(E81="","",VLOOKUP('OPĆI DIO'!$C$3,'OPĆI DIO'!$L$6:$U$138,9,FALSE))</f>
        <v/>
      </c>
      <c r="C81" s="371" t="str">
        <f t="shared" si="8"/>
        <v/>
      </c>
      <c r="D81" s="372" t="str">
        <f t="shared" si="9"/>
        <v/>
      </c>
      <c r="E81" s="81"/>
      <c r="F81" s="373" t="str">
        <f t="shared" si="10"/>
        <v/>
      </c>
      <c r="G81" s="359"/>
      <c r="H81" s="359"/>
      <c r="I81" s="359"/>
      <c r="J81" s="81"/>
      <c r="L81" s="73" t="str">
        <f t="shared" si="11"/>
        <v/>
      </c>
      <c r="M81" s="73" t="str">
        <f t="shared" si="12"/>
        <v/>
      </c>
      <c r="R81" s="5">
        <v>681910043</v>
      </c>
      <c r="S81" s="5" t="s">
        <v>211</v>
      </c>
      <c r="T81" s="5">
        <v>43</v>
      </c>
      <c r="U81" s="5" t="s">
        <v>95</v>
      </c>
      <c r="V81">
        <v>681</v>
      </c>
      <c r="W81">
        <v>68</v>
      </c>
    </row>
    <row r="82" spans="1:23">
      <c r="A82" s="374" t="str">
        <f>IF(E82="","",VLOOKUP('OPĆI DIO'!$C$3,'OPĆI DIO'!$L$6:$U$138,10,FALSE))</f>
        <v/>
      </c>
      <c r="B82" s="370" t="str">
        <f>IF(E82="","",VLOOKUP('OPĆI DIO'!$C$3,'OPĆI DIO'!$L$6:$U$138,9,FALSE))</f>
        <v/>
      </c>
      <c r="C82" s="371" t="str">
        <f t="shared" si="8"/>
        <v/>
      </c>
      <c r="D82" s="372" t="str">
        <f t="shared" si="9"/>
        <v/>
      </c>
      <c r="E82" s="81"/>
      <c r="F82" s="373" t="str">
        <f t="shared" si="10"/>
        <v/>
      </c>
      <c r="G82" s="359"/>
      <c r="H82" s="359"/>
      <c r="I82" s="359"/>
      <c r="J82" s="81"/>
      <c r="L82" s="73" t="str">
        <f t="shared" si="11"/>
        <v/>
      </c>
      <c r="M82" s="73" t="str">
        <f t="shared" si="12"/>
        <v/>
      </c>
      <c r="R82" s="5">
        <v>683110031</v>
      </c>
      <c r="S82" s="5" t="s">
        <v>1682</v>
      </c>
      <c r="T82" s="5">
        <v>31</v>
      </c>
      <c r="U82" s="5" t="s">
        <v>90</v>
      </c>
      <c r="V82">
        <v>683</v>
      </c>
      <c r="W82">
        <v>68</v>
      </c>
    </row>
    <row r="83" spans="1:23">
      <c r="A83" s="374" t="str">
        <f>IF(E83="","",VLOOKUP('OPĆI DIO'!$C$3,'OPĆI DIO'!$L$6:$U$138,10,FALSE))</f>
        <v/>
      </c>
      <c r="B83" s="370" t="str">
        <f>IF(E83="","",VLOOKUP('OPĆI DIO'!$C$3,'OPĆI DIO'!$L$6:$U$138,9,FALSE))</f>
        <v/>
      </c>
      <c r="C83" s="371" t="str">
        <f t="shared" si="8"/>
        <v/>
      </c>
      <c r="D83" s="372" t="str">
        <f t="shared" si="9"/>
        <v/>
      </c>
      <c r="E83" s="81"/>
      <c r="F83" s="373" t="str">
        <f t="shared" si="10"/>
        <v/>
      </c>
      <c r="G83" s="359"/>
      <c r="H83" s="359"/>
      <c r="I83" s="359"/>
      <c r="J83" s="81"/>
      <c r="L83" s="73" t="str">
        <f t="shared" si="11"/>
        <v/>
      </c>
      <c r="M83" s="73" t="str">
        <f t="shared" si="12"/>
        <v/>
      </c>
      <c r="R83" s="5">
        <v>683110043</v>
      </c>
      <c r="S83" s="5" t="s">
        <v>212</v>
      </c>
      <c r="T83" s="5">
        <v>43</v>
      </c>
      <c r="U83" s="5" t="s">
        <v>95</v>
      </c>
      <c r="V83">
        <v>683</v>
      </c>
      <c r="W83">
        <v>68</v>
      </c>
    </row>
    <row r="84" spans="1:23">
      <c r="A84" s="374" t="str">
        <f>IF(E84="","",VLOOKUP('OPĆI DIO'!$C$3,'OPĆI DIO'!$L$6:$U$138,10,FALSE))</f>
        <v/>
      </c>
      <c r="B84" s="370" t="str">
        <f>IF(E84="","",VLOOKUP('OPĆI DIO'!$C$3,'OPĆI DIO'!$L$6:$U$138,9,FALSE))</f>
        <v/>
      </c>
      <c r="C84" s="371" t="str">
        <f t="shared" si="8"/>
        <v/>
      </c>
      <c r="D84" s="372" t="str">
        <f t="shared" si="9"/>
        <v/>
      </c>
      <c r="E84" s="81"/>
      <c r="F84" s="373" t="str">
        <f t="shared" si="10"/>
        <v/>
      </c>
      <c r="G84" s="359"/>
      <c r="H84" s="359"/>
      <c r="I84" s="359"/>
      <c r="J84" s="81"/>
      <c r="L84" s="73" t="str">
        <f t="shared" si="11"/>
        <v/>
      </c>
      <c r="M84" s="73" t="str">
        <f t="shared" si="12"/>
        <v/>
      </c>
      <c r="R84" s="5">
        <v>711110071</v>
      </c>
      <c r="S84" s="5" t="s">
        <v>1683</v>
      </c>
      <c r="T84" s="5">
        <v>71</v>
      </c>
      <c r="U84" s="5" t="s">
        <v>1684</v>
      </c>
      <c r="V84">
        <v>711</v>
      </c>
      <c r="W84">
        <v>71</v>
      </c>
    </row>
    <row r="85" spans="1:23">
      <c r="A85" s="374" t="str">
        <f>IF(E85="","",VLOOKUP('OPĆI DIO'!$C$3,'OPĆI DIO'!$L$6:$U$138,10,FALSE))</f>
        <v/>
      </c>
      <c r="B85" s="370" t="str">
        <f>IF(E85="","",VLOOKUP('OPĆI DIO'!$C$3,'OPĆI DIO'!$L$6:$U$138,9,FALSE))</f>
        <v/>
      </c>
      <c r="C85" s="371" t="str">
        <f t="shared" si="8"/>
        <v/>
      </c>
      <c r="D85" s="372" t="str">
        <f t="shared" si="9"/>
        <v/>
      </c>
      <c r="E85" s="81"/>
      <c r="F85" s="373" t="str">
        <f t="shared" si="10"/>
        <v/>
      </c>
      <c r="G85" s="359"/>
      <c r="H85" s="359"/>
      <c r="I85" s="359"/>
      <c r="J85" s="81"/>
      <c r="L85" s="73" t="str">
        <f t="shared" si="11"/>
        <v/>
      </c>
      <c r="M85" s="73" t="str">
        <f t="shared" si="12"/>
        <v/>
      </c>
      <c r="R85" s="5">
        <v>711120071</v>
      </c>
      <c r="S85" s="5" t="s">
        <v>1685</v>
      </c>
      <c r="T85" s="5">
        <v>71</v>
      </c>
      <c r="U85" s="5" t="s">
        <v>1684</v>
      </c>
      <c r="V85">
        <v>711</v>
      </c>
      <c r="W85">
        <v>71</v>
      </c>
    </row>
    <row r="86" spans="1:23">
      <c r="A86" s="374" t="str">
        <f>IF(E86="","",VLOOKUP('OPĆI DIO'!$C$3,'OPĆI DIO'!$L$6:$U$138,10,FALSE))</f>
        <v/>
      </c>
      <c r="B86" s="370" t="str">
        <f>IF(E86="","",VLOOKUP('OPĆI DIO'!$C$3,'OPĆI DIO'!$L$6:$U$138,9,FALSE))</f>
        <v/>
      </c>
      <c r="C86" s="371" t="str">
        <f t="shared" si="8"/>
        <v/>
      </c>
      <c r="D86" s="372" t="str">
        <f t="shared" si="9"/>
        <v/>
      </c>
      <c r="E86" s="81"/>
      <c r="F86" s="373" t="str">
        <f t="shared" si="10"/>
        <v/>
      </c>
      <c r="G86" s="359"/>
      <c r="H86" s="359"/>
      <c r="I86" s="359"/>
      <c r="J86" s="81"/>
      <c r="L86" s="73" t="str">
        <f t="shared" si="11"/>
        <v/>
      </c>
      <c r="M86" s="73" t="str">
        <f t="shared" si="12"/>
        <v/>
      </c>
      <c r="R86" s="5">
        <v>712410071</v>
      </c>
      <c r="S86" s="5" t="s">
        <v>214</v>
      </c>
      <c r="T86" s="5">
        <v>71</v>
      </c>
      <c r="U86" s="5" t="s">
        <v>1684</v>
      </c>
      <c r="V86">
        <v>712</v>
      </c>
      <c r="W86">
        <v>71</v>
      </c>
    </row>
    <row r="87" spans="1:23">
      <c r="A87" s="374" t="str">
        <f>IF(E87="","",VLOOKUP('OPĆI DIO'!$C$3,'OPĆI DIO'!$L$6:$U$138,10,FALSE))</f>
        <v/>
      </c>
      <c r="B87" s="370" t="str">
        <f>IF(E87="","",VLOOKUP('OPĆI DIO'!$C$3,'OPĆI DIO'!$L$6:$U$138,9,FALSE))</f>
        <v/>
      </c>
      <c r="C87" s="371" t="str">
        <f t="shared" si="8"/>
        <v/>
      </c>
      <c r="D87" s="372" t="str">
        <f t="shared" si="9"/>
        <v/>
      </c>
      <c r="E87" s="81"/>
      <c r="F87" s="373" t="str">
        <f t="shared" si="10"/>
        <v/>
      </c>
      <c r="G87" s="359"/>
      <c r="H87" s="359"/>
      <c r="I87" s="359"/>
      <c r="J87" s="81"/>
      <c r="L87" s="73" t="str">
        <f t="shared" si="11"/>
        <v/>
      </c>
      <c r="M87" s="73" t="str">
        <f t="shared" si="12"/>
        <v/>
      </c>
      <c r="R87" s="5">
        <v>712490071</v>
      </c>
      <c r="S87" s="5" t="s">
        <v>215</v>
      </c>
      <c r="T87" s="5">
        <v>71</v>
      </c>
      <c r="U87" s="5" t="s">
        <v>1684</v>
      </c>
      <c r="V87">
        <v>712</v>
      </c>
      <c r="W87">
        <v>71</v>
      </c>
    </row>
    <row r="88" spans="1:23">
      <c r="A88" s="374" t="str">
        <f>IF(E88="","",VLOOKUP('OPĆI DIO'!$C$3,'OPĆI DIO'!$L$6:$U$138,10,FALSE))</f>
        <v/>
      </c>
      <c r="B88" s="370" t="str">
        <f>IF(E88="","",VLOOKUP('OPĆI DIO'!$C$3,'OPĆI DIO'!$L$6:$U$138,9,FALSE))</f>
        <v/>
      </c>
      <c r="C88" s="371" t="str">
        <f t="shared" si="8"/>
        <v/>
      </c>
      <c r="D88" s="372" t="str">
        <f t="shared" si="9"/>
        <v/>
      </c>
      <c r="E88" s="81"/>
      <c r="F88" s="373" t="str">
        <f t="shared" si="10"/>
        <v/>
      </c>
      <c r="G88" s="359"/>
      <c r="H88" s="359"/>
      <c r="I88" s="359"/>
      <c r="J88" s="81"/>
      <c r="L88" s="73" t="str">
        <f t="shared" si="11"/>
        <v/>
      </c>
      <c r="M88" s="73" t="str">
        <f t="shared" si="12"/>
        <v/>
      </c>
      <c r="R88" s="5">
        <v>721110071</v>
      </c>
      <c r="S88" s="5" t="s">
        <v>216</v>
      </c>
      <c r="T88" s="5">
        <v>71</v>
      </c>
      <c r="U88" s="5" t="s">
        <v>1684</v>
      </c>
      <c r="V88">
        <v>721</v>
      </c>
      <c r="W88">
        <v>72</v>
      </c>
    </row>
    <row r="89" spans="1:23">
      <c r="A89" s="374" t="str">
        <f>IF(E89="","",VLOOKUP('OPĆI DIO'!$C$3,'OPĆI DIO'!$L$6:$U$138,10,FALSE))</f>
        <v/>
      </c>
      <c r="B89" s="370" t="str">
        <f>IF(E89="","",VLOOKUP('OPĆI DIO'!$C$3,'OPĆI DIO'!$L$6:$U$138,9,FALSE))</f>
        <v/>
      </c>
      <c r="C89" s="371" t="str">
        <f t="shared" si="8"/>
        <v/>
      </c>
      <c r="D89" s="372" t="str">
        <f t="shared" si="9"/>
        <v/>
      </c>
      <c r="E89" s="81"/>
      <c r="F89" s="373" t="str">
        <f t="shared" si="10"/>
        <v/>
      </c>
      <c r="G89" s="359"/>
      <c r="H89" s="359"/>
      <c r="I89" s="359"/>
      <c r="J89" s="81"/>
      <c r="L89" s="73" t="str">
        <f t="shared" si="11"/>
        <v/>
      </c>
      <c r="M89" s="73" t="str">
        <f t="shared" si="12"/>
        <v/>
      </c>
      <c r="R89" s="5">
        <v>721190071</v>
      </c>
      <c r="S89" s="5" t="s">
        <v>217</v>
      </c>
      <c r="T89" s="5">
        <v>71</v>
      </c>
      <c r="U89" s="5" t="s">
        <v>1684</v>
      </c>
      <c r="V89">
        <v>721</v>
      </c>
      <c r="W89">
        <v>72</v>
      </c>
    </row>
    <row r="90" spans="1:23">
      <c r="A90" s="374" t="str">
        <f>IF(E90="","",VLOOKUP('OPĆI DIO'!$C$3,'OPĆI DIO'!$L$6:$U$138,10,FALSE))</f>
        <v/>
      </c>
      <c r="B90" s="370" t="str">
        <f>IF(E90="","",VLOOKUP('OPĆI DIO'!$C$3,'OPĆI DIO'!$L$6:$U$138,9,FALSE))</f>
        <v/>
      </c>
      <c r="C90" s="371" t="str">
        <f t="shared" si="8"/>
        <v/>
      </c>
      <c r="D90" s="372" t="str">
        <f t="shared" si="9"/>
        <v/>
      </c>
      <c r="E90" s="81"/>
      <c r="F90" s="373" t="str">
        <f t="shared" si="10"/>
        <v/>
      </c>
      <c r="G90" s="359"/>
      <c r="H90" s="359"/>
      <c r="I90" s="359"/>
      <c r="J90" s="81"/>
      <c r="L90" s="73" t="str">
        <f t="shared" si="11"/>
        <v/>
      </c>
      <c r="M90" s="73" t="str">
        <f t="shared" si="12"/>
        <v/>
      </c>
      <c r="R90" s="5">
        <v>721230071</v>
      </c>
      <c r="S90" s="5" t="s">
        <v>218</v>
      </c>
      <c r="T90" s="5">
        <v>71</v>
      </c>
      <c r="U90" s="5" t="s">
        <v>1684</v>
      </c>
      <c r="V90">
        <v>721</v>
      </c>
      <c r="W90">
        <v>72</v>
      </c>
    </row>
    <row r="91" spans="1:23">
      <c r="A91" s="374" t="str">
        <f>IF(E91="","",VLOOKUP('OPĆI DIO'!$C$3,'OPĆI DIO'!$L$6:$U$138,10,FALSE))</f>
        <v/>
      </c>
      <c r="B91" s="370" t="str">
        <f>IF(E91="","",VLOOKUP('OPĆI DIO'!$C$3,'OPĆI DIO'!$L$6:$U$138,9,FALSE))</f>
        <v/>
      </c>
      <c r="C91" s="371" t="str">
        <f t="shared" si="8"/>
        <v/>
      </c>
      <c r="D91" s="372" t="str">
        <f t="shared" si="9"/>
        <v/>
      </c>
      <c r="E91" s="81"/>
      <c r="F91" s="373" t="str">
        <f t="shared" si="10"/>
        <v/>
      </c>
      <c r="G91" s="359"/>
      <c r="H91" s="359"/>
      <c r="I91" s="359"/>
      <c r="J91" s="81"/>
      <c r="L91" s="73" t="str">
        <f t="shared" si="11"/>
        <v/>
      </c>
      <c r="M91" s="73" t="str">
        <f t="shared" si="12"/>
        <v/>
      </c>
      <c r="R91" s="5">
        <v>721290071</v>
      </c>
      <c r="S91" s="5" t="s">
        <v>219</v>
      </c>
      <c r="T91" s="5">
        <v>71</v>
      </c>
      <c r="U91" s="5" t="s">
        <v>1684</v>
      </c>
      <c r="V91">
        <v>721</v>
      </c>
      <c r="W91">
        <v>72</v>
      </c>
    </row>
    <row r="92" spans="1:23">
      <c r="A92" s="374" t="str">
        <f>IF(E92="","",VLOOKUP('OPĆI DIO'!$C$3,'OPĆI DIO'!$L$6:$U$138,10,FALSE))</f>
        <v/>
      </c>
      <c r="B92" s="370" t="str">
        <f>IF(E92="","",VLOOKUP('OPĆI DIO'!$C$3,'OPĆI DIO'!$L$6:$U$138,9,FALSE))</f>
        <v/>
      </c>
      <c r="C92" s="371" t="str">
        <f t="shared" si="8"/>
        <v/>
      </c>
      <c r="D92" s="372" t="str">
        <f t="shared" si="9"/>
        <v/>
      </c>
      <c r="E92" s="81"/>
      <c r="F92" s="373" t="str">
        <f t="shared" si="10"/>
        <v/>
      </c>
      <c r="G92" s="359"/>
      <c r="H92" s="359"/>
      <c r="I92" s="359"/>
      <c r="J92" s="81"/>
      <c r="L92" s="73" t="str">
        <f t="shared" si="11"/>
        <v/>
      </c>
      <c r="M92" s="73" t="str">
        <f t="shared" si="12"/>
        <v/>
      </c>
      <c r="R92" s="5">
        <v>722110071</v>
      </c>
      <c r="S92" s="5" t="s">
        <v>220</v>
      </c>
      <c r="T92" s="5">
        <v>71</v>
      </c>
      <c r="U92" s="5" t="s">
        <v>1684</v>
      </c>
      <c r="V92">
        <v>722</v>
      </c>
      <c r="W92">
        <v>72</v>
      </c>
    </row>
    <row r="93" spans="1:23">
      <c r="A93" s="374" t="str">
        <f>IF(E93="","",VLOOKUP('OPĆI DIO'!$C$3,'OPĆI DIO'!$L$6:$U$138,10,FALSE))</f>
        <v/>
      </c>
      <c r="B93" s="370" t="str">
        <f>IF(E93="","",VLOOKUP('OPĆI DIO'!$C$3,'OPĆI DIO'!$L$6:$U$138,9,FALSE))</f>
        <v/>
      </c>
      <c r="C93" s="371" t="str">
        <f t="shared" si="8"/>
        <v/>
      </c>
      <c r="D93" s="372" t="str">
        <f t="shared" si="9"/>
        <v/>
      </c>
      <c r="E93" s="81"/>
      <c r="F93" s="373" t="str">
        <f t="shared" si="10"/>
        <v/>
      </c>
      <c r="G93" s="359"/>
      <c r="H93" s="359"/>
      <c r="I93" s="359"/>
      <c r="J93" s="81"/>
      <c r="L93" s="73" t="str">
        <f t="shared" si="11"/>
        <v/>
      </c>
      <c r="M93" s="73" t="str">
        <f t="shared" si="12"/>
        <v/>
      </c>
      <c r="R93" s="5">
        <v>722120071</v>
      </c>
      <c r="S93" s="5" t="s">
        <v>1686</v>
      </c>
      <c r="T93" s="5">
        <v>71</v>
      </c>
      <c r="U93" s="5" t="s">
        <v>1684</v>
      </c>
      <c r="V93">
        <v>722</v>
      </c>
      <c r="W93">
        <v>72</v>
      </c>
    </row>
    <row r="94" spans="1:23">
      <c r="A94" s="374" t="str">
        <f>IF(E94="","",VLOOKUP('OPĆI DIO'!$C$3,'OPĆI DIO'!$L$6:$U$138,10,FALSE))</f>
        <v/>
      </c>
      <c r="B94" s="370" t="str">
        <f>IF(E94="","",VLOOKUP('OPĆI DIO'!$C$3,'OPĆI DIO'!$L$6:$U$138,9,FALSE))</f>
        <v/>
      </c>
      <c r="C94" s="371" t="str">
        <f t="shared" si="8"/>
        <v/>
      </c>
      <c r="D94" s="372" t="str">
        <f t="shared" si="9"/>
        <v/>
      </c>
      <c r="E94" s="81"/>
      <c r="F94" s="373" t="str">
        <f t="shared" si="10"/>
        <v/>
      </c>
      <c r="G94" s="359"/>
      <c r="H94" s="359"/>
      <c r="I94" s="359"/>
      <c r="J94" s="81"/>
      <c r="L94" s="73" t="str">
        <f t="shared" si="11"/>
        <v/>
      </c>
      <c r="M94" s="73" t="str">
        <f t="shared" si="12"/>
        <v/>
      </c>
      <c r="R94" s="5">
        <v>722190071</v>
      </c>
      <c r="S94" s="5" t="s">
        <v>221</v>
      </c>
      <c r="T94" s="5">
        <v>71</v>
      </c>
      <c r="U94" s="5" t="s">
        <v>1684</v>
      </c>
      <c r="V94">
        <v>722</v>
      </c>
      <c r="W94">
        <v>72</v>
      </c>
    </row>
    <row r="95" spans="1:23">
      <c r="A95" s="374" t="str">
        <f>IF(E95="","",VLOOKUP('OPĆI DIO'!$C$3,'OPĆI DIO'!$L$6:$U$138,10,FALSE))</f>
        <v/>
      </c>
      <c r="B95" s="370" t="str">
        <f>IF(E95="","",VLOOKUP('OPĆI DIO'!$C$3,'OPĆI DIO'!$L$6:$U$138,9,FALSE))</f>
        <v/>
      </c>
      <c r="C95" s="371" t="str">
        <f t="shared" si="8"/>
        <v/>
      </c>
      <c r="D95" s="372" t="str">
        <f t="shared" si="9"/>
        <v/>
      </c>
      <c r="E95" s="81"/>
      <c r="F95" s="373" t="str">
        <f t="shared" si="10"/>
        <v/>
      </c>
      <c r="G95" s="359"/>
      <c r="H95" s="359"/>
      <c r="I95" s="359"/>
      <c r="J95" s="81"/>
      <c r="L95" s="73" t="str">
        <f t="shared" si="11"/>
        <v/>
      </c>
      <c r="M95" s="73" t="str">
        <f t="shared" si="12"/>
        <v/>
      </c>
      <c r="R95" s="5">
        <v>722620071</v>
      </c>
      <c r="S95" s="5" t="s">
        <v>222</v>
      </c>
      <c r="T95" s="5">
        <v>71</v>
      </c>
      <c r="U95" s="5" t="s">
        <v>1684</v>
      </c>
      <c r="V95">
        <v>722</v>
      </c>
      <c r="W95">
        <v>72</v>
      </c>
    </row>
    <row r="96" spans="1:23">
      <c r="A96" s="374" t="str">
        <f>IF(E96="","",VLOOKUP('OPĆI DIO'!$C$3,'OPĆI DIO'!$L$6:$U$138,10,FALSE))</f>
        <v/>
      </c>
      <c r="B96" s="370" t="str">
        <f>IF(E96="","",VLOOKUP('OPĆI DIO'!$C$3,'OPĆI DIO'!$L$6:$U$138,9,FALSE))</f>
        <v/>
      </c>
      <c r="C96" s="371" t="str">
        <f t="shared" si="8"/>
        <v/>
      </c>
      <c r="D96" s="372" t="str">
        <f t="shared" si="9"/>
        <v/>
      </c>
      <c r="E96" s="81"/>
      <c r="F96" s="373" t="str">
        <f t="shared" si="10"/>
        <v/>
      </c>
      <c r="G96" s="359"/>
      <c r="H96" s="359"/>
      <c r="I96" s="359"/>
      <c r="J96" s="81"/>
      <c r="L96" s="73" t="str">
        <f t="shared" si="11"/>
        <v/>
      </c>
      <c r="M96" s="73" t="str">
        <f t="shared" si="12"/>
        <v/>
      </c>
      <c r="R96" s="5">
        <v>722720071</v>
      </c>
      <c r="S96" s="5" t="s">
        <v>1781</v>
      </c>
      <c r="T96" s="5">
        <v>71</v>
      </c>
      <c r="U96" s="5" t="s">
        <v>171</v>
      </c>
      <c r="V96">
        <v>722</v>
      </c>
      <c r="W96">
        <v>72</v>
      </c>
    </row>
    <row r="97" spans="1:23">
      <c r="A97" s="374" t="str">
        <f>IF(E97="","",VLOOKUP('OPĆI DIO'!$C$3,'OPĆI DIO'!$L$6:$U$138,10,FALSE))</f>
        <v/>
      </c>
      <c r="B97" s="370" t="str">
        <f>IF(E97="","",VLOOKUP('OPĆI DIO'!$C$3,'OPĆI DIO'!$L$6:$U$138,9,FALSE))</f>
        <v/>
      </c>
      <c r="C97" s="371" t="str">
        <f t="shared" si="8"/>
        <v/>
      </c>
      <c r="D97" s="372" t="str">
        <f t="shared" si="9"/>
        <v/>
      </c>
      <c r="E97" s="81"/>
      <c r="F97" s="373" t="str">
        <f t="shared" si="10"/>
        <v/>
      </c>
      <c r="G97" s="359"/>
      <c r="H97" s="359"/>
      <c r="I97" s="359"/>
      <c r="J97" s="81"/>
      <c r="L97" s="73" t="str">
        <f t="shared" si="11"/>
        <v/>
      </c>
      <c r="M97" s="73" t="str">
        <f t="shared" si="12"/>
        <v/>
      </c>
      <c r="R97" s="5">
        <v>722730071</v>
      </c>
      <c r="S97" s="5" t="s">
        <v>223</v>
      </c>
      <c r="T97" s="5">
        <v>71</v>
      </c>
      <c r="U97" s="5" t="s">
        <v>1684</v>
      </c>
      <c r="V97">
        <v>722</v>
      </c>
      <c r="W97">
        <v>72</v>
      </c>
    </row>
    <row r="98" spans="1:23">
      <c r="A98" s="374" t="str">
        <f>IF(E98="","",VLOOKUP('OPĆI DIO'!$C$3,'OPĆI DIO'!$L$6:$U$138,10,FALSE))</f>
        <v/>
      </c>
      <c r="B98" s="370" t="str">
        <f>IF(E98="","",VLOOKUP('OPĆI DIO'!$C$3,'OPĆI DIO'!$L$6:$U$138,9,FALSE))</f>
        <v/>
      </c>
      <c r="C98" s="371" t="str">
        <f t="shared" si="8"/>
        <v/>
      </c>
      <c r="D98" s="372" t="str">
        <f t="shared" si="9"/>
        <v/>
      </c>
      <c r="E98" s="81"/>
      <c r="F98" s="373" t="str">
        <f t="shared" si="10"/>
        <v/>
      </c>
      <c r="G98" s="359"/>
      <c r="H98" s="359"/>
      <c r="I98" s="359"/>
      <c r="J98" s="81"/>
      <c r="L98" s="73" t="str">
        <f t="shared" si="11"/>
        <v/>
      </c>
      <c r="M98" s="73" t="str">
        <f t="shared" si="12"/>
        <v/>
      </c>
      <c r="R98" s="5">
        <v>723110071</v>
      </c>
      <c r="S98" s="5" t="s">
        <v>224</v>
      </c>
      <c r="T98" s="5">
        <v>71</v>
      </c>
      <c r="U98" s="5" t="s">
        <v>1684</v>
      </c>
      <c r="V98">
        <v>723</v>
      </c>
      <c r="W98">
        <v>72</v>
      </c>
    </row>
    <row r="99" spans="1:23">
      <c r="A99" s="374" t="str">
        <f>IF(E99="","",VLOOKUP('OPĆI DIO'!$C$3,'OPĆI DIO'!$L$6:$U$138,10,FALSE))</f>
        <v/>
      </c>
      <c r="B99" s="370" t="str">
        <f>IF(E99="","",VLOOKUP('OPĆI DIO'!$C$3,'OPĆI DIO'!$L$6:$U$138,9,FALSE))</f>
        <v/>
      </c>
      <c r="C99" s="371" t="str">
        <f t="shared" si="8"/>
        <v/>
      </c>
      <c r="D99" s="372" t="str">
        <f t="shared" si="9"/>
        <v/>
      </c>
      <c r="E99" s="81"/>
      <c r="F99" s="373" t="str">
        <f t="shared" si="10"/>
        <v/>
      </c>
      <c r="G99" s="359"/>
      <c r="H99" s="359"/>
      <c r="I99" s="359"/>
      <c r="J99" s="81"/>
      <c r="L99" s="73" t="str">
        <f t="shared" si="11"/>
        <v/>
      </c>
      <c r="M99" s="73" t="str">
        <f t="shared" si="12"/>
        <v/>
      </c>
      <c r="R99" s="5">
        <v>723130071</v>
      </c>
      <c r="S99" s="5" t="s">
        <v>1687</v>
      </c>
      <c r="T99" s="5">
        <v>71</v>
      </c>
      <c r="U99" s="5" t="s">
        <v>1684</v>
      </c>
      <c r="V99">
        <v>723</v>
      </c>
      <c r="W99">
        <v>72</v>
      </c>
    </row>
    <row r="100" spans="1:23">
      <c r="A100" s="374" t="str">
        <f>IF(E100="","",VLOOKUP('OPĆI DIO'!$C$3,'OPĆI DIO'!$L$6:$U$138,10,FALSE))</f>
        <v/>
      </c>
      <c r="B100" s="370" t="str">
        <f>IF(E100="","",VLOOKUP('OPĆI DIO'!$C$3,'OPĆI DIO'!$L$6:$U$138,9,FALSE))</f>
        <v/>
      </c>
      <c r="C100" s="371" t="str">
        <f t="shared" si="8"/>
        <v/>
      </c>
      <c r="D100" s="372" t="str">
        <f t="shared" si="9"/>
        <v/>
      </c>
      <c r="E100" s="81"/>
      <c r="F100" s="373" t="str">
        <f t="shared" si="10"/>
        <v/>
      </c>
      <c r="G100" s="359"/>
      <c r="H100" s="359"/>
      <c r="I100" s="359"/>
      <c r="J100" s="81"/>
      <c r="L100" s="73" t="str">
        <f t="shared" si="11"/>
        <v/>
      </c>
      <c r="M100" s="73" t="str">
        <f t="shared" si="12"/>
        <v/>
      </c>
      <c r="R100" s="5">
        <v>723140071</v>
      </c>
      <c r="S100" s="5" t="s">
        <v>1688</v>
      </c>
      <c r="T100" s="5">
        <v>71</v>
      </c>
      <c r="U100" s="5" t="s">
        <v>1684</v>
      </c>
      <c r="V100">
        <v>723</v>
      </c>
      <c r="W100">
        <v>72</v>
      </c>
    </row>
    <row r="101" spans="1:23">
      <c r="A101" s="374" t="str">
        <f>IF(E101="","",VLOOKUP('OPĆI DIO'!$C$3,'OPĆI DIO'!$L$6:$U$138,10,FALSE))</f>
        <v/>
      </c>
      <c r="B101" s="370" t="str">
        <f>IF(E101="","",VLOOKUP('OPĆI DIO'!$C$3,'OPĆI DIO'!$L$6:$U$138,9,FALSE))</f>
        <v/>
      </c>
      <c r="C101" s="371" t="str">
        <f t="shared" si="8"/>
        <v/>
      </c>
      <c r="D101" s="372" t="str">
        <f t="shared" si="9"/>
        <v/>
      </c>
      <c r="E101" s="81"/>
      <c r="F101" s="373" t="str">
        <f t="shared" si="10"/>
        <v/>
      </c>
      <c r="G101" s="359"/>
      <c r="H101" s="359"/>
      <c r="I101" s="359"/>
      <c r="J101" s="81"/>
      <c r="L101" s="73" t="str">
        <f t="shared" si="11"/>
        <v/>
      </c>
      <c r="M101" s="73" t="str">
        <f t="shared" si="12"/>
        <v/>
      </c>
      <c r="R101" s="5">
        <v>723150071</v>
      </c>
      <c r="S101" s="5" t="s">
        <v>1689</v>
      </c>
      <c r="T101" s="5">
        <v>71</v>
      </c>
      <c r="U101" s="5" t="s">
        <v>1684</v>
      </c>
      <c r="V101">
        <v>723</v>
      </c>
      <c r="W101">
        <v>72</v>
      </c>
    </row>
    <row r="102" spans="1:23">
      <c r="A102" s="374" t="str">
        <f>IF(E102="","",VLOOKUP('OPĆI DIO'!$C$3,'OPĆI DIO'!$L$6:$U$138,10,FALSE))</f>
        <v/>
      </c>
      <c r="B102" s="370" t="str">
        <f>IF(E102="","",VLOOKUP('OPĆI DIO'!$C$3,'OPĆI DIO'!$L$6:$U$138,9,FALSE))</f>
        <v/>
      </c>
      <c r="C102" s="371" t="str">
        <f t="shared" si="8"/>
        <v/>
      </c>
      <c r="D102" s="372" t="str">
        <f t="shared" si="9"/>
        <v/>
      </c>
      <c r="E102" s="81"/>
      <c r="F102" s="373" t="str">
        <f t="shared" si="10"/>
        <v/>
      </c>
      <c r="G102" s="359"/>
      <c r="H102" s="359"/>
      <c r="I102" s="359"/>
      <c r="J102" s="81"/>
      <c r="L102" s="73" t="str">
        <f t="shared" si="11"/>
        <v/>
      </c>
      <c r="M102" s="73" t="str">
        <f t="shared" si="12"/>
        <v/>
      </c>
      <c r="R102" s="5">
        <v>723160071</v>
      </c>
      <c r="S102" s="5" t="s">
        <v>1690</v>
      </c>
      <c r="T102" s="5">
        <v>71</v>
      </c>
      <c r="U102" s="5" t="s">
        <v>1684</v>
      </c>
      <c r="V102">
        <v>723</v>
      </c>
      <c r="W102">
        <v>72</v>
      </c>
    </row>
    <row r="103" spans="1:23">
      <c r="A103" s="374" t="str">
        <f>IF(E103="","",VLOOKUP('OPĆI DIO'!$C$3,'OPĆI DIO'!$L$6:$U$138,10,FALSE))</f>
        <v/>
      </c>
      <c r="B103" s="370" t="str">
        <f>IF(E103="","",VLOOKUP('OPĆI DIO'!$C$3,'OPĆI DIO'!$L$6:$U$138,9,FALSE))</f>
        <v/>
      </c>
      <c r="C103" s="371" t="str">
        <f t="shared" si="8"/>
        <v/>
      </c>
      <c r="D103" s="372" t="str">
        <f t="shared" si="9"/>
        <v/>
      </c>
      <c r="E103" s="81"/>
      <c r="F103" s="373" t="str">
        <f t="shared" si="10"/>
        <v/>
      </c>
      <c r="G103" s="359"/>
      <c r="H103" s="359"/>
      <c r="I103" s="359"/>
      <c r="J103" s="81"/>
      <c r="L103" s="73" t="str">
        <f t="shared" si="11"/>
        <v/>
      </c>
      <c r="M103" s="73" t="str">
        <f t="shared" si="12"/>
        <v/>
      </c>
      <c r="R103" s="5">
        <v>723190071</v>
      </c>
      <c r="S103" s="5" t="s">
        <v>1782</v>
      </c>
      <c r="T103" s="5">
        <v>71</v>
      </c>
      <c r="U103" s="5" t="s">
        <v>171</v>
      </c>
      <c r="V103">
        <v>723</v>
      </c>
      <c r="W103">
        <v>72</v>
      </c>
    </row>
    <row r="104" spans="1:23">
      <c r="A104" s="374" t="str">
        <f>IF(E104="","",VLOOKUP('OPĆI DIO'!$C$3,'OPĆI DIO'!$L$6:$U$138,10,FALSE))</f>
        <v/>
      </c>
      <c r="B104" s="370" t="str">
        <f>IF(E104="","",VLOOKUP('OPĆI DIO'!$C$3,'OPĆI DIO'!$L$6:$U$138,9,FALSE))</f>
        <v/>
      </c>
      <c r="C104" s="371" t="str">
        <f t="shared" si="8"/>
        <v/>
      </c>
      <c r="D104" s="372" t="str">
        <f t="shared" si="9"/>
        <v/>
      </c>
      <c r="E104" s="81"/>
      <c r="F104" s="373" t="str">
        <f t="shared" si="10"/>
        <v/>
      </c>
      <c r="G104" s="359"/>
      <c r="H104" s="359"/>
      <c r="I104" s="359"/>
      <c r="J104" s="81"/>
      <c r="L104" s="73" t="str">
        <f t="shared" si="11"/>
        <v/>
      </c>
      <c r="M104" s="73" t="str">
        <f t="shared" si="12"/>
        <v/>
      </c>
      <c r="R104" s="5">
        <v>723310071</v>
      </c>
      <c r="S104" s="5" t="s">
        <v>1691</v>
      </c>
      <c r="T104" s="5">
        <v>71</v>
      </c>
      <c r="U104" s="5" t="s">
        <v>1684</v>
      </c>
      <c r="V104">
        <v>723</v>
      </c>
      <c r="W104">
        <v>72</v>
      </c>
    </row>
    <row r="105" spans="1:23">
      <c r="A105" s="374" t="str">
        <f>IF(E105="","",VLOOKUP('OPĆI DIO'!$C$3,'OPĆI DIO'!$L$6:$U$138,10,FALSE))</f>
        <v/>
      </c>
      <c r="B105" s="370" t="str">
        <f>IF(E105="","",VLOOKUP('OPĆI DIO'!$C$3,'OPĆI DIO'!$L$6:$U$138,9,FALSE))</f>
        <v/>
      </c>
      <c r="C105" s="371" t="str">
        <f t="shared" si="8"/>
        <v/>
      </c>
      <c r="D105" s="372" t="str">
        <f t="shared" si="9"/>
        <v/>
      </c>
      <c r="E105" s="81"/>
      <c r="F105" s="373" t="str">
        <f t="shared" si="10"/>
        <v/>
      </c>
      <c r="G105" s="359"/>
      <c r="H105" s="359"/>
      <c r="I105" s="359"/>
      <c r="J105" s="81"/>
      <c r="L105" s="73" t="str">
        <f t="shared" si="11"/>
        <v/>
      </c>
      <c r="M105" s="73" t="str">
        <f t="shared" si="12"/>
        <v/>
      </c>
      <c r="R105" s="5">
        <v>725210071</v>
      </c>
      <c r="S105" s="5" t="s">
        <v>225</v>
      </c>
      <c r="T105" s="5">
        <v>71</v>
      </c>
      <c r="U105" s="5" t="s">
        <v>1684</v>
      </c>
      <c r="V105">
        <v>725</v>
      </c>
      <c r="W105">
        <v>72</v>
      </c>
    </row>
    <row r="106" spans="1:23">
      <c r="A106" s="374" t="str">
        <f>IF(E106="","",VLOOKUP('OPĆI DIO'!$C$3,'OPĆI DIO'!$L$6:$U$138,10,FALSE))</f>
        <v/>
      </c>
      <c r="B106" s="370" t="str">
        <f>IF(E106="","",VLOOKUP('OPĆI DIO'!$C$3,'OPĆI DIO'!$L$6:$U$138,9,FALSE))</f>
        <v/>
      </c>
      <c r="C106" s="371" t="str">
        <f t="shared" si="8"/>
        <v/>
      </c>
      <c r="D106" s="372" t="str">
        <f t="shared" si="9"/>
        <v/>
      </c>
      <c r="E106" s="81"/>
      <c r="F106" s="373" t="str">
        <f t="shared" si="10"/>
        <v/>
      </c>
      <c r="G106" s="359"/>
      <c r="H106" s="359"/>
      <c r="I106" s="359"/>
      <c r="J106" s="81"/>
      <c r="L106" s="73" t="str">
        <f t="shared" si="11"/>
        <v/>
      </c>
      <c r="M106" s="73" t="str">
        <f t="shared" si="12"/>
        <v/>
      </c>
      <c r="R106" s="5">
        <v>818110043</v>
      </c>
      <c r="S106" s="5" t="s">
        <v>1783</v>
      </c>
      <c r="T106" s="5">
        <v>43</v>
      </c>
      <c r="U106" s="5" t="s">
        <v>95</v>
      </c>
      <c r="V106">
        <v>818</v>
      </c>
      <c r="W106">
        <v>81</v>
      </c>
    </row>
    <row r="107" spans="1:23">
      <c r="A107" s="374" t="str">
        <f>IF(E107="","",VLOOKUP('OPĆI DIO'!$C$3,'OPĆI DIO'!$L$6:$U$138,10,FALSE))</f>
        <v/>
      </c>
      <c r="B107" s="370" t="str">
        <f>IF(E107="","",VLOOKUP('OPĆI DIO'!$C$3,'OPĆI DIO'!$L$6:$U$138,9,FALSE))</f>
        <v/>
      </c>
      <c r="C107" s="371" t="str">
        <f t="shared" si="8"/>
        <v/>
      </c>
      <c r="D107" s="372" t="str">
        <f t="shared" si="9"/>
        <v/>
      </c>
      <c r="E107" s="81"/>
      <c r="F107" s="373" t="str">
        <f t="shared" si="10"/>
        <v/>
      </c>
      <c r="G107" s="359"/>
      <c r="H107" s="359"/>
      <c r="I107" s="359"/>
      <c r="J107" s="81"/>
      <c r="L107" s="73" t="str">
        <f t="shared" si="11"/>
        <v/>
      </c>
      <c r="M107" s="73" t="str">
        <f t="shared" si="12"/>
        <v/>
      </c>
      <c r="R107" s="5">
        <v>818120043</v>
      </c>
      <c r="S107" s="5" t="s">
        <v>1222</v>
      </c>
      <c r="T107" s="5">
        <v>43</v>
      </c>
      <c r="U107" s="5" t="s">
        <v>95</v>
      </c>
      <c r="V107">
        <v>818</v>
      </c>
      <c r="W107">
        <v>81</v>
      </c>
    </row>
    <row r="108" spans="1:23">
      <c r="A108" s="374" t="str">
        <f>IF(E108="","",VLOOKUP('OPĆI DIO'!$C$3,'OPĆI DIO'!$L$6:$U$138,10,FALSE))</f>
        <v/>
      </c>
      <c r="B108" s="370" t="str">
        <f>IF(E108="","",VLOOKUP('OPĆI DIO'!$C$3,'OPĆI DIO'!$L$6:$U$138,9,FALSE))</f>
        <v/>
      </c>
      <c r="C108" s="371" t="str">
        <f t="shared" si="8"/>
        <v/>
      </c>
      <c r="D108" s="372" t="str">
        <f t="shared" si="9"/>
        <v/>
      </c>
      <c r="E108" s="81"/>
      <c r="F108" s="373" t="str">
        <f t="shared" si="10"/>
        <v/>
      </c>
      <c r="G108" s="359"/>
      <c r="H108" s="359"/>
      <c r="I108" s="359"/>
      <c r="J108" s="81"/>
      <c r="L108" s="73" t="str">
        <f t="shared" si="11"/>
        <v/>
      </c>
      <c r="M108" s="73" t="str">
        <f t="shared" si="12"/>
        <v/>
      </c>
      <c r="R108" s="5">
        <v>832120043</v>
      </c>
      <c r="S108" s="5" t="s">
        <v>1223</v>
      </c>
      <c r="T108" s="5">
        <v>43</v>
      </c>
      <c r="U108" s="5" t="s">
        <v>95</v>
      </c>
      <c r="V108">
        <v>832</v>
      </c>
      <c r="W108">
        <v>83</v>
      </c>
    </row>
    <row r="109" spans="1:23">
      <c r="A109" s="374" t="str">
        <f>IF(E109="","",VLOOKUP('OPĆI DIO'!$C$3,'OPĆI DIO'!$L$6:$U$138,10,FALSE))</f>
        <v/>
      </c>
      <c r="B109" s="370" t="str">
        <f>IF(E109="","",VLOOKUP('OPĆI DIO'!$C$3,'OPĆI DIO'!$L$6:$U$138,9,FALSE))</f>
        <v/>
      </c>
      <c r="C109" s="371" t="str">
        <f t="shared" si="8"/>
        <v/>
      </c>
      <c r="D109" s="372" t="str">
        <f t="shared" si="9"/>
        <v/>
      </c>
      <c r="E109" s="81"/>
      <c r="F109" s="373" t="str">
        <f t="shared" si="10"/>
        <v/>
      </c>
      <c r="G109" s="359"/>
      <c r="H109" s="359"/>
      <c r="I109" s="359"/>
      <c r="J109" s="81"/>
      <c r="L109" s="73" t="str">
        <f t="shared" si="11"/>
        <v/>
      </c>
      <c r="M109" s="73" t="str">
        <f t="shared" si="12"/>
        <v/>
      </c>
      <c r="R109" s="5">
        <v>833130043</v>
      </c>
      <c r="S109" s="5" t="s">
        <v>1693</v>
      </c>
      <c r="T109" s="5">
        <v>43</v>
      </c>
      <c r="U109" s="5" t="s">
        <v>95</v>
      </c>
      <c r="V109">
        <v>833</v>
      </c>
      <c r="W109">
        <v>83</v>
      </c>
    </row>
    <row r="110" spans="1:23">
      <c r="A110" s="374" t="str">
        <f>IF(E110="","",VLOOKUP('OPĆI DIO'!$C$3,'OPĆI DIO'!$L$6:$U$138,10,FALSE))</f>
        <v/>
      </c>
      <c r="B110" s="370" t="str">
        <f>IF(E110="","",VLOOKUP('OPĆI DIO'!$C$3,'OPĆI DIO'!$L$6:$U$138,9,FALSE))</f>
        <v/>
      </c>
      <c r="C110" s="371" t="str">
        <f t="shared" si="8"/>
        <v/>
      </c>
      <c r="D110" s="372" t="str">
        <f t="shared" si="9"/>
        <v/>
      </c>
      <c r="E110" s="81"/>
      <c r="F110" s="373" t="str">
        <f t="shared" si="10"/>
        <v/>
      </c>
      <c r="G110" s="359"/>
      <c r="H110" s="359"/>
      <c r="I110" s="359"/>
      <c r="J110" s="81"/>
      <c r="L110" s="73" t="str">
        <f t="shared" si="11"/>
        <v/>
      </c>
      <c r="M110" s="73" t="str">
        <f t="shared" si="12"/>
        <v/>
      </c>
      <c r="R110" s="5">
        <v>841320000</v>
      </c>
      <c r="S110" s="5" t="s">
        <v>1779</v>
      </c>
      <c r="T110" s="5">
        <v>81</v>
      </c>
      <c r="U110" s="5" t="s">
        <v>1692</v>
      </c>
      <c r="V110">
        <v>841</v>
      </c>
      <c r="W110">
        <v>84</v>
      </c>
    </row>
    <row r="111" spans="1:23">
      <c r="A111" s="374" t="str">
        <f>IF(E111="","",VLOOKUP('OPĆI DIO'!$C$3,'OPĆI DIO'!$L$6:$U$138,10,FALSE))</f>
        <v/>
      </c>
      <c r="B111" s="370" t="str">
        <f>IF(E111="","",VLOOKUP('OPĆI DIO'!$C$3,'OPĆI DIO'!$L$6:$U$138,9,FALSE))</f>
        <v/>
      </c>
      <c r="C111" s="371" t="str">
        <f t="shared" si="8"/>
        <v/>
      </c>
      <c r="D111" s="372" t="str">
        <f t="shared" si="9"/>
        <v/>
      </c>
      <c r="E111" s="81"/>
      <c r="F111" s="373" t="str">
        <f t="shared" si="10"/>
        <v/>
      </c>
      <c r="G111" s="359"/>
      <c r="H111" s="359"/>
      <c r="I111" s="359"/>
      <c r="J111" s="81"/>
      <c r="L111" s="73" t="str">
        <f t="shared" si="11"/>
        <v/>
      </c>
      <c r="M111" s="73" t="str">
        <f t="shared" si="12"/>
        <v/>
      </c>
      <c r="R111" s="214">
        <v>841320150</v>
      </c>
      <c r="S111" s="214" t="s">
        <v>3520</v>
      </c>
      <c r="T111" s="214">
        <v>81</v>
      </c>
      <c r="U111" s="214" t="s">
        <v>1692</v>
      </c>
      <c r="V111" s="136">
        <v>841</v>
      </c>
      <c r="W111" s="136">
        <v>84</v>
      </c>
    </row>
    <row r="112" spans="1:23">
      <c r="A112" s="374" t="str">
        <f>IF(E112="","",VLOOKUP('OPĆI DIO'!$C$3,'OPĆI DIO'!$L$6:$U$138,10,FALSE))</f>
        <v/>
      </c>
      <c r="B112" s="370" t="str">
        <f>IF(E112="","",VLOOKUP('OPĆI DIO'!$C$3,'OPĆI DIO'!$L$6:$U$138,9,FALSE))</f>
        <v/>
      </c>
      <c r="C112" s="371" t="str">
        <f t="shared" si="8"/>
        <v/>
      </c>
      <c r="D112" s="372" t="str">
        <f t="shared" si="9"/>
        <v/>
      </c>
      <c r="E112" s="81"/>
      <c r="F112" s="373" t="str">
        <f t="shared" si="10"/>
        <v/>
      </c>
      <c r="G112" s="359"/>
      <c r="H112" s="359"/>
      <c r="I112" s="359"/>
      <c r="J112" s="81"/>
      <c r="L112" s="73" t="str">
        <f t="shared" si="11"/>
        <v/>
      </c>
      <c r="M112" s="73" t="str">
        <f t="shared" si="12"/>
        <v/>
      </c>
      <c r="R112" s="214">
        <v>844320000</v>
      </c>
      <c r="S112" s="214" t="s">
        <v>5250</v>
      </c>
      <c r="T112" s="214">
        <v>81</v>
      </c>
      <c r="U112" s="214" t="s">
        <v>1692</v>
      </c>
      <c r="V112" s="136">
        <v>844</v>
      </c>
      <c r="W112" s="136">
        <v>84</v>
      </c>
    </row>
    <row r="113" spans="1:23">
      <c r="A113" s="374" t="str">
        <f>IF(E113="","",VLOOKUP('OPĆI DIO'!$C$3,'OPĆI DIO'!$L$6:$U$138,10,FALSE))</f>
        <v/>
      </c>
      <c r="B113" s="370" t="str">
        <f>IF(E113="","",VLOOKUP('OPĆI DIO'!$C$3,'OPĆI DIO'!$L$6:$U$138,9,FALSE))</f>
        <v/>
      </c>
      <c r="C113" s="371" t="str">
        <f t="shared" si="8"/>
        <v/>
      </c>
      <c r="D113" s="372" t="str">
        <f t="shared" si="9"/>
        <v/>
      </c>
      <c r="E113" s="81"/>
      <c r="F113" s="373" t="str">
        <f t="shared" si="10"/>
        <v/>
      </c>
      <c r="G113" s="359"/>
      <c r="H113" s="359"/>
      <c r="I113" s="359"/>
      <c r="J113" s="81"/>
      <c r="L113" s="73" t="str">
        <f t="shared" si="11"/>
        <v/>
      </c>
      <c r="M113" s="73" t="str">
        <f t="shared" si="12"/>
        <v/>
      </c>
      <c r="R113" s="5">
        <v>842220081</v>
      </c>
      <c r="S113" s="5" t="s">
        <v>1694</v>
      </c>
      <c r="T113" s="5">
        <v>81</v>
      </c>
      <c r="U113" s="5" t="s">
        <v>1692</v>
      </c>
      <c r="V113">
        <v>842</v>
      </c>
      <c r="W113">
        <v>84</v>
      </c>
    </row>
    <row r="114" spans="1:23">
      <c r="A114" s="374" t="str">
        <f>IF(E114="","",VLOOKUP('OPĆI DIO'!$C$3,'OPĆI DIO'!$L$6:$U$138,10,FALSE))</f>
        <v/>
      </c>
      <c r="B114" s="370" t="str">
        <f>IF(E114="","",VLOOKUP('OPĆI DIO'!$C$3,'OPĆI DIO'!$L$6:$U$138,9,FALSE))</f>
        <v/>
      </c>
      <c r="C114" s="371" t="str">
        <f t="shared" si="8"/>
        <v/>
      </c>
      <c r="D114" s="372" t="str">
        <f t="shared" si="9"/>
        <v/>
      </c>
      <c r="E114" s="81"/>
      <c r="F114" s="373" t="str">
        <f t="shared" si="10"/>
        <v/>
      </c>
      <c r="G114" s="359"/>
      <c r="H114" s="359"/>
      <c r="I114" s="359"/>
      <c r="J114" s="81"/>
      <c r="L114" s="73" t="str">
        <f t="shared" si="11"/>
        <v/>
      </c>
      <c r="M114" s="73" t="str">
        <f t="shared" si="12"/>
        <v/>
      </c>
    </row>
    <row r="115" spans="1:23">
      <c r="A115" s="374" t="str">
        <f>IF(E115="","",VLOOKUP('OPĆI DIO'!$C$3,'OPĆI DIO'!$L$6:$U$138,10,FALSE))</f>
        <v/>
      </c>
      <c r="B115" s="370" t="str">
        <f>IF(E115="","",VLOOKUP('OPĆI DIO'!$C$3,'OPĆI DIO'!$L$6:$U$138,9,FALSE))</f>
        <v/>
      </c>
      <c r="C115" s="371" t="str">
        <f t="shared" si="8"/>
        <v/>
      </c>
      <c r="D115" s="372" t="str">
        <f t="shared" si="9"/>
        <v/>
      </c>
      <c r="E115" s="81"/>
      <c r="F115" s="373" t="str">
        <f t="shared" si="10"/>
        <v/>
      </c>
      <c r="G115" s="359"/>
      <c r="H115" s="359"/>
      <c r="I115" s="359"/>
      <c r="J115" s="81"/>
      <c r="L115" s="73" t="str">
        <f t="shared" si="11"/>
        <v/>
      </c>
      <c r="M115" s="73" t="str">
        <f t="shared" si="12"/>
        <v/>
      </c>
    </row>
    <row r="116" spans="1:23">
      <c r="A116" s="374" t="str">
        <f>IF(E116="","",VLOOKUP('OPĆI DIO'!$C$3,'OPĆI DIO'!$L$6:$U$138,10,FALSE))</f>
        <v/>
      </c>
      <c r="B116" s="370" t="str">
        <f>IF(E116="","",VLOOKUP('OPĆI DIO'!$C$3,'OPĆI DIO'!$L$6:$U$138,9,FALSE))</f>
        <v/>
      </c>
      <c r="C116" s="371" t="str">
        <f t="shared" si="8"/>
        <v/>
      </c>
      <c r="D116" s="372" t="str">
        <f t="shared" si="9"/>
        <v/>
      </c>
      <c r="E116" s="81"/>
      <c r="F116" s="373" t="str">
        <f t="shared" si="10"/>
        <v/>
      </c>
      <c r="G116" s="359"/>
      <c r="H116" s="359"/>
      <c r="I116" s="359"/>
      <c r="J116" s="81"/>
      <c r="L116" s="73" t="str">
        <f t="shared" si="11"/>
        <v/>
      </c>
      <c r="M116" s="73" t="str">
        <f t="shared" si="12"/>
        <v/>
      </c>
    </row>
    <row r="117" spans="1:23">
      <c r="A117" s="374" t="str">
        <f>IF(E117="","",VLOOKUP('OPĆI DIO'!$C$3,'OPĆI DIO'!$L$6:$U$138,10,FALSE))</f>
        <v/>
      </c>
      <c r="B117" s="370" t="str">
        <f>IF(E117="","",VLOOKUP('OPĆI DIO'!$C$3,'OPĆI DIO'!$L$6:$U$138,9,FALSE))</f>
        <v/>
      </c>
      <c r="C117" s="371" t="str">
        <f t="shared" si="8"/>
        <v/>
      </c>
      <c r="D117" s="372" t="str">
        <f t="shared" si="9"/>
        <v/>
      </c>
      <c r="E117" s="81"/>
      <c r="F117" s="373" t="str">
        <f t="shared" si="10"/>
        <v/>
      </c>
      <c r="G117" s="359"/>
      <c r="H117" s="359"/>
      <c r="I117" s="359"/>
      <c r="J117" s="81"/>
      <c r="L117" s="73" t="str">
        <f t="shared" si="11"/>
        <v/>
      </c>
      <c r="M117" s="73" t="str">
        <f t="shared" si="12"/>
        <v/>
      </c>
    </row>
    <row r="118" spans="1:23">
      <c r="A118" s="374" t="str">
        <f>IF(E118="","",VLOOKUP('OPĆI DIO'!$C$3,'OPĆI DIO'!$L$6:$U$138,10,FALSE))</f>
        <v/>
      </c>
      <c r="B118" s="370" t="str">
        <f>IF(E118="","",VLOOKUP('OPĆI DIO'!$C$3,'OPĆI DIO'!$L$6:$U$138,9,FALSE))</f>
        <v/>
      </c>
      <c r="C118" s="371" t="str">
        <f t="shared" si="8"/>
        <v/>
      </c>
      <c r="D118" s="372" t="str">
        <f t="shared" si="9"/>
        <v/>
      </c>
      <c r="E118" s="81"/>
      <c r="F118" s="373" t="str">
        <f t="shared" si="10"/>
        <v/>
      </c>
      <c r="G118" s="359"/>
      <c r="H118" s="359"/>
      <c r="I118" s="359"/>
      <c r="J118" s="81"/>
      <c r="L118" s="73" t="str">
        <f t="shared" si="11"/>
        <v/>
      </c>
      <c r="M118" s="73" t="str">
        <f t="shared" si="12"/>
        <v/>
      </c>
    </row>
    <row r="119" spans="1:23">
      <c r="A119" s="374" t="str">
        <f>IF(E119="","",VLOOKUP('OPĆI DIO'!$C$3,'OPĆI DIO'!$L$6:$U$138,10,FALSE))</f>
        <v/>
      </c>
      <c r="B119" s="370" t="str">
        <f>IF(E119="","",VLOOKUP('OPĆI DIO'!$C$3,'OPĆI DIO'!$L$6:$U$138,9,FALSE))</f>
        <v/>
      </c>
      <c r="C119" s="371" t="str">
        <f t="shared" si="8"/>
        <v/>
      </c>
      <c r="D119" s="372" t="str">
        <f t="shared" si="9"/>
        <v/>
      </c>
      <c r="E119" s="81"/>
      <c r="F119" s="373" t="str">
        <f t="shared" si="10"/>
        <v/>
      </c>
      <c r="G119" s="359"/>
      <c r="H119" s="359"/>
      <c r="I119" s="359"/>
      <c r="J119" s="81"/>
      <c r="L119" s="73" t="str">
        <f t="shared" si="11"/>
        <v/>
      </c>
      <c r="M119" s="73" t="str">
        <f t="shared" si="12"/>
        <v/>
      </c>
    </row>
    <row r="120" spans="1:23">
      <c r="A120" s="374" t="str">
        <f>IF(E120="","",VLOOKUP('OPĆI DIO'!$C$3,'OPĆI DIO'!$L$6:$U$138,10,FALSE))</f>
        <v/>
      </c>
      <c r="B120" s="370" t="str">
        <f>IF(E120="","",VLOOKUP('OPĆI DIO'!$C$3,'OPĆI DIO'!$L$6:$U$138,9,FALSE))</f>
        <v/>
      </c>
      <c r="C120" s="371" t="str">
        <f t="shared" si="8"/>
        <v/>
      </c>
      <c r="D120" s="372" t="str">
        <f t="shared" si="9"/>
        <v/>
      </c>
      <c r="E120" s="81"/>
      <c r="F120" s="373" t="str">
        <f t="shared" si="10"/>
        <v/>
      </c>
      <c r="G120" s="359"/>
      <c r="H120" s="359"/>
      <c r="I120" s="359"/>
      <c r="J120" s="81"/>
      <c r="L120" s="73" t="str">
        <f t="shared" si="11"/>
        <v/>
      </c>
      <c r="M120" s="73" t="str">
        <f t="shared" si="12"/>
        <v/>
      </c>
    </row>
    <row r="121" spans="1:23">
      <c r="A121" s="374" t="str">
        <f>IF(E121="","",VLOOKUP('OPĆI DIO'!$C$3,'OPĆI DIO'!$L$6:$U$138,10,FALSE))</f>
        <v/>
      </c>
      <c r="B121" s="370" t="str">
        <f>IF(E121="","",VLOOKUP('OPĆI DIO'!$C$3,'OPĆI DIO'!$L$6:$U$138,9,FALSE))</f>
        <v/>
      </c>
      <c r="C121" s="371" t="str">
        <f t="shared" si="8"/>
        <v/>
      </c>
      <c r="D121" s="372" t="str">
        <f t="shared" si="9"/>
        <v/>
      </c>
      <c r="E121" s="81"/>
      <c r="F121" s="373" t="str">
        <f t="shared" si="10"/>
        <v/>
      </c>
      <c r="G121" s="359"/>
      <c r="H121" s="359"/>
      <c r="I121" s="359"/>
      <c r="J121" s="81"/>
      <c r="L121" s="73" t="str">
        <f t="shared" si="11"/>
        <v/>
      </c>
      <c r="M121" s="73" t="str">
        <f t="shared" si="12"/>
        <v/>
      </c>
    </row>
    <row r="122" spans="1:23">
      <c r="A122" s="374" t="str">
        <f>IF(E122="","",VLOOKUP('OPĆI DIO'!$C$3,'OPĆI DIO'!$L$6:$U$138,10,FALSE))</f>
        <v/>
      </c>
      <c r="B122" s="370" t="str">
        <f>IF(E122="","",VLOOKUP('OPĆI DIO'!$C$3,'OPĆI DIO'!$L$6:$U$138,9,FALSE))</f>
        <v/>
      </c>
      <c r="C122" s="371" t="str">
        <f t="shared" si="8"/>
        <v/>
      </c>
      <c r="D122" s="372" t="str">
        <f t="shared" si="9"/>
        <v/>
      </c>
      <c r="E122" s="81"/>
      <c r="F122" s="373" t="str">
        <f t="shared" si="10"/>
        <v/>
      </c>
      <c r="G122" s="359"/>
      <c r="H122" s="359"/>
      <c r="I122" s="359"/>
      <c r="J122" s="81"/>
      <c r="L122" s="73" t="str">
        <f t="shared" si="11"/>
        <v/>
      </c>
      <c r="M122" s="73" t="str">
        <f t="shared" si="12"/>
        <v/>
      </c>
    </row>
    <row r="123" spans="1:23">
      <c r="A123" s="374" t="str">
        <f>IF(E123="","",VLOOKUP('OPĆI DIO'!$C$3,'OPĆI DIO'!$L$6:$U$138,10,FALSE))</f>
        <v/>
      </c>
      <c r="B123" s="370" t="str">
        <f>IF(E123="","",VLOOKUP('OPĆI DIO'!$C$3,'OPĆI DIO'!$L$6:$U$138,9,FALSE))</f>
        <v/>
      </c>
      <c r="C123" s="371" t="str">
        <f t="shared" si="8"/>
        <v/>
      </c>
      <c r="D123" s="372" t="str">
        <f t="shared" si="9"/>
        <v/>
      </c>
      <c r="E123" s="81"/>
      <c r="F123" s="373" t="str">
        <f t="shared" si="10"/>
        <v/>
      </c>
      <c r="G123" s="359"/>
      <c r="H123" s="359"/>
      <c r="I123" s="359"/>
      <c r="J123" s="81"/>
      <c r="L123" s="73" t="str">
        <f t="shared" si="11"/>
        <v/>
      </c>
      <c r="M123" s="73" t="str">
        <f t="shared" si="12"/>
        <v/>
      </c>
    </row>
    <row r="124" spans="1:23">
      <c r="A124" s="374" t="str">
        <f>IF(E124="","",VLOOKUP('OPĆI DIO'!$C$3,'OPĆI DIO'!$L$6:$U$138,10,FALSE))</f>
        <v/>
      </c>
      <c r="B124" s="370" t="str">
        <f>IF(E124="","",VLOOKUP('OPĆI DIO'!$C$3,'OPĆI DIO'!$L$6:$U$138,9,FALSE))</f>
        <v/>
      </c>
      <c r="C124" s="371" t="str">
        <f t="shared" si="8"/>
        <v/>
      </c>
      <c r="D124" s="372" t="str">
        <f t="shared" si="9"/>
        <v/>
      </c>
      <c r="E124" s="81"/>
      <c r="F124" s="373" t="str">
        <f t="shared" si="10"/>
        <v/>
      </c>
      <c r="G124" s="359"/>
      <c r="H124" s="359"/>
      <c r="I124" s="359"/>
      <c r="J124" s="81"/>
      <c r="L124" s="73" t="str">
        <f t="shared" si="11"/>
        <v/>
      </c>
      <c r="M124" s="73" t="str">
        <f t="shared" si="12"/>
        <v/>
      </c>
    </row>
    <row r="125" spans="1:23">
      <c r="A125" s="374" t="str">
        <f>IF(E125="","",VLOOKUP('OPĆI DIO'!$C$3,'OPĆI DIO'!$L$6:$U$138,10,FALSE))</f>
        <v/>
      </c>
      <c r="B125" s="370" t="str">
        <f>IF(E125="","",VLOOKUP('OPĆI DIO'!$C$3,'OPĆI DIO'!$L$6:$U$138,9,FALSE))</f>
        <v/>
      </c>
      <c r="C125" s="371" t="str">
        <f t="shared" si="8"/>
        <v/>
      </c>
      <c r="D125" s="372" t="str">
        <f t="shared" si="9"/>
        <v/>
      </c>
      <c r="E125" s="81"/>
      <c r="F125" s="373" t="str">
        <f t="shared" si="10"/>
        <v/>
      </c>
      <c r="G125" s="359"/>
      <c r="H125" s="359"/>
      <c r="I125" s="359"/>
      <c r="J125" s="81"/>
      <c r="L125" s="73" t="str">
        <f t="shared" si="11"/>
        <v/>
      </c>
      <c r="M125" s="73" t="str">
        <f t="shared" si="12"/>
        <v/>
      </c>
    </row>
    <row r="126" spans="1:23">
      <c r="A126" s="374" t="str">
        <f>IF(E126="","",VLOOKUP('OPĆI DIO'!$C$3,'OPĆI DIO'!$L$6:$U$138,10,FALSE))</f>
        <v/>
      </c>
      <c r="B126" s="370" t="str">
        <f>IF(E126="","",VLOOKUP('OPĆI DIO'!$C$3,'OPĆI DIO'!$L$6:$U$138,9,FALSE))</f>
        <v/>
      </c>
      <c r="C126" s="371" t="str">
        <f t="shared" si="8"/>
        <v/>
      </c>
      <c r="D126" s="372" t="str">
        <f t="shared" si="9"/>
        <v/>
      </c>
      <c r="E126" s="81"/>
      <c r="F126" s="373" t="str">
        <f t="shared" si="10"/>
        <v/>
      </c>
      <c r="G126" s="359"/>
      <c r="H126" s="359"/>
      <c r="I126" s="359"/>
      <c r="J126" s="81"/>
      <c r="L126" s="73" t="str">
        <f t="shared" si="11"/>
        <v/>
      </c>
      <c r="M126" s="73" t="str">
        <f t="shared" si="12"/>
        <v/>
      </c>
    </row>
    <row r="127" spans="1:23">
      <c r="A127" s="374" t="str">
        <f>IF(E127="","",VLOOKUP('OPĆI DIO'!$C$3,'OPĆI DIO'!$L$6:$U$138,10,FALSE))</f>
        <v/>
      </c>
      <c r="B127" s="370" t="str">
        <f>IF(E127="","",VLOOKUP('OPĆI DIO'!$C$3,'OPĆI DIO'!$L$6:$U$138,9,FALSE))</f>
        <v/>
      </c>
      <c r="C127" s="371" t="str">
        <f t="shared" si="8"/>
        <v/>
      </c>
      <c r="D127" s="372" t="str">
        <f t="shared" si="9"/>
        <v/>
      </c>
      <c r="E127" s="81"/>
      <c r="F127" s="373" t="str">
        <f t="shared" si="10"/>
        <v/>
      </c>
      <c r="G127" s="359"/>
      <c r="H127" s="359"/>
      <c r="I127" s="359"/>
      <c r="J127" s="81"/>
      <c r="L127" s="73" t="str">
        <f t="shared" si="11"/>
        <v/>
      </c>
      <c r="M127" s="73" t="str">
        <f t="shared" si="12"/>
        <v/>
      </c>
    </row>
    <row r="128" spans="1:23">
      <c r="A128" s="374" t="str">
        <f>IF(E128="","",VLOOKUP('OPĆI DIO'!$C$3,'OPĆI DIO'!$L$6:$U$138,10,FALSE))</f>
        <v/>
      </c>
      <c r="B128" s="370" t="str">
        <f>IF(E128="","",VLOOKUP('OPĆI DIO'!$C$3,'OPĆI DIO'!$L$6:$U$138,9,FALSE))</f>
        <v/>
      </c>
      <c r="C128" s="371" t="str">
        <f t="shared" si="8"/>
        <v/>
      </c>
      <c r="D128" s="372" t="str">
        <f t="shared" si="9"/>
        <v/>
      </c>
      <c r="E128" s="81"/>
      <c r="F128" s="373" t="str">
        <f t="shared" si="10"/>
        <v/>
      </c>
      <c r="G128" s="359"/>
      <c r="H128" s="359"/>
      <c r="I128" s="359"/>
      <c r="J128" s="81"/>
      <c r="L128" s="73" t="str">
        <f t="shared" si="11"/>
        <v/>
      </c>
      <c r="M128" s="73" t="str">
        <f t="shared" si="12"/>
        <v/>
      </c>
    </row>
    <row r="129" spans="1:13">
      <c r="A129" s="374" t="str">
        <f>IF(E129="","",VLOOKUP('OPĆI DIO'!$C$3,'OPĆI DIO'!$L$6:$U$138,10,FALSE))</f>
        <v/>
      </c>
      <c r="B129" s="370" t="str">
        <f>IF(E129="","",VLOOKUP('OPĆI DIO'!$C$3,'OPĆI DIO'!$L$6:$U$138,9,FALSE))</f>
        <v/>
      </c>
      <c r="C129" s="371" t="str">
        <f t="shared" si="8"/>
        <v/>
      </c>
      <c r="D129" s="372" t="str">
        <f t="shared" si="9"/>
        <v/>
      </c>
      <c r="E129" s="81"/>
      <c r="F129" s="373" t="str">
        <f t="shared" si="10"/>
        <v/>
      </c>
      <c r="G129" s="359"/>
      <c r="H129" s="359"/>
      <c r="I129" s="359"/>
      <c r="J129" s="81"/>
      <c r="L129" s="73" t="str">
        <f t="shared" si="11"/>
        <v/>
      </c>
      <c r="M129" s="73" t="str">
        <f t="shared" si="12"/>
        <v/>
      </c>
    </row>
    <row r="130" spans="1:13">
      <c r="A130" s="374" t="str">
        <f>IF(E130="","",VLOOKUP('OPĆI DIO'!$C$3,'OPĆI DIO'!$L$6:$U$138,10,FALSE))</f>
        <v/>
      </c>
      <c r="B130" s="370" t="str">
        <f>IF(E130="","",VLOOKUP('OPĆI DIO'!$C$3,'OPĆI DIO'!$L$6:$U$138,9,FALSE))</f>
        <v/>
      </c>
      <c r="C130" s="371" t="str">
        <f t="shared" si="8"/>
        <v/>
      </c>
      <c r="D130" s="372" t="str">
        <f t="shared" si="9"/>
        <v/>
      </c>
      <c r="E130" s="81"/>
      <c r="F130" s="373" t="str">
        <f t="shared" si="10"/>
        <v/>
      </c>
      <c r="G130" s="359"/>
      <c r="H130" s="359"/>
      <c r="I130" s="359"/>
      <c r="J130" s="81"/>
      <c r="L130" s="73" t="str">
        <f t="shared" si="11"/>
        <v/>
      </c>
      <c r="M130" s="73" t="str">
        <f t="shared" si="12"/>
        <v/>
      </c>
    </row>
    <row r="131" spans="1:13">
      <c r="A131" s="374" t="str">
        <f>IF(E131="","",VLOOKUP('OPĆI DIO'!$C$3,'OPĆI DIO'!$L$6:$U$138,10,FALSE))</f>
        <v/>
      </c>
      <c r="B131" s="370" t="str">
        <f>IF(E131="","",VLOOKUP('OPĆI DIO'!$C$3,'OPĆI DIO'!$L$6:$U$138,9,FALSE))</f>
        <v/>
      </c>
      <c r="C131" s="371" t="str">
        <f t="shared" ref="C131:C194" si="13">IFERROR(VLOOKUP(E131,$R$6:$U$113,3,FALSE),"")</f>
        <v/>
      </c>
      <c r="D131" s="372" t="str">
        <f t="shared" ref="D131:D194" si="14">IFERROR(VLOOKUP(E131,$R$6:$U$113,4,FALSE),"")</f>
        <v/>
      </c>
      <c r="E131" s="81"/>
      <c r="F131" s="373" t="str">
        <f t="shared" ref="F131:F194" si="15">IFERROR(VLOOKUP(E131,$R$6:$U$113,2,FALSE),"")</f>
        <v/>
      </c>
      <c r="G131" s="359"/>
      <c r="H131" s="359"/>
      <c r="I131" s="359"/>
      <c r="J131" s="81"/>
      <c r="L131" s="73" t="str">
        <f t="shared" si="11"/>
        <v/>
      </c>
      <c r="M131" s="73" t="str">
        <f t="shared" si="12"/>
        <v/>
      </c>
    </row>
    <row r="132" spans="1:13">
      <c r="A132" s="374" t="str">
        <f>IF(E132="","",VLOOKUP('OPĆI DIO'!$C$3,'OPĆI DIO'!$L$6:$U$138,10,FALSE))</f>
        <v/>
      </c>
      <c r="B132" s="370" t="str">
        <f>IF(E132="","",VLOOKUP('OPĆI DIO'!$C$3,'OPĆI DIO'!$L$6:$U$138,9,FALSE))</f>
        <v/>
      </c>
      <c r="C132" s="371" t="str">
        <f t="shared" si="13"/>
        <v/>
      </c>
      <c r="D132" s="372" t="str">
        <f t="shared" si="14"/>
        <v/>
      </c>
      <c r="E132" s="81"/>
      <c r="F132" s="373" t="str">
        <f t="shared" si="15"/>
        <v/>
      </c>
      <c r="G132" s="359"/>
      <c r="H132" s="359"/>
      <c r="I132" s="359"/>
      <c r="J132" s="81"/>
      <c r="L132" s="73" t="str">
        <f t="shared" ref="L132:L195" si="16">LEFT(E132,2)</f>
        <v/>
      </c>
      <c r="M132" s="73" t="str">
        <f t="shared" ref="M132:M195" si="17">LEFT(E132,3)</f>
        <v/>
      </c>
    </row>
    <row r="133" spans="1:13">
      <c r="A133" s="374" t="str">
        <f>IF(E133="","",VLOOKUP('OPĆI DIO'!$C$3,'OPĆI DIO'!$L$6:$U$138,10,FALSE))</f>
        <v/>
      </c>
      <c r="B133" s="370" t="str">
        <f>IF(E133="","",VLOOKUP('OPĆI DIO'!$C$3,'OPĆI DIO'!$L$6:$U$138,9,FALSE))</f>
        <v/>
      </c>
      <c r="C133" s="371" t="str">
        <f t="shared" si="13"/>
        <v/>
      </c>
      <c r="D133" s="372" t="str">
        <f t="shared" si="14"/>
        <v/>
      </c>
      <c r="E133" s="81"/>
      <c r="F133" s="373" t="str">
        <f t="shared" si="15"/>
        <v/>
      </c>
      <c r="G133" s="359"/>
      <c r="H133" s="359"/>
      <c r="I133" s="359"/>
      <c r="J133" s="81"/>
      <c r="L133" s="73" t="str">
        <f t="shared" si="16"/>
        <v/>
      </c>
      <c r="M133" s="73" t="str">
        <f t="shared" si="17"/>
        <v/>
      </c>
    </row>
    <row r="134" spans="1:13">
      <c r="A134" s="374" t="str">
        <f>IF(E134="","",VLOOKUP('OPĆI DIO'!$C$3,'OPĆI DIO'!$L$6:$U$138,10,FALSE))</f>
        <v/>
      </c>
      <c r="B134" s="370" t="str">
        <f>IF(E134="","",VLOOKUP('OPĆI DIO'!$C$3,'OPĆI DIO'!$L$6:$U$138,9,FALSE))</f>
        <v/>
      </c>
      <c r="C134" s="371" t="str">
        <f t="shared" si="13"/>
        <v/>
      </c>
      <c r="D134" s="372" t="str">
        <f t="shared" si="14"/>
        <v/>
      </c>
      <c r="E134" s="81"/>
      <c r="F134" s="373" t="str">
        <f t="shared" si="15"/>
        <v/>
      </c>
      <c r="G134" s="359"/>
      <c r="H134" s="359"/>
      <c r="I134" s="359"/>
      <c r="J134" s="81"/>
      <c r="L134" s="73" t="str">
        <f t="shared" si="16"/>
        <v/>
      </c>
      <c r="M134" s="73" t="str">
        <f t="shared" si="17"/>
        <v/>
      </c>
    </row>
    <row r="135" spans="1:13">
      <c r="A135" s="374" t="str">
        <f>IF(E135="","",VLOOKUP('OPĆI DIO'!$C$3,'OPĆI DIO'!$L$6:$U$138,10,FALSE))</f>
        <v/>
      </c>
      <c r="B135" s="370" t="str">
        <f>IF(E135="","",VLOOKUP('OPĆI DIO'!$C$3,'OPĆI DIO'!$L$6:$U$138,9,FALSE))</f>
        <v/>
      </c>
      <c r="C135" s="371" t="str">
        <f t="shared" si="13"/>
        <v/>
      </c>
      <c r="D135" s="372" t="str">
        <f t="shared" si="14"/>
        <v/>
      </c>
      <c r="E135" s="81"/>
      <c r="F135" s="373" t="str">
        <f t="shared" si="15"/>
        <v/>
      </c>
      <c r="G135" s="359"/>
      <c r="H135" s="359"/>
      <c r="I135" s="359"/>
      <c r="J135" s="81"/>
      <c r="L135" s="73" t="str">
        <f t="shared" si="16"/>
        <v/>
      </c>
      <c r="M135" s="73" t="str">
        <f t="shared" si="17"/>
        <v/>
      </c>
    </row>
    <row r="136" spans="1:13">
      <c r="A136" s="374" t="str">
        <f>IF(E136="","",VLOOKUP('OPĆI DIO'!$C$3,'OPĆI DIO'!$L$6:$U$138,10,FALSE))</f>
        <v/>
      </c>
      <c r="B136" s="370" t="str">
        <f>IF(E136="","",VLOOKUP('OPĆI DIO'!$C$3,'OPĆI DIO'!$L$6:$U$138,9,FALSE))</f>
        <v/>
      </c>
      <c r="C136" s="371" t="str">
        <f t="shared" si="13"/>
        <v/>
      </c>
      <c r="D136" s="372" t="str">
        <f t="shared" si="14"/>
        <v/>
      </c>
      <c r="E136" s="81"/>
      <c r="F136" s="373" t="str">
        <f t="shared" si="15"/>
        <v/>
      </c>
      <c r="G136" s="359"/>
      <c r="H136" s="359"/>
      <c r="I136" s="359"/>
      <c r="J136" s="81"/>
      <c r="L136" s="73" t="str">
        <f t="shared" si="16"/>
        <v/>
      </c>
      <c r="M136" s="73" t="str">
        <f t="shared" si="17"/>
        <v/>
      </c>
    </row>
    <row r="137" spans="1:13">
      <c r="A137" s="374" t="str">
        <f>IF(E137="","",VLOOKUP('OPĆI DIO'!$C$3,'OPĆI DIO'!$L$6:$U$138,10,FALSE))</f>
        <v/>
      </c>
      <c r="B137" s="370" t="str">
        <f>IF(E137="","",VLOOKUP('OPĆI DIO'!$C$3,'OPĆI DIO'!$L$6:$U$138,9,FALSE))</f>
        <v/>
      </c>
      <c r="C137" s="371" t="str">
        <f t="shared" si="13"/>
        <v/>
      </c>
      <c r="D137" s="372" t="str">
        <f t="shared" si="14"/>
        <v/>
      </c>
      <c r="E137" s="81"/>
      <c r="F137" s="373" t="str">
        <f t="shared" si="15"/>
        <v/>
      </c>
      <c r="G137" s="359"/>
      <c r="H137" s="359"/>
      <c r="I137" s="359"/>
      <c r="J137" s="81"/>
      <c r="L137" s="73" t="str">
        <f t="shared" si="16"/>
        <v/>
      </c>
      <c r="M137" s="73" t="str">
        <f t="shared" si="17"/>
        <v/>
      </c>
    </row>
    <row r="138" spans="1:13">
      <c r="A138" s="374" t="str">
        <f>IF(E138="","",VLOOKUP('OPĆI DIO'!$C$3,'OPĆI DIO'!$L$6:$U$138,10,FALSE))</f>
        <v/>
      </c>
      <c r="B138" s="370" t="str">
        <f>IF(E138="","",VLOOKUP('OPĆI DIO'!$C$3,'OPĆI DIO'!$L$6:$U$138,9,FALSE))</f>
        <v/>
      </c>
      <c r="C138" s="371" t="str">
        <f t="shared" si="13"/>
        <v/>
      </c>
      <c r="D138" s="372" t="str">
        <f t="shared" si="14"/>
        <v/>
      </c>
      <c r="E138" s="81"/>
      <c r="F138" s="373" t="str">
        <f t="shared" si="15"/>
        <v/>
      </c>
      <c r="G138" s="359"/>
      <c r="H138" s="359"/>
      <c r="I138" s="359"/>
      <c r="J138" s="81"/>
      <c r="L138" s="73" t="str">
        <f t="shared" si="16"/>
        <v/>
      </c>
      <c r="M138" s="73" t="str">
        <f t="shared" si="17"/>
        <v/>
      </c>
    </row>
    <row r="139" spans="1:13">
      <c r="A139" s="374" t="str">
        <f>IF(E139="","",VLOOKUP('OPĆI DIO'!$C$3,'OPĆI DIO'!$L$6:$U$138,10,FALSE))</f>
        <v/>
      </c>
      <c r="B139" s="370" t="str">
        <f>IF(E139="","",VLOOKUP('OPĆI DIO'!$C$3,'OPĆI DIO'!$L$6:$U$138,9,FALSE))</f>
        <v/>
      </c>
      <c r="C139" s="371" t="str">
        <f t="shared" si="13"/>
        <v/>
      </c>
      <c r="D139" s="372" t="str">
        <f t="shared" si="14"/>
        <v/>
      </c>
      <c r="E139" s="81"/>
      <c r="F139" s="373" t="str">
        <f t="shared" si="15"/>
        <v/>
      </c>
      <c r="G139" s="359"/>
      <c r="H139" s="359"/>
      <c r="I139" s="359"/>
      <c r="J139" s="81"/>
      <c r="L139" s="73" t="str">
        <f t="shared" si="16"/>
        <v/>
      </c>
      <c r="M139" s="73" t="str">
        <f t="shared" si="17"/>
        <v/>
      </c>
    </row>
    <row r="140" spans="1:13">
      <c r="A140" s="374" t="str">
        <f>IF(E140="","",VLOOKUP('OPĆI DIO'!$C$3,'OPĆI DIO'!$L$6:$U$138,10,FALSE))</f>
        <v/>
      </c>
      <c r="B140" s="370" t="str">
        <f>IF(E140="","",VLOOKUP('OPĆI DIO'!$C$3,'OPĆI DIO'!$L$6:$U$138,9,FALSE))</f>
        <v/>
      </c>
      <c r="C140" s="371" t="str">
        <f t="shared" si="13"/>
        <v/>
      </c>
      <c r="D140" s="372" t="str">
        <f t="shared" si="14"/>
        <v/>
      </c>
      <c r="E140" s="81"/>
      <c r="F140" s="373" t="str">
        <f t="shared" si="15"/>
        <v/>
      </c>
      <c r="G140" s="359"/>
      <c r="H140" s="359"/>
      <c r="I140" s="359"/>
      <c r="J140" s="81"/>
      <c r="L140" s="73" t="str">
        <f t="shared" si="16"/>
        <v/>
      </c>
      <c r="M140" s="73" t="str">
        <f t="shared" si="17"/>
        <v/>
      </c>
    </row>
    <row r="141" spans="1:13">
      <c r="A141" s="374" t="str">
        <f>IF(E141="","",VLOOKUP('OPĆI DIO'!$C$3,'OPĆI DIO'!$L$6:$U$138,10,FALSE))</f>
        <v/>
      </c>
      <c r="B141" s="370" t="str">
        <f>IF(E141="","",VLOOKUP('OPĆI DIO'!$C$3,'OPĆI DIO'!$L$6:$U$138,9,FALSE))</f>
        <v/>
      </c>
      <c r="C141" s="371" t="str">
        <f t="shared" si="13"/>
        <v/>
      </c>
      <c r="D141" s="372" t="str">
        <f t="shared" si="14"/>
        <v/>
      </c>
      <c r="E141" s="81"/>
      <c r="F141" s="373" t="str">
        <f t="shared" si="15"/>
        <v/>
      </c>
      <c r="G141" s="359"/>
      <c r="H141" s="359"/>
      <c r="I141" s="359"/>
      <c r="J141" s="81"/>
      <c r="L141" s="73" t="str">
        <f t="shared" si="16"/>
        <v/>
      </c>
      <c r="M141" s="73" t="str">
        <f t="shared" si="17"/>
        <v/>
      </c>
    </row>
    <row r="142" spans="1:13">
      <c r="A142" s="374" t="str">
        <f>IF(E142="","",VLOOKUP('OPĆI DIO'!$C$3,'OPĆI DIO'!$L$6:$U$138,10,FALSE))</f>
        <v/>
      </c>
      <c r="B142" s="370" t="str">
        <f>IF(E142="","",VLOOKUP('OPĆI DIO'!$C$3,'OPĆI DIO'!$L$6:$U$138,9,FALSE))</f>
        <v/>
      </c>
      <c r="C142" s="371" t="str">
        <f t="shared" si="13"/>
        <v/>
      </c>
      <c r="D142" s="372" t="str">
        <f t="shared" si="14"/>
        <v/>
      </c>
      <c r="E142" s="81"/>
      <c r="F142" s="373" t="str">
        <f t="shared" si="15"/>
        <v/>
      </c>
      <c r="G142" s="359"/>
      <c r="H142" s="359"/>
      <c r="I142" s="359"/>
      <c r="J142" s="81"/>
      <c r="L142" s="73" t="str">
        <f t="shared" si="16"/>
        <v/>
      </c>
      <c r="M142" s="73" t="str">
        <f t="shared" si="17"/>
        <v/>
      </c>
    </row>
    <row r="143" spans="1:13">
      <c r="A143" s="374" t="str">
        <f>IF(E143="","",VLOOKUP('OPĆI DIO'!$C$3,'OPĆI DIO'!$L$6:$U$138,10,FALSE))</f>
        <v/>
      </c>
      <c r="B143" s="370" t="str">
        <f>IF(E143="","",VLOOKUP('OPĆI DIO'!$C$3,'OPĆI DIO'!$L$6:$U$138,9,FALSE))</f>
        <v/>
      </c>
      <c r="C143" s="371" t="str">
        <f t="shared" si="13"/>
        <v/>
      </c>
      <c r="D143" s="372" t="str">
        <f t="shared" si="14"/>
        <v/>
      </c>
      <c r="E143" s="81"/>
      <c r="F143" s="373" t="str">
        <f t="shared" si="15"/>
        <v/>
      </c>
      <c r="G143" s="359"/>
      <c r="H143" s="359"/>
      <c r="I143" s="359"/>
      <c r="J143" s="81"/>
      <c r="L143" s="73" t="str">
        <f t="shared" si="16"/>
        <v/>
      </c>
      <c r="M143" s="73" t="str">
        <f t="shared" si="17"/>
        <v/>
      </c>
    </row>
    <row r="144" spans="1:13">
      <c r="A144" s="374" t="str">
        <f>IF(E144="","",VLOOKUP('OPĆI DIO'!$C$3,'OPĆI DIO'!$L$6:$U$138,10,FALSE))</f>
        <v/>
      </c>
      <c r="B144" s="370" t="str">
        <f>IF(E144="","",VLOOKUP('OPĆI DIO'!$C$3,'OPĆI DIO'!$L$6:$U$138,9,FALSE))</f>
        <v/>
      </c>
      <c r="C144" s="371" t="str">
        <f t="shared" si="13"/>
        <v/>
      </c>
      <c r="D144" s="372" t="str">
        <f t="shared" si="14"/>
        <v/>
      </c>
      <c r="E144" s="81"/>
      <c r="F144" s="373" t="str">
        <f t="shared" si="15"/>
        <v/>
      </c>
      <c r="G144" s="359"/>
      <c r="H144" s="359"/>
      <c r="I144" s="359"/>
      <c r="J144" s="81"/>
      <c r="L144" s="73" t="str">
        <f t="shared" si="16"/>
        <v/>
      </c>
      <c r="M144" s="73" t="str">
        <f t="shared" si="17"/>
        <v/>
      </c>
    </row>
    <row r="145" spans="1:13">
      <c r="A145" s="374" t="str">
        <f>IF(E145="","",VLOOKUP('OPĆI DIO'!$C$3,'OPĆI DIO'!$L$6:$U$138,10,FALSE))</f>
        <v/>
      </c>
      <c r="B145" s="370" t="str">
        <f>IF(E145="","",VLOOKUP('OPĆI DIO'!$C$3,'OPĆI DIO'!$L$6:$U$138,9,FALSE))</f>
        <v/>
      </c>
      <c r="C145" s="371" t="str">
        <f t="shared" si="13"/>
        <v/>
      </c>
      <c r="D145" s="372" t="str">
        <f t="shared" si="14"/>
        <v/>
      </c>
      <c r="E145" s="81"/>
      <c r="F145" s="373" t="str">
        <f t="shared" si="15"/>
        <v/>
      </c>
      <c r="G145" s="359"/>
      <c r="H145" s="359"/>
      <c r="I145" s="359"/>
      <c r="J145" s="81"/>
      <c r="L145" s="73" t="str">
        <f t="shared" si="16"/>
        <v/>
      </c>
      <c r="M145" s="73" t="str">
        <f t="shared" si="17"/>
        <v/>
      </c>
    </row>
    <row r="146" spans="1:13">
      <c r="A146" s="374" t="str">
        <f>IF(E146="","",VLOOKUP('OPĆI DIO'!$C$3,'OPĆI DIO'!$L$6:$U$138,10,FALSE))</f>
        <v/>
      </c>
      <c r="B146" s="370" t="str">
        <f>IF(E146="","",VLOOKUP('OPĆI DIO'!$C$3,'OPĆI DIO'!$L$6:$U$138,9,FALSE))</f>
        <v/>
      </c>
      <c r="C146" s="371" t="str">
        <f t="shared" si="13"/>
        <v/>
      </c>
      <c r="D146" s="372" t="str">
        <f t="shared" si="14"/>
        <v/>
      </c>
      <c r="E146" s="81"/>
      <c r="F146" s="373" t="str">
        <f t="shared" si="15"/>
        <v/>
      </c>
      <c r="G146" s="359"/>
      <c r="H146" s="359"/>
      <c r="I146" s="359"/>
      <c r="J146" s="81"/>
      <c r="L146" s="73" t="str">
        <f t="shared" si="16"/>
        <v/>
      </c>
      <c r="M146" s="73" t="str">
        <f t="shared" si="17"/>
        <v/>
      </c>
    </row>
    <row r="147" spans="1:13">
      <c r="A147" s="374" t="str">
        <f>IF(E147="","",VLOOKUP('OPĆI DIO'!$C$3,'OPĆI DIO'!$L$6:$U$138,10,FALSE))</f>
        <v/>
      </c>
      <c r="B147" s="370" t="str">
        <f>IF(E147="","",VLOOKUP('OPĆI DIO'!$C$3,'OPĆI DIO'!$L$6:$U$138,9,FALSE))</f>
        <v/>
      </c>
      <c r="C147" s="371" t="str">
        <f t="shared" si="13"/>
        <v/>
      </c>
      <c r="D147" s="372" t="str">
        <f t="shared" si="14"/>
        <v/>
      </c>
      <c r="E147" s="81"/>
      <c r="F147" s="373" t="str">
        <f t="shared" si="15"/>
        <v/>
      </c>
      <c r="G147" s="359"/>
      <c r="H147" s="359"/>
      <c r="I147" s="359"/>
      <c r="J147" s="81"/>
      <c r="L147" s="73" t="str">
        <f t="shared" si="16"/>
        <v/>
      </c>
      <c r="M147" s="73" t="str">
        <f t="shared" si="17"/>
        <v/>
      </c>
    </row>
    <row r="148" spans="1:13">
      <c r="A148" s="374" t="str">
        <f>IF(E148="","",VLOOKUP('OPĆI DIO'!$C$3,'OPĆI DIO'!$L$6:$U$138,10,FALSE))</f>
        <v/>
      </c>
      <c r="B148" s="370" t="str">
        <f>IF(E148="","",VLOOKUP('OPĆI DIO'!$C$3,'OPĆI DIO'!$L$6:$U$138,9,FALSE))</f>
        <v/>
      </c>
      <c r="C148" s="371" t="str">
        <f t="shared" si="13"/>
        <v/>
      </c>
      <c r="D148" s="372" t="str">
        <f t="shared" si="14"/>
        <v/>
      </c>
      <c r="E148" s="81"/>
      <c r="F148" s="373" t="str">
        <f t="shared" si="15"/>
        <v/>
      </c>
      <c r="G148" s="359"/>
      <c r="H148" s="359"/>
      <c r="I148" s="359"/>
      <c r="J148" s="81"/>
      <c r="L148" s="73" t="str">
        <f t="shared" si="16"/>
        <v/>
      </c>
      <c r="M148" s="73" t="str">
        <f t="shared" si="17"/>
        <v/>
      </c>
    </row>
    <row r="149" spans="1:13">
      <c r="A149" s="374" t="str">
        <f>IF(E149="","",VLOOKUP('OPĆI DIO'!$C$3,'OPĆI DIO'!$L$6:$U$138,10,FALSE))</f>
        <v/>
      </c>
      <c r="B149" s="370" t="str">
        <f>IF(E149="","",VLOOKUP('OPĆI DIO'!$C$3,'OPĆI DIO'!$L$6:$U$138,9,FALSE))</f>
        <v/>
      </c>
      <c r="C149" s="371" t="str">
        <f t="shared" si="13"/>
        <v/>
      </c>
      <c r="D149" s="372" t="str">
        <f t="shared" si="14"/>
        <v/>
      </c>
      <c r="E149" s="81"/>
      <c r="F149" s="373" t="str">
        <f t="shared" si="15"/>
        <v/>
      </c>
      <c r="G149" s="359"/>
      <c r="H149" s="359"/>
      <c r="I149" s="359"/>
      <c r="J149" s="81"/>
      <c r="L149" s="73" t="str">
        <f t="shared" si="16"/>
        <v/>
      </c>
      <c r="M149" s="73" t="str">
        <f t="shared" si="17"/>
        <v/>
      </c>
    </row>
    <row r="150" spans="1:13">
      <c r="A150" s="374" t="str">
        <f>IF(E150="","",VLOOKUP('OPĆI DIO'!$C$3,'OPĆI DIO'!$L$6:$U$138,10,FALSE))</f>
        <v/>
      </c>
      <c r="B150" s="370" t="str">
        <f>IF(E150="","",VLOOKUP('OPĆI DIO'!$C$3,'OPĆI DIO'!$L$6:$U$138,9,FALSE))</f>
        <v/>
      </c>
      <c r="C150" s="371" t="str">
        <f t="shared" si="13"/>
        <v/>
      </c>
      <c r="D150" s="372" t="str">
        <f t="shared" si="14"/>
        <v/>
      </c>
      <c r="E150" s="81"/>
      <c r="F150" s="373" t="str">
        <f t="shared" si="15"/>
        <v/>
      </c>
      <c r="G150" s="359"/>
      <c r="H150" s="359"/>
      <c r="I150" s="359"/>
      <c r="J150" s="81"/>
      <c r="L150" s="73" t="str">
        <f t="shared" si="16"/>
        <v/>
      </c>
      <c r="M150" s="73" t="str">
        <f t="shared" si="17"/>
        <v/>
      </c>
    </row>
    <row r="151" spans="1:13">
      <c r="A151" s="374" t="str">
        <f>IF(E151="","",VLOOKUP('OPĆI DIO'!$C$3,'OPĆI DIO'!$L$6:$U$138,10,FALSE))</f>
        <v/>
      </c>
      <c r="B151" s="370" t="str">
        <f>IF(E151="","",VLOOKUP('OPĆI DIO'!$C$3,'OPĆI DIO'!$L$6:$U$138,9,FALSE))</f>
        <v/>
      </c>
      <c r="C151" s="371" t="str">
        <f t="shared" si="13"/>
        <v/>
      </c>
      <c r="D151" s="372" t="str">
        <f t="shared" si="14"/>
        <v/>
      </c>
      <c r="E151" s="81"/>
      <c r="F151" s="373" t="str">
        <f t="shared" si="15"/>
        <v/>
      </c>
      <c r="G151" s="359"/>
      <c r="H151" s="359"/>
      <c r="I151" s="359"/>
      <c r="J151" s="81"/>
      <c r="L151" s="73" t="str">
        <f t="shared" si="16"/>
        <v/>
      </c>
      <c r="M151" s="73" t="str">
        <f t="shared" si="17"/>
        <v/>
      </c>
    </row>
    <row r="152" spans="1:13">
      <c r="A152" s="374" t="str">
        <f>IF(E152="","",VLOOKUP('OPĆI DIO'!$C$3,'OPĆI DIO'!$L$6:$U$138,10,FALSE))</f>
        <v/>
      </c>
      <c r="B152" s="370" t="str">
        <f>IF(E152="","",VLOOKUP('OPĆI DIO'!$C$3,'OPĆI DIO'!$L$6:$U$138,9,FALSE))</f>
        <v/>
      </c>
      <c r="C152" s="371" t="str">
        <f t="shared" si="13"/>
        <v/>
      </c>
      <c r="D152" s="372" t="str">
        <f t="shared" si="14"/>
        <v/>
      </c>
      <c r="E152" s="81"/>
      <c r="F152" s="373" t="str">
        <f t="shared" si="15"/>
        <v/>
      </c>
      <c r="G152" s="359"/>
      <c r="H152" s="359"/>
      <c r="I152" s="359"/>
      <c r="J152" s="81"/>
      <c r="L152" s="73" t="str">
        <f t="shared" si="16"/>
        <v/>
      </c>
      <c r="M152" s="73" t="str">
        <f t="shared" si="17"/>
        <v/>
      </c>
    </row>
    <row r="153" spans="1:13">
      <c r="A153" s="374" t="str">
        <f>IF(E153="","",VLOOKUP('OPĆI DIO'!$C$3,'OPĆI DIO'!$L$6:$U$138,10,FALSE))</f>
        <v/>
      </c>
      <c r="B153" s="370" t="str">
        <f>IF(E153="","",VLOOKUP('OPĆI DIO'!$C$3,'OPĆI DIO'!$L$6:$U$138,9,FALSE))</f>
        <v/>
      </c>
      <c r="C153" s="371" t="str">
        <f t="shared" si="13"/>
        <v/>
      </c>
      <c r="D153" s="372" t="str">
        <f t="shared" si="14"/>
        <v/>
      </c>
      <c r="E153" s="81"/>
      <c r="F153" s="373" t="str">
        <f t="shared" si="15"/>
        <v/>
      </c>
      <c r="G153" s="359"/>
      <c r="H153" s="359"/>
      <c r="I153" s="359"/>
      <c r="J153" s="81"/>
      <c r="L153" s="73" t="str">
        <f t="shared" si="16"/>
        <v/>
      </c>
      <c r="M153" s="73" t="str">
        <f t="shared" si="17"/>
        <v/>
      </c>
    </row>
    <row r="154" spans="1:13">
      <c r="A154" s="374" t="str">
        <f>IF(E154="","",VLOOKUP('OPĆI DIO'!$C$3,'OPĆI DIO'!$L$6:$U$138,10,FALSE))</f>
        <v/>
      </c>
      <c r="B154" s="370" t="str">
        <f>IF(E154="","",VLOOKUP('OPĆI DIO'!$C$3,'OPĆI DIO'!$L$6:$U$138,9,FALSE))</f>
        <v/>
      </c>
      <c r="C154" s="371" t="str">
        <f t="shared" si="13"/>
        <v/>
      </c>
      <c r="D154" s="372" t="str">
        <f t="shared" si="14"/>
        <v/>
      </c>
      <c r="E154" s="81"/>
      <c r="F154" s="373" t="str">
        <f t="shared" si="15"/>
        <v/>
      </c>
      <c r="G154" s="359"/>
      <c r="H154" s="359"/>
      <c r="I154" s="359"/>
      <c r="J154" s="81"/>
      <c r="L154" s="73" t="str">
        <f t="shared" si="16"/>
        <v/>
      </c>
      <c r="M154" s="73" t="str">
        <f t="shared" si="17"/>
        <v/>
      </c>
    </row>
    <row r="155" spans="1:13">
      <c r="A155" s="374" t="str">
        <f>IF(E155="","",VLOOKUP('OPĆI DIO'!$C$3,'OPĆI DIO'!$L$6:$U$138,10,FALSE))</f>
        <v/>
      </c>
      <c r="B155" s="370" t="str">
        <f>IF(E155="","",VLOOKUP('OPĆI DIO'!$C$3,'OPĆI DIO'!$L$6:$U$138,9,FALSE))</f>
        <v/>
      </c>
      <c r="C155" s="371" t="str">
        <f t="shared" si="13"/>
        <v/>
      </c>
      <c r="D155" s="372" t="str">
        <f t="shared" si="14"/>
        <v/>
      </c>
      <c r="E155" s="81"/>
      <c r="F155" s="373" t="str">
        <f t="shared" si="15"/>
        <v/>
      </c>
      <c r="G155" s="359"/>
      <c r="H155" s="359"/>
      <c r="I155" s="359"/>
      <c r="J155" s="81"/>
      <c r="L155" s="73" t="str">
        <f t="shared" si="16"/>
        <v/>
      </c>
      <c r="M155" s="73" t="str">
        <f t="shared" si="17"/>
        <v/>
      </c>
    </row>
    <row r="156" spans="1:13">
      <c r="A156" s="374" t="str">
        <f>IF(E156="","",VLOOKUP('OPĆI DIO'!$C$3,'OPĆI DIO'!$L$6:$U$138,10,FALSE))</f>
        <v/>
      </c>
      <c r="B156" s="370" t="str">
        <f>IF(E156="","",VLOOKUP('OPĆI DIO'!$C$3,'OPĆI DIO'!$L$6:$U$138,9,FALSE))</f>
        <v/>
      </c>
      <c r="C156" s="371" t="str">
        <f t="shared" si="13"/>
        <v/>
      </c>
      <c r="D156" s="372" t="str">
        <f t="shared" si="14"/>
        <v/>
      </c>
      <c r="E156" s="81"/>
      <c r="F156" s="373" t="str">
        <f t="shared" si="15"/>
        <v/>
      </c>
      <c r="G156" s="359"/>
      <c r="H156" s="359"/>
      <c r="I156" s="359"/>
      <c r="J156" s="81"/>
      <c r="L156" s="73" t="str">
        <f t="shared" si="16"/>
        <v/>
      </c>
      <c r="M156" s="73" t="str">
        <f t="shared" si="17"/>
        <v/>
      </c>
    </row>
    <row r="157" spans="1:13">
      <c r="A157" s="374" t="str">
        <f>IF(E157="","",VLOOKUP('OPĆI DIO'!$C$3,'OPĆI DIO'!$L$6:$U$138,10,FALSE))</f>
        <v/>
      </c>
      <c r="B157" s="370" t="str">
        <f>IF(E157="","",VLOOKUP('OPĆI DIO'!$C$3,'OPĆI DIO'!$L$6:$U$138,9,FALSE))</f>
        <v/>
      </c>
      <c r="C157" s="371" t="str">
        <f t="shared" si="13"/>
        <v/>
      </c>
      <c r="D157" s="372" t="str">
        <f t="shared" si="14"/>
        <v/>
      </c>
      <c r="E157" s="81"/>
      <c r="F157" s="373" t="str">
        <f t="shared" si="15"/>
        <v/>
      </c>
      <c r="G157" s="359"/>
      <c r="H157" s="359"/>
      <c r="I157" s="359"/>
      <c r="J157" s="81"/>
      <c r="L157" s="73" t="str">
        <f t="shared" si="16"/>
        <v/>
      </c>
      <c r="M157" s="73" t="str">
        <f t="shared" si="17"/>
        <v/>
      </c>
    </row>
    <row r="158" spans="1:13">
      <c r="A158" s="374" t="str">
        <f>IF(E158="","",VLOOKUP('OPĆI DIO'!$C$3,'OPĆI DIO'!$L$6:$U$138,10,FALSE))</f>
        <v/>
      </c>
      <c r="B158" s="370" t="str">
        <f>IF(E158="","",VLOOKUP('OPĆI DIO'!$C$3,'OPĆI DIO'!$L$6:$U$138,9,FALSE))</f>
        <v/>
      </c>
      <c r="C158" s="371" t="str">
        <f t="shared" si="13"/>
        <v/>
      </c>
      <c r="D158" s="372" t="str">
        <f t="shared" si="14"/>
        <v/>
      </c>
      <c r="E158" s="81"/>
      <c r="F158" s="373" t="str">
        <f t="shared" si="15"/>
        <v/>
      </c>
      <c r="G158" s="359"/>
      <c r="H158" s="359"/>
      <c r="I158" s="359"/>
      <c r="J158" s="81"/>
      <c r="L158" s="73" t="str">
        <f t="shared" si="16"/>
        <v/>
      </c>
      <c r="M158" s="73" t="str">
        <f t="shared" si="17"/>
        <v/>
      </c>
    </row>
    <row r="159" spans="1:13">
      <c r="A159" s="374" t="str">
        <f>IF(E159="","",VLOOKUP('OPĆI DIO'!$C$3,'OPĆI DIO'!$L$6:$U$138,10,FALSE))</f>
        <v/>
      </c>
      <c r="B159" s="370" t="str">
        <f>IF(E159="","",VLOOKUP('OPĆI DIO'!$C$3,'OPĆI DIO'!$L$6:$U$138,9,FALSE))</f>
        <v/>
      </c>
      <c r="C159" s="371" t="str">
        <f t="shared" si="13"/>
        <v/>
      </c>
      <c r="D159" s="372" t="str">
        <f t="shared" si="14"/>
        <v/>
      </c>
      <c r="E159" s="81"/>
      <c r="F159" s="373" t="str">
        <f t="shared" si="15"/>
        <v/>
      </c>
      <c r="G159" s="359"/>
      <c r="H159" s="359"/>
      <c r="I159" s="359"/>
      <c r="J159" s="81"/>
      <c r="L159" s="73" t="str">
        <f t="shared" si="16"/>
        <v/>
      </c>
      <c r="M159" s="73" t="str">
        <f t="shared" si="17"/>
        <v/>
      </c>
    </row>
    <row r="160" spans="1:13">
      <c r="A160" s="374" t="str">
        <f>IF(E160="","",VLOOKUP('OPĆI DIO'!$C$3,'OPĆI DIO'!$L$6:$U$138,10,FALSE))</f>
        <v/>
      </c>
      <c r="B160" s="370" t="str">
        <f>IF(E160="","",VLOOKUP('OPĆI DIO'!$C$3,'OPĆI DIO'!$L$6:$U$138,9,FALSE))</f>
        <v/>
      </c>
      <c r="C160" s="371" t="str">
        <f t="shared" si="13"/>
        <v/>
      </c>
      <c r="D160" s="372" t="str">
        <f t="shared" si="14"/>
        <v/>
      </c>
      <c r="E160" s="81"/>
      <c r="F160" s="373" t="str">
        <f t="shared" si="15"/>
        <v/>
      </c>
      <c r="G160" s="359"/>
      <c r="H160" s="359"/>
      <c r="I160" s="359"/>
      <c r="J160" s="81"/>
      <c r="L160" s="73" t="str">
        <f t="shared" si="16"/>
        <v/>
      </c>
      <c r="M160" s="73" t="str">
        <f t="shared" si="17"/>
        <v/>
      </c>
    </row>
    <row r="161" spans="1:13">
      <c r="A161" s="374" t="str">
        <f>IF(E161="","",VLOOKUP('OPĆI DIO'!$C$3,'OPĆI DIO'!$L$6:$U$138,10,FALSE))</f>
        <v/>
      </c>
      <c r="B161" s="370" t="str">
        <f>IF(E161="","",VLOOKUP('OPĆI DIO'!$C$3,'OPĆI DIO'!$L$6:$U$138,9,FALSE))</f>
        <v/>
      </c>
      <c r="C161" s="371" t="str">
        <f t="shared" si="13"/>
        <v/>
      </c>
      <c r="D161" s="372" t="str">
        <f t="shared" si="14"/>
        <v/>
      </c>
      <c r="E161" s="81"/>
      <c r="F161" s="373" t="str">
        <f t="shared" si="15"/>
        <v/>
      </c>
      <c r="G161" s="359"/>
      <c r="H161" s="359"/>
      <c r="I161" s="359"/>
      <c r="J161" s="81"/>
      <c r="L161" s="73" t="str">
        <f t="shared" si="16"/>
        <v/>
      </c>
      <c r="M161" s="73" t="str">
        <f t="shared" si="17"/>
        <v/>
      </c>
    </row>
    <row r="162" spans="1:13">
      <c r="A162" s="374" t="str">
        <f>IF(E162="","",VLOOKUP('OPĆI DIO'!$C$3,'OPĆI DIO'!$L$6:$U$138,10,FALSE))</f>
        <v/>
      </c>
      <c r="B162" s="370" t="str">
        <f>IF(E162="","",VLOOKUP('OPĆI DIO'!$C$3,'OPĆI DIO'!$L$6:$U$138,9,FALSE))</f>
        <v/>
      </c>
      <c r="C162" s="371" t="str">
        <f t="shared" si="13"/>
        <v/>
      </c>
      <c r="D162" s="372" t="str">
        <f t="shared" si="14"/>
        <v/>
      </c>
      <c r="E162" s="81"/>
      <c r="F162" s="373" t="str">
        <f t="shared" si="15"/>
        <v/>
      </c>
      <c r="G162" s="359"/>
      <c r="H162" s="359"/>
      <c r="I162" s="359"/>
      <c r="J162" s="81"/>
      <c r="L162" s="73" t="str">
        <f t="shared" si="16"/>
        <v/>
      </c>
      <c r="M162" s="73" t="str">
        <f t="shared" si="17"/>
        <v/>
      </c>
    </row>
    <row r="163" spans="1:13">
      <c r="A163" s="374" t="str">
        <f>IF(E163="","",VLOOKUP('OPĆI DIO'!$C$3,'OPĆI DIO'!$L$6:$U$138,10,FALSE))</f>
        <v/>
      </c>
      <c r="B163" s="370" t="str">
        <f>IF(E163="","",VLOOKUP('OPĆI DIO'!$C$3,'OPĆI DIO'!$L$6:$U$138,9,FALSE))</f>
        <v/>
      </c>
      <c r="C163" s="371" t="str">
        <f t="shared" si="13"/>
        <v/>
      </c>
      <c r="D163" s="372" t="str">
        <f t="shared" si="14"/>
        <v/>
      </c>
      <c r="E163" s="81"/>
      <c r="F163" s="373" t="str">
        <f t="shared" si="15"/>
        <v/>
      </c>
      <c r="G163" s="359"/>
      <c r="H163" s="359"/>
      <c r="I163" s="359"/>
      <c r="J163" s="81"/>
      <c r="L163" s="73" t="str">
        <f t="shared" si="16"/>
        <v/>
      </c>
      <c r="M163" s="73" t="str">
        <f t="shared" si="17"/>
        <v/>
      </c>
    </row>
    <row r="164" spans="1:13">
      <c r="A164" s="374" t="str">
        <f>IF(E164="","",VLOOKUP('OPĆI DIO'!$C$3,'OPĆI DIO'!$L$6:$U$138,10,FALSE))</f>
        <v/>
      </c>
      <c r="B164" s="370" t="str">
        <f>IF(E164="","",VLOOKUP('OPĆI DIO'!$C$3,'OPĆI DIO'!$L$6:$U$138,9,FALSE))</f>
        <v/>
      </c>
      <c r="C164" s="371" t="str">
        <f t="shared" si="13"/>
        <v/>
      </c>
      <c r="D164" s="372" t="str">
        <f t="shared" si="14"/>
        <v/>
      </c>
      <c r="E164" s="81"/>
      <c r="F164" s="373" t="str">
        <f t="shared" si="15"/>
        <v/>
      </c>
      <c r="G164" s="359"/>
      <c r="H164" s="359"/>
      <c r="I164" s="359"/>
      <c r="J164" s="81"/>
      <c r="L164" s="73" t="str">
        <f t="shared" si="16"/>
        <v/>
      </c>
      <c r="M164" s="73" t="str">
        <f t="shared" si="17"/>
        <v/>
      </c>
    </row>
    <row r="165" spans="1:13">
      <c r="A165" s="374" t="str">
        <f>IF(E165="","",VLOOKUP('OPĆI DIO'!$C$3,'OPĆI DIO'!$L$6:$U$138,10,FALSE))</f>
        <v/>
      </c>
      <c r="B165" s="370" t="str">
        <f>IF(E165="","",VLOOKUP('OPĆI DIO'!$C$3,'OPĆI DIO'!$L$6:$U$138,9,FALSE))</f>
        <v/>
      </c>
      <c r="C165" s="371" t="str">
        <f t="shared" si="13"/>
        <v/>
      </c>
      <c r="D165" s="372" t="str">
        <f t="shared" si="14"/>
        <v/>
      </c>
      <c r="E165" s="81"/>
      <c r="F165" s="373" t="str">
        <f t="shared" si="15"/>
        <v/>
      </c>
      <c r="G165" s="359"/>
      <c r="H165" s="359"/>
      <c r="I165" s="359"/>
      <c r="J165" s="81"/>
      <c r="L165" s="73" t="str">
        <f t="shared" si="16"/>
        <v/>
      </c>
      <c r="M165" s="73" t="str">
        <f t="shared" si="17"/>
        <v/>
      </c>
    </row>
    <row r="166" spans="1:13">
      <c r="A166" s="374" t="str">
        <f>IF(E166="","",VLOOKUP('OPĆI DIO'!$C$3,'OPĆI DIO'!$L$6:$U$138,10,FALSE))</f>
        <v/>
      </c>
      <c r="B166" s="370" t="str">
        <f>IF(E166="","",VLOOKUP('OPĆI DIO'!$C$3,'OPĆI DIO'!$L$6:$U$138,9,FALSE))</f>
        <v/>
      </c>
      <c r="C166" s="371" t="str">
        <f t="shared" si="13"/>
        <v/>
      </c>
      <c r="D166" s="372" t="str">
        <f t="shared" si="14"/>
        <v/>
      </c>
      <c r="E166" s="81"/>
      <c r="F166" s="373" t="str">
        <f t="shared" si="15"/>
        <v/>
      </c>
      <c r="G166" s="359"/>
      <c r="H166" s="359"/>
      <c r="I166" s="359"/>
      <c r="J166" s="81"/>
      <c r="L166" s="73" t="str">
        <f t="shared" si="16"/>
        <v/>
      </c>
      <c r="M166" s="73" t="str">
        <f t="shared" si="17"/>
        <v/>
      </c>
    </row>
    <row r="167" spans="1:13">
      <c r="A167" s="374" t="str">
        <f>IF(E167="","",VLOOKUP('OPĆI DIO'!$C$3,'OPĆI DIO'!$L$6:$U$138,10,FALSE))</f>
        <v/>
      </c>
      <c r="B167" s="370" t="str">
        <f>IF(E167="","",VLOOKUP('OPĆI DIO'!$C$3,'OPĆI DIO'!$L$6:$U$138,9,FALSE))</f>
        <v/>
      </c>
      <c r="C167" s="371" t="str">
        <f t="shared" si="13"/>
        <v/>
      </c>
      <c r="D167" s="372" t="str">
        <f t="shared" si="14"/>
        <v/>
      </c>
      <c r="E167" s="81"/>
      <c r="F167" s="373" t="str">
        <f t="shared" si="15"/>
        <v/>
      </c>
      <c r="G167" s="359"/>
      <c r="H167" s="359"/>
      <c r="I167" s="359"/>
      <c r="J167" s="81"/>
      <c r="L167" s="73" t="str">
        <f t="shared" si="16"/>
        <v/>
      </c>
      <c r="M167" s="73" t="str">
        <f t="shared" si="17"/>
        <v/>
      </c>
    </row>
    <row r="168" spans="1:13">
      <c r="A168" s="374" t="str">
        <f>IF(E168="","",VLOOKUP('OPĆI DIO'!$C$3,'OPĆI DIO'!$L$6:$U$138,10,FALSE))</f>
        <v/>
      </c>
      <c r="B168" s="370" t="str">
        <f>IF(E168="","",VLOOKUP('OPĆI DIO'!$C$3,'OPĆI DIO'!$L$6:$U$138,9,FALSE))</f>
        <v/>
      </c>
      <c r="C168" s="371" t="str">
        <f t="shared" si="13"/>
        <v/>
      </c>
      <c r="D168" s="372" t="str">
        <f t="shared" si="14"/>
        <v/>
      </c>
      <c r="E168" s="81"/>
      <c r="F168" s="373" t="str">
        <f t="shared" si="15"/>
        <v/>
      </c>
      <c r="G168" s="359"/>
      <c r="H168" s="359"/>
      <c r="I168" s="359"/>
      <c r="J168" s="81"/>
      <c r="L168" s="73" t="str">
        <f t="shared" si="16"/>
        <v/>
      </c>
      <c r="M168" s="73" t="str">
        <f t="shared" si="17"/>
        <v/>
      </c>
    </row>
    <row r="169" spans="1:13">
      <c r="A169" s="374" t="str">
        <f>IF(E169="","",VLOOKUP('OPĆI DIO'!$C$3,'OPĆI DIO'!$L$6:$U$138,10,FALSE))</f>
        <v/>
      </c>
      <c r="B169" s="370" t="str">
        <f>IF(E169="","",VLOOKUP('OPĆI DIO'!$C$3,'OPĆI DIO'!$L$6:$U$138,9,FALSE))</f>
        <v/>
      </c>
      <c r="C169" s="371" t="str">
        <f t="shared" si="13"/>
        <v/>
      </c>
      <c r="D169" s="372" t="str">
        <f t="shared" si="14"/>
        <v/>
      </c>
      <c r="E169" s="81"/>
      <c r="F169" s="373" t="str">
        <f t="shared" si="15"/>
        <v/>
      </c>
      <c r="G169" s="359"/>
      <c r="H169" s="359"/>
      <c r="I169" s="359"/>
      <c r="J169" s="81"/>
      <c r="L169" s="73" t="str">
        <f t="shared" si="16"/>
        <v/>
      </c>
      <c r="M169" s="73" t="str">
        <f t="shared" si="17"/>
        <v/>
      </c>
    </row>
    <row r="170" spans="1:13">
      <c r="A170" s="374" t="str">
        <f>IF(E170="","",VLOOKUP('OPĆI DIO'!$C$3,'OPĆI DIO'!$L$6:$U$138,10,FALSE))</f>
        <v/>
      </c>
      <c r="B170" s="370" t="str">
        <f>IF(E170="","",VLOOKUP('OPĆI DIO'!$C$3,'OPĆI DIO'!$L$6:$U$138,9,FALSE))</f>
        <v/>
      </c>
      <c r="C170" s="371" t="str">
        <f t="shared" si="13"/>
        <v/>
      </c>
      <c r="D170" s="372" t="str">
        <f t="shared" si="14"/>
        <v/>
      </c>
      <c r="E170" s="81"/>
      <c r="F170" s="373" t="str">
        <f t="shared" si="15"/>
        <v/>
      </c>
      <c r="G170" s="359"/>
      <c r="H170" s="359"/>
      <c r="I170" s="359"/>
      <c r="J170" s="81"/>
      <c r="L170" s="73" t="str">
        <f t="shared" si="16"/>
        <v/>
      </c>
      <c r="M170" s="73" t="str">
        <f t="shared" si="17"/>
        <v/>
      </c>
    </row>
    <row r="171" spans="1:13">
      <c r="A171" s="374" t="str">
        <f>IF(E171="","",VLOOKUP('OPĆI DIO'!$C$3,'OPĆI DIO'!$L$6:$U$138,10,FALSE))</f>
        <v/>
      </c>
      <c r="B171" s="370" t="str">
        <f>IF(E171="","",VLOOKUP('OPĆI DIO'!$C$3,'OPĆI DIO'!$L$6:$U$138,9,FALSE))</f>
        <v/>
      </c>
      <c r="C171" s="371" t="str">
        <f t="shared" si="13"/>
        <v/>
      </c>
      <c r="D171" s="372" t="str">
        <f t="shared" si="14"/>
        <v/>
      </c>
      <c r="E171" s="81"/>
      <c r="F171" s="373" t="str">
        <f t="shared" si="15"/>
        <v/>
      </c>
      <c r="G171" s="359"/>
      <c r="H171" s="359"/>
      <c r="I171" s="359"/>
      <c r="J171" s="81"/>
      <c r="L171" s="73" t="str">
        <f t="shared" si="16"/>
        <v/>
      </c>
      <c r="M171" s="73" t="str">
        <f t="shared" si="17"/>
        <v/>
      </c>
    </row>
    <row r="172" spans="1:13">
      <c r="A172" s="374" t="str">
        <f>IF(E172="","",VLOOKUP('OPĆI DIO'!$C$3,'OPĆI DIO'!$L$6:$U$138,10,FALSE))</f>
        <v/>
      </c>
      <c r="B172" s="370" t="str">
        <f>IF(E172="","",VLOOKUP('OPĆI DIO'!$C$3,'OPĆI DIO'!$L$6:$U$138,9,FALSE))</f>
        <v/>
      </c>
      <c r="C172" s="371" t="str">
        <f t="shared" si="13"/>
        <v/>
      </c>
      <c r="D172" s="372" t="str">
        <f t="shared" si="14"/>
        <v/>
      </c>
      <c r="E172" s="81"/>
      <c r="F172" s="373" t="str">
        <f t="shared" si="15"/>
        <v/>
      </c>
      <c r="G172" s="359"/>
      <c r="H172" s="359"/>
      <c r="I172" s="359"/>
      <c r="J172" s="81"/>
      <c r="L172" s="73" t="str">
        <f t="shared" si="16"/>
        <v/>
      </c>
      <c r="M172" s="73" t="str">
        <f t="shared" si="17"/>
        <v/>
      </c>
    </row>
    <row r="173" spans="1:13">
      <c r="A173" s="374" t="str">
        <f>IF(E173="","",VLOOKUP('OPĆI DIO'!$C$3,'OPĆI DIO'!$L$6:$U$138,10,FALSE))</f>
        <v/>
      </c>
      <c r="B173" s="370" t="str">
        <f>IF(E173="","",VLOOKUP('OPĆI DIO'!$C$3,'OPĆI DIO'!$L$6:$U$138,9,FALSE))</f>
        <v/>
      </c>
      <c r="C173" s="371" t="str">
        <f t="shared" si="13"/>
        <v/>
      </c>
      <c r="D173" s="372" t="str">
        <f t="shared" si="14"/>
        <v/>
      </c>
      <c r="E173" s="81"/>
      <c r="F173" s="373" t="str">
        <f t="shared" si="15"/>
        <v/>
      </c>
      <c r="G173" s="359"/>
      <c r="H173" s="359"/>
      <c r="I173" s="359"/>
      <c r="J173" s="81"/>
      <c r="L173" s="73" t="str">
        <f t="shared" si="16"/>
        <v/>
      </c>
      <c r="M173" s="73" t="str">
        <f t="shared" si="17"/>
        <v/>
      </c>
    </row>
    <row r="174" spans="1:13">
      <c r="A174" s="374" t="str">
        <f>IF(E174="","",VLOOKUP('OPĆI DIO'!$C$3,'OPĆI DIO'!$L$6:$U$138,10,FALSE))</f>
        <v/>
      </c>
      <c r="B174" s="370" t="str">
        <f>IF(E174="","",VLOOKUP('OPĆI DIO'!$C$3,'OPĆI DIO'!$L$6:$U$138,9,FALSE))</f>
        <v/>
      </c>
      <c r="C174" s="371" t="str">
        <f t="shared" si="13"/>
        <v/>
      </c>
      <c r="D174" s="372" t="str">
        <f t="shared" si="14"/>
        <v/>
      </c>
      <c r="E174" s="81"/>
      <c r="F174" s="373" t="str">
        <f t="shared" si="15"/>
        <v/>
      </c>
      <c r="G174" s="359"/>
      <c r="H174" s="359"/>
      <c r="I174" s="359"/>
      <c r="J174" s="81"/>
      <c r="L174" s="73" t="str">
        <f t="shared" si="16"/>
        <v/>
      </c>
      <c r="M174" s="73" t="str">
        <f t="shared" si="17"/>
        <v/>
      </c>
    </row>
    <row r="175" spans="1:13">
      <c r="A175" s="374" t="str">
        <f>IF(E175="","",VLOOKUP('OPĆI DIO'!$C$3,'OPĆI DIO'!$L$6:$U$138,10,FALSE))</f>
        <v/>
      </c>
      <c r="B175" s="370" t="str">
        <f>IF(E175="","",VLOOKUP('OPĆI DIO'!$C$3,'OPĆI DIO'!$L$6:$U$138,9,FALSE))</f>
        <v/>
      </c>
      <c r="C175" s="371" t="str">
        <f t="shared" si="13"/>
        <v/>
      </c>
      <c r="D175" s="372" t="str">
        <f t="shared" si="14"/>
        <v/>
      </c>
      <c r="E175" s="81"/>
      <c r="F175" s="373" t="str">
        <f t="shared" si="15"/>
        <v/>
      </c>
      <c r="G175" s="359"/>
      <c r="H175" s="359"/>
      <c r="I175" s="359"/>
      <c r="J175" s="81"/>
      <c r="L175" s="73" t="str">
        <f t="shared" si="16"/>
        <v/>
      </c>
      <c r="M175" s="73" t="str">
        <f t="shared" si="17"/>
        <v/>
      </c>
    </row>
    <row r="176" spans="1:13">
      <c r="A176" s="374" t="str">
        <f>IF(E176="","",VLOOKUP('OPĆI DIO'!$C$3,'OPĆI DIO'!$L$6:$U$138,10,FALSE))</f>
        <v/>
      </c>
      <c r="B176" s="370" t="str">
        <f>IF(E176="","",VLOOKUP('OPĆI DIO'!$C$3,'OPĆI DIO'!$L$6:$U$138,9,FALSE))</f>
        <v/>
      </c>
      <c r="C176" s="371" t="str">
        <f t="shared" si="13"/>
        <v/>
      </c>
      <c r="D176" s="372" t="str">
        <f t="shared" si="14"/>
        <v/>
      </c>
      <c r="E176" s="81"/>
      <c r="F176" s="373" t="str">
        <f t="shared" si="15"/>
        <v/>
      </c>
      <c r="G176" s="359"/>
      <c r="H176" s="359"/>
      <c r="I176" s="359"/>
      <c r="J176" s="81"/>
      <c r="L176" s="73" t="str">
        <f t="shared" si="16"/>
        <v/>
      </c>
      <c r="M176" s="73" t="str">
        <f t="shared" si="17"/>
        <v/>
      </c>
    </row>
    <row r="177" spans="1:13">
      <c r="A177" s="374" t="str">
        <f>IF(E177="","",VLOOKUP('OPĆI DIO'!$C$3,'OPĆI DIO'!$L$6:$U$138,10,FALSE))</f>
        <v/>
      </c>
      <c r="B177" s="370" t="str">
        <f>IF(E177="","",VLOOKUP('OPĆI DIO'!$C$3,'OPĆI DIO'!$L$6:$U$138,9,FALSE))</f>
        <v/>
      </c>
      <c r="C177" s="371" t="str">
        <f t="shared" si="13"/>
        <v/>
      </c>
      <c r="D177" s="372" t="str">
        <f t="shared" si="14"/>
        <v/>
      </c>
      <c r="E177" s="81"/>
      <c r="F177" s="373" t="str">
        <f t="shared" si="15"/>
        <v/>
      </c>
      <c r="G177" s="359"/>
      <c r="H177" s="359"/>
      <c r="I177" s="359"/>
      <c r="J177" s="81"/>
      <c r="L177" s="73" t="str">
        <f t="shared" si="16"/>
        <v/>
      </c>
      <c r="M177" s="73" t="str">
        <f t="shared" si="17"/>
        <v/>
      </c>
    </row>
    <row r="178" spans="1:13">
      <c r="A178" s="374" t="str">
        <f>IF(E178="","",VLOOKUP('OPĆI DIO'!$C$3,'OPĆI DIO'!$L$6:$U$138,10,FALSE))</f>
        <v/>
      </c>
      <c r="B178" s="370" t="str">
        <f>IF(E178="","",VLOOKUP('OPĆI DIO'!$C$3,'OPĆI DIO'!$L$6:$U$138,9,FALSE))</f>
        <v/>
      </c>
      <c r="C178" s="371" t="str">
        <f t="shared" si="13"/>
        <v/>
      </c>
      <c r="D178" s="372" t="str">
        <f t="shared" si="14"/>
        <v/>
      </c>
      <c r="E178" s="81"/>
      <c r="F178" s="373" t="str">
        <f t="shared" si="15"/>
        <v/>
      </c>
      <c r="G178" s="359"/>
      <c r="H178" s="359"/>
      <c r="I178" s="359"/>
      <c r="J178" s="81"/>
      <c r="L178" s="73" t="str">
        <f t="shared" si="16"/>
        <v/>
      </c>
      <c r="M178" s="73" t="str">
        <f t="shared" si="17"/>
        <v/>
      </c>
    </row>
    <row r="179" spans="1:13">
      <c r="A179" s="374" t="str">
        <f>IF(E179="","",VLOOKUP('OPĆI DIO'!$C$3,'OPĆI DIO'!$L$6:$U$138,10,FALSE))</f>
        <v/>
      </c>
      <c r="B179" s="370" t="str">
        <f>IF(E179="","",VLOOKUP('OPĆI DIO'!$C$3,'OPĆI DIO'!$L$6:$U$138,9,FALSE))</f>
        <v/>
      </c>
      <c r="C179" s="371" t="str">
        <f t="shared" si="13"/>
        <v/>
      </c>
      <c r="D179" s="372" t="str">
        <f t="shared" si="14"/>
        <v/>
      </c>
      <c r="E179" s="81"/>
      <c r="F179" s="373" t="str">
        <f t="shared" si="15"/>
        <v/>
      </c>
      <c r="G179" s="359"/>
      <c r="H179" s="359"/>
      <c r="I179" s="359"/>
      <c r="J179" s="81"/>
      <c r="L179" s="73" t="str">
        <f t="shared" si="16"/>
        <v/>
      </c>
      <c r="M179" s="73" t="str">
        <f t="shared" si="17"/>
        <v/>
      </c>
    </row>
    <row r="180" spans="1:13">
      <c r="A180" s="374" t="str">
        <f>IF(E180="","",VLOOKUP('OPĆI DIO'!$C$3,'OPĆI DIO'!$L$6:$U$138,10,FALSE))</f>
        <v/>
      </c>
      <c r="B180" s="370" t="str">
        <f>IF(E180="","",VLOOKUP('OPĆI DIO'!$C$3,'OPĆI DIO'!$L$6:$U$138,9,FALSE))</f>
        <v/>
      </c>
      <c r="C180" s="371" t="str">
        <f t="shared" si="13"/>
        <v/>
      </c>
      <c r="D180" s="372" t="str">
        <f t="shared" si="14"/>
        <v/>
      </c>
      <c r="E180" s="81"/>
      <c r="F180" s="373" t="str">
        <f t="shared" si="15"/>
        <v/>
      </c>
      <c r="G180" s="359"/>
      <c r="H180" s="359"/>
      <c r="I180" s="359"/>
      <c r="J180" s="81"/>
      <c r="L180" s="73" t="str">
        <f t="shared" si="16"/>
        <v/>
      </c>
      <c r="M180" s="73" t="str">
        <f t="shared" si="17"/>
        <v/>
      </c>
    </row>
    <row r="181" spans="1:13">
      <c r="A181" s="374" t="str">
        <f>IF(E181="","",VLOOKUP('OPĆI DIO'!$C$3,'OPĆI DIO'!$L$6:$U$138,10,FALSE))</f>
        <v/>
      </c>
      <c r="B181" s="370" t="str">
        <f>IF(E181="","",VLOOKUP('OPĆI DIO'!$C$3,'OPĆI DIO'!$L$6:$U$138,9,FALSE))</f>
        <v/>
      </c>
      <c r="C181" s="371" t="str">
        <f t="shared" si="13"/>
        <v/>
      </c>
      <c r="D181" s="372" t="str">
        <f t="shared" si="14"/>
        <v/>
      </c>
      <c r="E181" s="81"/>
      <c r="F181" s="373" t="str">
        <f t="shared" si="15"/>
        <v/>
      </c>
      <c r="G181" s="359"/>
      <c r="H181" s="359"/>
      <c r="I181" s="359"/>
      <c r="J181" s="81"/>
      <c r="L181" s="73" t="str">
        <f t="shared" si="16"/>
        <v/>
      </c>
      <c r="M181" s="73" t="str">
        <f t="shared" si="17"/>
        <v/>
      </c>
    </row>
    <row r="182" spans="1:13">
      <c r="A182" s="374" t="str">
        <f>IF(E182="","",VLOOKUP('OPĆI DIO'!$C$3,'OPĆI DIO'!$L$6:$U$138,10,FALSE))</f>
        <v/>
      </c>
      <c r="B182" s="370" t="str">
        <f>IF(E182="","",VLOOKUP('OPĆI DIO'!$C$3,'OPĆI DIO'!$L$6:$U$138,9,FALSE))</f>
        <v/>
      </c>
      <c r="C182" s="371" t="str">
        <f t="shared" si="13"/>
        <v/>
      </c>
      <c r="D182" s="372" t="str">
        <f t="shared" si="14"/>
        <v/>
      </c>
      <c r="E182" s="81"/>
      <c r="F182" s="373" t="str">
        <f t="shared" si="15"/>
        <v/>
      </c>
      <c r="G182" s="359"/>
      <c r="H182" s="359"/>
      <c r="I182" s="359"/>
      <c r="J182" s="81"/>
      <c r="L182" s="73" t="str">
        <f t="shared" si="16"/>
        <v/>
      </c>
      <c r="M182" s="73" t="str">
        <f t="shared" si="17"/>
        <v/>
      </c>
    </row>
    <row r="183" spans="1:13">
      <c r="A183" s="374" t="str">
        <f>IF(E183="","",VLOOKUP('OPĆI DIO'!$C$3,'OPĆI DIO'!$L$6:$U$138,10,FALSE))</f>
        <v/>
      </c>
      <c r="B183" s="370" t="str">
        <f>IF(E183="","",VLOOKUP('OPĆI DIO'!$C$3,'OPĆI DIO'!$L$6:$U$138,9,FALSE))</f>
        <v/>
      </c>
      <c r="C183" s="371" t="str">
        <f t="shared" si="13"/>
        <v/>
      </c>
      <c r="D183" s="372" t="str">
        <f t="shared" si="14"/>
        <v/>
      </c>
      <c r="E183" s="81"/>
      <c r="F183" s="373" t="str">
        <f t="shared" si="15"/>
        <v/>
      </c>
      <c r="G183" s="359"/>
      <c r="H183" s="359"/>
      <c r="I183" s="359"/>
      <c r="J183" s="81"/>
      <c r="L183" s="73" t="str">
        <f t="shared" si="16"/>
        <v/>
      </c>
      <c r="M183" s="73" t="str">
        <f t="shared" si="17"/>
        <v/>
      </c>
    </row>
    <row r="184" spans="1:13">
      <c r="A184" s="374" t="str">
        <f>IF(E184="","",VLOOKUP('OPĆI DIO'!$C$3,'OPĆI DIO'!$L$6:$U$138,10,FALSE))</f>
        <v/>
      </c>
      <c r="B184" s="370" t="str">
        <f>IF(E184="","",VLOOKUP('OPĆI DIO'!$C$3,'OPĆI DIO'!$L$6:$U$138,9,FALSE))</f>
        <v/>
      </c>
      <c r="C184" s="371" t="str">
        <f t="shared" si="13"/>
        <v/>
      </c>
      <c r="D184" s="372" t="str">
        <f t="shared" si="14"/>
        <v/>
      </c>
      <c r="E184" s="81"/>
      <c r="F184" s="373" t="str">
        <f t="shared" si="15"/>
        <v/>
      </c>
      <c r="G184" s="359"/>
      <c r="H184" s="359"/>
      <c r="I184" s="359"/>
      <c r="J184" s="81"/>
      <c r="L184" s="73" t="str">
        <f t="shared" si="16"/>
        <v/>
      </c>
      <c r="M184" s="73" t="str">
        <f t="shared" si="17"/>
        <v/>
      </c>
    </row>
    <row r="185" spans="1:13">
      <c r="A185" s="374" t="str">
        <f>IF(E185="","",VLOOKUP('OPĆI DIO'!$C$3,'OPĆI DIO'!$L$6:$U$138,10,FALSE))</f>
        <v/>
      </c>
      <c r="B185" s="370" t="str">
        <f>IF(E185="","",VLOOKUP('OPĆI DIO'!$C$3,'OPĆI DIO'!$L$6:$U$138,9,FALSE))</f>
        <v/>
      </c>
      <c r="C185" s="371" t="str">
        <f t="shared" si="13"/>
        <v/>
      </c>
      <c r="D185" s="372" t="str">
        <f t="shared" si="14"/>
        <v/>
      </c>
      <c r="E185" s="81"/>
      <c r="F185" s="373" t="str">
        <f t="shared" si="15"/>
        <v/>
      </c>
      <c r="G185" s="359"/>
      <c r="H185" s="359"/>
      <c r="I185" s="359"/>
      <c r="J185" s="81"/>
      <c r="L185" s="73" t="str">
        <f t="shared" si="16"/>
        <v/>
      </c>
      <c r="M185" s="73" t="str">
        <f t="shared" si="17"/>
        <v/>
      </c>
    </row>
    <row r="186" spans="1:13">
      <c r="A186" s="374" t="str">
        <f>IF(E186="","",VLOOKUP('OPĆI DIO'!$C$3,'OPĆI DIO'!$L$6:$U$138,10,FALSE))</f>
        <v/>
      </c>
      <c r="B186" s="370" t="str">
        <f>IF(E186="","",VLOOKUP('OPĆI DIO'!$C$3,'OPĆI DIO'!$L$6:$U$138,9,FALSE))</f>
        <v/>
      </c>
      <c r="C186" s="371" t="str">
        <f t="shared" si="13"/>
        <v/>
      </c>
      <c r="D186" s="372" t="str">
        <f t="shared" si="14"/>
        <v/>
      </c>
      <c r="E186" s="81"/>
      <c r="F186" s="373" t="str">
        <f t="shared" si="15"/>
        <v/>
      </c>
      <c r="G186" s="359"/>
      <c r="H186" s="359"/>
      <c r="I186" s="359"/>
      <c r="J186" s="81"/>
      <c r="L186" s="73" t="str">
        <f t="shared" si="16"/>
        <v/>
      </c>
      <c r="M186" s="73" t="str">
        <f t="shared" si="17"/>
        <v/>
      </c>
    </row>
    <row r="187" spans="1:13">
      <c r="A187" s="374" t="str">
        <f>IF(E187="","",VLOOKUP('OPĆI DIO'!$C$3,'OPĆI DIO'!$L$6:$U$138,10,FALSE))</f>
        <v/>
      </c>
      <c r="B187" s="370" t="str">
        <f>IF(E187="","",VLOOKUP('OPĆI DIO'!$C$3,'OPĆI DIO'!$L$6:$U$138,9,FALSE))</f>
        <v/>
      </c>
      <c r="C187" s="371" t="str">
        <f t="shared" si="13"/>
        <v/>
      </c>
      <c r="D187" s="372" t="str">
        <f t="shared" si="14"/>
        <v/>
      </c>
      <c r="E187" s="81"/>
      <c r="F187" s="373" t="str">
        <f t="shared" si="15"/>
        <v/>
      </c>
      <c r="G187" s="359"/>
      <c r="H187" s="359"/>
      <c r="I187" s="359"/>
      <c r="J187" s="81"/>
      <c r="L187" s="73" t="str">
        <f t="shared" si="16"/>
        <v/>
      </c>
      <c r="M187" s="73" t="str">
        <f t="shared" si="17"/>
        <v/>
      </c>
    </row>
    <row r="188" spans="1:13">
      <c r="A188" s="374" t="str">
        <f>IF(E188="","",VLOOKUP('OPĆI DIO'!$C$3,'OPĆI DIO'!$L$6:$U$138,10,FALSE))</f>
        <v/>
      </c>
      <c r="B188" s="370" t="str">
        <f>IF(E188="","",VLOOKUP('OPĆI DIO'!$C$3,'OPĆI DIO'!$L$6:$U$138,9,FALSE))</f>
        <v/>
      </c>
      <c r="C188" s="371" t="str">
        <f t="shared" si="13"/>
        <v/>
      </c>
      <c r="D188" s="372" t="str">
        <f t="shared" si="14"/>
        <v/>
      </c>
      <c r="E188" s="81"/>
      <c r="F188" s="373" t="str">
        <f t="shared" si="15"/>
        <v/>
      </c>
      <c r="G188" s="359"/>
      <c r="H188" s="359"/>
      <c r="I188" s="359"/>
      <c r="J188" s="81"/>
      <c r="L188" s="73" t="str">
        <f t="shared" si="16"/>
        <v/>
      </c>
      <c r="M188" s="73" t="str">
        <f t="shared" si="17"/>
        <v/>
      </c>
    </row>
    <row r="189" spans="1:13">
      <c r="A189" s="374" t="str">
        <f>IF(E189="","",VLOOKUP('OPĆI DIO'!$C$3,'OPĆI DIO'!$L$6:$U$138,10,FALSE))</f>
        <v/>
      </c>
      <c r="B189" s="370" t="str">
        <f>IF(E189="","",VLOOKUP('OPĆI DIO'!$C$3,'OPĆI DIO'!$L$6:$U$138,9,FALSE))</f>
        <v/>
      </c>
      <c r="C189" s="371" t="str">
        <f t="shared" si="13"/>
        <v/>
      </c>
      <c r="D189" s="372" t="str">
        <f t="shared" si="14"/>
        <v/>
      </c>
      <c r="E189" s="81"/>
      <c r="F189" s="373" t="str">
        <f t="shared" si="15"/>
        <v/>
      </c>
      <c r="G189" s="359"/>
      <c r="H189" s="359"/>
      <c r="I189" s="359"/>
      <c r="J189" s="81"/>
      <c r="L189" s="73" t="str">
        <f t="shared" si="16"/>
        <v/>
      </c>
      <c r="M189" s="73" t="str">
        <f t="shared" si="17"/>
        <v/>
      </c>
    </row>
    <row r="190" spans="1:13">
      <c r="A190" s="374" t="str">
        <f>IF(E190="","",VLOOKUP('OPĆI DIO'!$C$3,'OPĆI DIO'!$L$6:$U$138,10,FALSE))</f>
        <v/>
      </c>
      <c r="B190" s="370" t="str">
        <f>IF(E190="","",VLOOKUP('OPĆI DIO'!$C$3,'OPĆI DIO'!$L$6:$U$138,9,FALSE))</f>
        <v/>
      </c>
      <c r="C190" s="371" t="str">
        <f t="shared" si="13"/>
        <v/>
      </c>
      <c r="D190" s="372" t="str">
        <f t="shared" si="14"/>
        <v/>
      </c>
      <c r="E190" s="81"/>
      <c r="F190" s="373" t="str">
        <f t="shared" si="15"/>
        <v/>
      </c>
      <c r="G190" s="359"/>
      <c r="H190" s="359"/>
      <c r="I190" s="359"/>
      <c r="J190" s="81"/>
      <c r="L190" s="73" t="str">
        <f t="shared" si="16"/>
        <v/>
      </c>
      <c r="M190" s="73" t="str">
        <f t="shared" si="17"/>
        <v/>
      </c>
    </row>
    <row r="191" spans="1:13">
      <c r="A191" s="374" t="str">
        <f>IF(E191="","",VLOOKUP('OPĆI DIO'!$C$3,'OPĆI DIO'!$L$6:$U$138,10,FALSE))</f>
        <v/>
      </c>
      <c r="B191" s="370" t="str">
        <f>IF(E191="","",VLOOKUP('OPĆI DIO'!$C$3,'OPĆI DIO'!$L$6:$U$138,9,FALSE))</f>
        <v/>
      </c>
      <c r="C191" s="371" t="str">
        <f t="shared" si="13"/>
        <v/>
      </c>
      <c r="D191" s="372" t="str">
        <f t="shared" si="14"/>
        <v/>
      </c>
      <c r="E191" s="81"/>
      <c r="F191" s="373" t="str">
        <f t="shared" si="15"/>
        <v/>
      </c>
      <c r="G191" s="359"/>
      <c r="H191" s="359"/>
      <c r="I191" s="359"/>
      <c r="J191" s="81"/>
      <c r="L191" s="73" t="str">
        <f t="shared" si="16"/>
        <v/>
      </c>
      <c r="M191" s="73" t="str">
        <f t="shared" si="17"/>
        <v/>
      </c>
    </row>
    <row r="192" spans="1:13">
      <c r="A192" s="374" t="str">
        <f>IF(E192="","",VLOOKUP('OPĆI DIO'!$C$3,'OPĆI DIO'!$L$6:$U$138,10,FALSE))</f>
        <v/>
      </c>
      <c r="B192" s="370" t="str">
        <f>IF(E192="","",VLOOKUP('OPĆI DIO'!$C$3,'OPĆI DIO'!$L$6:$U$138,9,FALSE))</f>
        <v/>
      </c>
      <c r="C192" s="371" t="str">
        <f t="shared" si="13"/>
        <v/>
      </c>
      <c r="D192" s="372" t="str">
        <f t="shared" si="14"/>
        <v/>
      </c>
      <c r="E192" s="81"/>
      <c r="F192" s="373" t="str">
        <f t="shared" si="15"/>
        <v/>
      </c>
      <c r="G192" s="359"/>
      <c r="H192" s="359"/>
      <c r="I192" s="359"/>
      <c r="J192" s="81"/>
      <c r="L192" s="73" t="str">
        <f t="shared" si="16"/>
        <v/>
      </c>
      <c r="M192" s="73" t="str">
        <f t="shared" si="17"/>
        <v/>
      </c>
    </row>
    <row r="193" spans="1:13">
      <c r="A193" s="374" t="str">
        <f>IF(E193="","",VLOOKUP('OPĆI DIO'!$C$3,'OPĆI DIO'!$L$6:$U$138,10,FALSE))</f>
        <v/>
      </c>
      <c r="B193" s="370" t="str">
        <f>IF(E193="","",VLOOKUP('OPĆI DIO'!$C$3,'OPĆI DIO'!$L$6:$U$138,9,FALSE))</f>
        <v/>
      </c>
      <c r="C193" s="371" t="str">
        <f t="shared" si="13"/>
        <v/>
      </c>
      <c r="D193" s="372" t="str">
        <f t="shared" si="14"/>
        <v/>
      </c>
      <c r="E193" s="81"/>
      <c r="F193" s="373" t="str">
        <f t="shared" si="15"/>
        <v/>
      </c>
      <c r="G193" s="359"/>
      <c r="H193" s="359"/>
      <c r="I193" s="359"/>
      <c r="J193" s="81"/>
      <c r="L193" s="73" t="str">
        <f t="shared" si="16"/>
        <v/>
      </c>
      <c r="M193" s="73" t="str">
        <f t="shared" si="17"/>
        <v/>
      </c>
    </row>
    <row r="194" spans="1:13">
      <c r="A194" s="374" t="str">
        <f>IF(E194="","",VLOOKUP('OPĆI DIO'!$C$3,'OPĆI DIO'!$L$6:$U$138,10,FALSE))</f>
        <v/>
      </c>
      <c r="B194" s="370" t="str">
        <f>IF(E194="","",VLOOKUP('OPĆI DIO'!$C$3,'OPĆI DIO'!$L$6:$U$138,9,FALSE))</f>
        <v/>
      </c>
      <c r="C194" s="371" t="str">
        <f t="shared" si="13"/>
        <v/>
      </c>
      <c r="D194" s="372" t="str">
        <f t="shared" si="14"/>
        <v/>
      </c>
      <c r="E194" s="81"/>
      <c r="F194" s="373" t="str">
        <f t="shared" si="15"/>
        <v/>
      </c>
      <c r="G194" s="359"/>
      <c r="H194" s="359"/>
      <c r="I194" s="359"/>
      <c r="J194" s="81"/>
      <c r="L194" s="73" t="str">
        <f t="shared" si="16"/>
        <v/>
      </c>
      <c r="M194" s="73" t="str">
        <f t="shared" si="17"/>
        <v/>
      </c>
    </row>
    <row r="195" spans="1:13">
      <c r="A195" s="374" t="str">
        <f>IF(E195="","",VLOOKUP('OPĆI DIO'!$C$3,'OPĆI DIO'!$L$6:$U$138,10,FALSE))</f>
        <v/>
      </c>
      <c r="B195" s="370" t="str">
        <f>IF(E195="","",VLOOKUP('OPĆI DIO'!$C$3,'OPĆI DIO'!$L$6:$U$138,9,FALSE))</f>
        <v/>
      </c>
      <c r="C195" s="371" t="str">
        <f t="shared" ref="C195:C258" si="18">IFERROR(VLOOKUP(E195,$R$6:$U$113,3,FALSE),"")</f>
        <v/>
      </c>
      <c r="D195" s="372" t="str">
        <f t="shared" ref="D195:D258" si="19">IFERROR(VLOOKUP(E195,$R$6:$U$113,4,FALSE),"")</f>
        <v/>
      </c>
      <c r="E195" s="81"/>
      <c r="F195" s="373" t="str">
        <f t="shared" ref="F195:F258" si="20">IFERROR(VLOOKUP(E195,$R$6:$U$113,2,FALSE),"")</f>
        <v/>
      </c>
      <c r="G195" s="359"/>
      <c r="H195" s="359"/>
      <c r="I195" s="359"/>
      <c r="J195" s="81"/>
      <c r="L195" s="73" t="str">
        <f t="shared" si="16"/>
        <v/>
      </c>
      <c r="M195" s="73" t="str">
        <f t="shared" si="17"/>
        <v/>
      </c>
    </row>
    <row r="196" spans="1:13">
      <c r="A196" s="374" t="str">
        <f>IF(E196="","",VLOOKUP('OPĆI DIO'!$C$3,'OPĆI DIO'!$L$6:$U$138,10,FALSE))</f>
        <v/>
      </c>
      <c r="B196" s="370" t="str">
        <f>IF(E196="","",VLOOKUP('OPĆI DIO'!$C$3,'OPĆI DIO'!$L$6:$U$138,9,FALSE))</f>
        <v/>
      </c>
      <c r="C196" s="371" t="str">
        <f t="shared" si="18"/>
        <v/>
      </c>
      <c r="D196" s="372" t="str">
        <f t="shared" si="19"/>
        <v/>
      </c>
      <c r="E196" s="81"/>
      <c r="F196" s="373" t="str">
        <f t="shared" si="20"/>
        <v/>
      </c>
      <c r="G196" s="359"/>
      <c r="H196" s="359"/>
      <c r="I196" s="359"/>
      <c r="J196" s="81"/>
      <c r="L196" s="73" t="str">
        <f t="shared" ref="L196:L259" si="21">LEFT(E196,2)</f>
        <v/>
      </c>
      <c r="M196" s="73" t="str">
        <f t="shared" ref="M196:M259" si="22">LEFT(E196,3)</f>
        <v/>
      </c>
    </row>
    <row r="197" spans="1:13">
      <c r="A197" s="374" t="str">
        <f>IF(E197="","",VLOOKUP('OPĆI DIO'!$C$3,'OPĆI DIO'!$L$6:$U$138,10,FALSE))</f>
        <v/>
      </c>
      <c r="B197" s="370" t="str">
        <f>IF(E197="","",VLOOKUP('OPĆI DIO'!$C$3,'OPĆI DIO'!$L$6:$U$138,9,FALSE))</f>
        <v/>
      </c>
      <c r="C197" s="371" t="str">
        <f t="shared" si="18"/>
        <v/>
      </c>
      <c r="D197" s="372" t="str">
        <f t="shared" si="19"/>
        <v/>
      </c>
      <c r="E197" s="81"/>
      <c r="F197" s="373" t="str">
        <f t="shared" si="20"/>
        <v/>
      </c>
      <c r="G197" s="359"/>
      <c r="H197" s="359"/>
      <c r="I197" s="359"/>
      <c r="J197" s="81"/>
      <c r="L197" s="73" t="str">
        <f t="shared" si="21"/>
        <v/>
      </c>
      <c r="M197" s="73" t="str">
        <f t="shared" si="22"/>
        <v/>
      </c>
    </row>
    <row r="198" spans="1:13">
      <c r="A198" s="374" t="str">
        <f>IF(E198="","",VLOOKUP('OPĆI DIO'!$C$3,'OPĆI DIO'!$L$6:$U$138,10,FALSE))</f>
        <v/>
      </c>
      <c r="B198" s="370" t="str">
        <f>IF(E198="","",VLOOKUP('OPĆI DIO'!$C$3,'OPĆI DIO'!$L$6:$U$138,9,FALSE))</f>
        <v/>
      </c>
      <c r="C198" s="371" t="str">
        <f t="shared" si="18"/>
        <v/>
      </c>
      <c r="D198" s="372" t="str">
        <f t="shared" si="19"/>
        <v/>
      </c>
      <c r="E198" s="81"/>
      <c r="F198" s="373" t="str">
        <f t="shared" si="20"/>
        <v/>
      </c>
      <c r="G198" s="359"/>
      <c r="H198" s="359"/>
      <c r="I198" s="359"/>
      <c r="J198" s="81"/>
      <c r="L198" s="73" t="str">
        <f t="shared" si="21"/>
        <v/>
      </c>
      <c r="M198" s="73" t="str">
        <f t="shared" si="22"/>
        <v/>
      </c>
    </row>
    <row r="199" spans="1:13">
      <c r="A199" s="374" t="str">
        <f>IF(E199="","",VLOOKUP('OPĆI DIO'!$C$3,'OPĆI DIO'!$L$6:$U$138,10,FALSE))</f>
        <v/>
      </c>
      <c r="B199" s="370" t="str">
        <f>IF(E199="","",VLOOKUP('OPĆI DIO'!$C$3,'OPĆI DIO'!$L$6:$U$138,9,FALSE))</f>
        <v/>
      </c>
      <c r="C199" s="371" t="str">
        <f t="shared" si="18"/>
        <v/>
      </c>
      <c r="D199" s="372" t="str">
        <f t="shared" si="19"/>
        <v/>
      </c>
      <c r="E199" s="81"/>
      <c r="F199" s="373" t="str">
        <f t="shared" si="20"/>
        <v/>
      </c>
      <c r="G199" s="359"/>
      <c r="H199" s="359"/>
      <c r="I199" s="359"/>
      <c r="J199" s="81"/>
      <c r="L199" s="73" t="str">
        <f t="shared" si="21"/>
        <v/>
      </c>
      <c r="M199" s="73" t="str">
        <f t="shared" si="22"/>
        <v/>
      </c>
    </row>
    <row r="200" spans="1:13">
      <c r="A200" s="374" t="str">
        <f>IF(E200="","",VLOOKUP('OPĆI DIO'!$C$3,'OPĆI DIO'!$L$6:$U$138,10,FALSE))</f>
        <v/>
      </c>
      <c r="B200" s="370" t="str">
        <f>IF(E200="","",VLOOKUP('OPĆI DIO'!$C$3,'OPĆI DIO'!$L$6:$U$138,9,FALSE))</f>
        <v/>
      </c>
      <c r="C200" s="371" t="str">
        <f t="shared" si="18"/>
        <v/>
      </c>
      <c r="D200" s="372" t="str">
        <f t="shared" si="19"/>
        <v/>
      </c>
      <c r="E200" s="81"/>
      <c r="F200" s="373" t="str">
        <f t="shared" si="20"/>
        <v/>
      </c>
      <c r="G200" s="359"/>
      <c r="H200" s="359"/>
      <c r="I200" s="359"/>
      <c r="J200" s="81"/>
      <c r="L200" s="73" t="str">
        <f t="shared" si="21"/>
        <v/>
      </c>
      <c r="M200" s="73" t="str">
        <f t="shared" si="22"/>
        <v/>
      </c>
    </row>
    <row r="201" spans="1:13">
      <c r="A201" s="374" t="str">
        <f>IF(E201="","",VLOOKUP('OPĆI DIO'!$C$3,'OPĆI DIO'!$L$6:$U$138,10,FALSE))</f>
        <v/>
      </c>
      <c r="B201" s="370" t="str">
        <f>IF(E201="","",VLOOKUP('OPĆI DIO'!$C$3,'OPĆI DIO'!$L$6:$U$138,9,FALSE))</f>
        <v/>
      </c>
      <c r="C201" s="371" t="str">
        <f t="shared" si="18"/>
        <v/>
      </c>
      <c r="D201" s="372" t="str">
        <f t="shared" si="19"/>
        <v/>
      </c>
      <c r="E201" s="81"/>
      <c r="F201" s="373" t="str">
        <f t="shared" si="20"/>
        <v/>
      </c>
      <c r="G201" s="359"/>
      <c r="H201" s="359"/>
      <c r="I201" s="359"/>
      <c r="J201" s="81"/>
      <c r="L201" s="73" t="str">
        <f t="shared" si="21"/>
        <v/>
      </c>
      <c r="M201" s="73" t="str">
        <f t="shared" si="22"/>
        <v/>
      </c>
    </row>
    <row r="202" spans="1:13">
      <c r="A202" s="374" t="str">
        <f>IF(E202="","",VLOOKUP('OPĆI DIO'!$C$3,'OPĆI DIO'!$L$6:$U$138,10,FALSE))</f>
        <v/>
      </c>
      <c r="B202" s="370" t="str">
        <f>IF(E202="","",VLOOKUP('OPĆI DIO'!$C$3,'OPĆI DIO'!$L$6:$U$138,9,FALSE))</f>
        <v/>
      </c>
      <c r="C202" s="371" t="str">
        <f t="shared" si="18"/>
        <v/>
      </c>
      <c r="D202" s="372" t="str">
        <f t="shared" si="19"/>
        <v/>
      </c>
      <c r="E202" s="81"/>
      <c r="F202" s="373" t="str">
        <f t="shared" si="20"/>
        <v/>
      </c>
      <c r="G202" s="359"/>
      <c r="H202" s="359"/>
      <c r="I202" s="359"/>
      <c r="J202" s="81"/>
      <c r="L202" s="73" t="str">
        <f t="shared" si="21"/>
        <v/>
      </c>
      <c r="M202" s="73" t="str">
        <f t="shared" si="22"/>
        <v/>
      </c>
    </row>
    <row r="203" spans="1:13">
      <c r="A203" s="374" t="str">
        <f>IF(E203="","",VLOOKUP('OPĆI DIO'!$C$3,'OPĆI DIO'!$L$6:$U$138,10,FALSE))</f>
        <v/>
      </c>
      <c r="B203" s="370" t="str">
        <f>IF(E203="","",VLOOKUP('OPĆI DIO'!$C$3,'OPĆI DIO'!$L$6:$U$138,9,FALSE))</f>
        <v/>
      </c>
      <c r="C203" s="371" t="str">
        <f t="shared" si="18"/>
        <v/>
      </c>
      <c r="D203" s="372" t="str">
        <f t="shared" si="19"/>
        <v/>
      </c>
      <c r="E203" s="81"/>
      <c r="F203" s="373" t="str">
        <f t="shared" si="20"/>
        <v/>
      </c>
      <c r="G203" s="359"/>
      <c r="H203" s="359"/>
      <c r="I203" s="359"/>
      <c r="J203" s="81"/>
      <c r="L203" s="73" t="str">
        <f t="shared" si="21"/>
        <v/>
      </c>
      <c r="M203" s="73" t="str">
        <f t="shared" si="22"/>
        <v/>
      </c>
    </row>
    <row r="204" spans="1:13">
      <c r="A204" s="374" t="str">
        <f>IF(E204="","",VLOOKUP('OPĆI DIO'!$C$3,'OPĆI DIO'!$L$6:$U$138,10,FALSE))</f>
        <v/>
      </c>
      <c r="B204" s="370" t="str">
        <f>IF(E204="","",VLOOKUP('OPĆI DIO'!$C$3,'OPĆI DIO'!$L$6:$U$138,9,FALSE))</f>
        <v/>
      </c>
      <c r="C204" s="371" t="str">
        <f t="shared" si="18"/>
        <v/>
      </c>
      <c r="D204" s="372" t="str">
        <f t="shared" si="19"/>
        <v/>
      </c>
      <c r="E204" s="81"/>
      <c r="F204" s="373" t="str">
        <f t="shared" si="20"/>
        <v/>
      </c>
      <c r="G204" s="359"/>
      <c r="H204" s="359"/>
      <c r="I204" s="359"/>
      <c r="J204" s="81"/>
      <c r="L204" s="73" t="str">
        <f t="shared" si="21"/>
        <v/>
      </c>
      <c r="M204" s="73" t="str">
        <f t="shared" si="22"/>
        <v/>
      </c>
    </row>
    <row r="205" spans="1:13">
      <c r="A205" s="374" t="str">
        <f>IF(E205="","",VLOOKUP('OPĆI DIO'!$C$3,'OPĆI DIO'!$L$6:$U$138,10,FALSE))</f>
        <v/>
      </c>
      <c r="B205" s="370" t="str">
        <f>IF(E205="","",VLOOKUP('OPĆI DIO'!$C$3,'OPĆI DIO'!$L$6:$U$138,9,FALSE))</f>
        <v/>
      </c>
      <c r="C205" s="371" t="str">
        <f t="shared" si="18"/>
        <v/>
      </c>
      <c r="D205" s="372" t="str">
        <f t="shared" si="19"/>
        <v/>
      </c>
      <c r="E205" s="81"/>
      <c r="F205" s="373" t="str">
        <f t="shared" si="20"/>
        <v/>
      </c>
      <c r="G205" s="359"/>
      <c r="H205" s="359"/>
      <c r="I205" s="359"/>
      <c r="J205" s="81"/>
      <c r="L205" s="73" t="str">
        <f t="shared" si="21"/>
        <v/>
      </c>
      <c r="M205" s="73" t="str">
        <f t="shared" si="22"/>
        <v/>
      </c>
    </row>
    <row r="206" spans="1:13">
      <c r="A206" s="374" t="str">
        <f>IF(E206="","",VLOOKUP('OPĆI DIO'!$C$3,'OPĆI DIO'!$L$6:$U$138,10,FALSE))</f>
        <v/>
      </c>
      <c r="B206" s="370" t="str">
        <f>IF(E206="","",VLOOKUP('OPĆI DIO'!$C$3,'OPĆI DIO'!$L$6:$U$138,9,FALSE))</f>
        <v/>
      </c>
      <c r="C206" s="371" t="str">
        <f t="shared" si="18"/>
        <v/>
      </c>
      <c r="D206" s="372" t="str">
        <f t="shared" si="19"/>
        <v/>
      </c>
      <c r="E206" s="81"/>
      <c r="F206" s="373" t="str">
        <f t="shared" si="20"/>
        <v/>
      </c>
      <c r="G206" s="359"/>
      <c r="H206" s="359"/>
      <c r="I206" s="359"/>
      <c r="J206" s="81"/>
      <c r="L206" s="73" t="str">
        <f t="shared" si="21"/>
        <v/>
      </c>
      <c r="M206" s="73" t="str">
        <f t="shared" si="22"/>
        <v/>
      </c>
    </row>
    <row r="207" spans="1:13">
      <c r="A207" s="374" t="str">
        <f>IF(E207="","",VLOOKUP('OPĆI DIO'!$C$3,'OPĆI DIO'!$L$6:$U$138,10,FALSE))</f>
        <v/>
      </c>
      <c r="B207" s="370" t="str">
        <f>IF(E207="","",VLOOKUP('OPĆI DIO'!$C$3,'OPĆI DIO'!$L$6:$U$138,9,FALSE))</f>
        <v/>
      </c>
      <c r="C207" s="371" t="str">
        <f t="shared" si="18"/>
        <v/>
      </c>
      <c r="D207" s="372" t="str">
        <f t="shared" si="19"/>
        <v/>
      </c>
      <c r="E207" s="81"/>
      <c r="F207" s="373" t="str">
        <f t="shared" si="20"/>
        <v/>
      </c>
      <c r="G207" s="359"/>
      <c r="H207" s="359"/>
      <c r="I207" s="359"/>
      <c r="J207" s="81"/>
      <c r="L207" s="73" t="str">
        <f t="shared" si="21"/>
        <v/>
      </c>
      <c r="M207" s="73" t="str">
        <f t="shared" si="22"/>
        <v/>
      </c>
    </row>
    <row r="208" spans="1:13">
      <c r="A208" s="374" t="str">
        <f>IF(E208="","",VLOOKUP('OPĆI DIO'!$C$3,'OPĆI DIO'!$L$6:$U$138,10,FALSE))</f>
        <v/>
      </c>
      <c r="B208" s="370" t="str">
        <f>IF(E208="","",VLOOKUP('OPĆI DIO'!$C$3,'OPĆI DIO'!$L$6:$U$138,9,FALSE))</f>
        <v/>
      </c>
      <c r="C208" s="371" t="str">
        <f t="shared" si="18"/>
        <v/>
      </c>
      <c r="D208" s="372" t="str">
        <f t="shared" si="19"/>
        <v/>
      </c>
      <c r="E208" s="81"/>
      <c r="F208" s="373" t="str">
        <f t="shared" si="20"/>
        <v/>
      </c>
      <c r="G208" s="359"/>
      <c r="H208" s="359"/>
      <c r="I208" s="359"/>
      <c r="J208" s="81"/>
      <c r="L208" s="73" t="str">
        <f t="shared" si="21"/>
        <v/>
      </c>
      <c r="M208" s="73" t="str">
        <f t="shared" si="22"/>
        <v/>
      </c>
    </row>
    <row r="209" spans="1:13">
      <c r="A209" s="374" t="str">
        <f>IF(E209="","",VLOOKUP('OPĆI DIO'!$C$3,'OPĆI DIO'!$L$6:$U$138,10,FALSE))</f>
        <v/>
      </c>
      <c r="B209" s="370" t="str">
        <f>IF(E209="","",VLOOKUP('OPĆI DIO'!$C$3,'OPĆI DIO'!$L$6:$U$138,9,FALSE))</f>
        <v/>
      </c>
      <c r="C209" s="371" t="str">
        <f t="shared" si="18"/>
        <v/>
      </c>
      <c r="D209" s="372" t="str">
        <f t="shared" si="19"/>
        <v/>
      </c>
      <c r="E209" s="81"/>
      <c r="F209" s="373" t="str">
        <f t="shared" si="20"/>
        <v/>
      </c>
      <c r="G209" s="359"/>
      <c r="H209" s="359"/>
      <c r="I209" s="359"/>
      <c r="J209" s="81"/>
      <c r="L209" s="73" t="str">
        <f t="shared" si="21"/>
        <v/>
      </c>
      <c r="M209" s="73" t="str">
        <f t="shared" si="22"/>
        <v/>
      </c>
    </row>
    <row r="210" spans="1:13">
      <c r="A210" s="374" t="str">
        <f>IF(E210="","",VLOOKUP('OPĆI DIO'!$C$3,'OPĆI DIO'!$L$6:$U$138,10,FALSE))</f>
        <v/>
      </c>
      <c r="B210" s="370" t="str">
        <f>IF(E210="","",VLOOKUP('OPĆI DIO'!$C$3,'OPĆI DIO'!$L$6:$U$138,9,FALSE))</f>
        <v/>
      </c>
      <c r="C210" s="371" t="str">
        <f t="shared" si="18"/>
        <v/>
      </c>
      <c r="D210" s="372" t="str">
        <f t="shared" si="19"/>
        <v/>
      </c>
      <c r="E210" s="81"/>
      <c r="F210" s="373" t="str">
        <f t="shared" si="20"/>
        <v/>
      </c>
      <c r="G210" s="359"/>
      <c r="H210" s="359"/>
      <c r="I210" s="359"/>
      <c r="J210" s="81"/>
      <c r="L210" s="73" t="str">
        <f t="shared" si="21"/>
        <v/>
      </c>
      <c r="M210" s="73" t="str">
        <f t="shared" si="22"/>
        <v/>
      </c>
    </row>
    <row r="211" spans="1:13">
      <c r="A211" s="374" t="str">
        <f>IF(E211="","",VLOOKUP('OPĆI DIO'!$C$3,'OPĆI DIO'!$L$6:$U$138,10,FALSE))</f>
        <v/>
      </c>
      <c r="B211" s="370" t="str">
        <f>IF(E211="","",VLOOKUP('OPĆI DIO'!$C$3,'OPĆI DIO'!$L$6:$U$138,9,FALSE))</f>
        <v/>
      </c>
      <c r="C211" s="371" t="str">
        <f t="shared" si="18"/>
        <v/>
      </c>
      <c r="D211" s="372" t="str">
        <f t="shared" si="19"/>
        <v/>
      </c>
      <c r="E211" s="81"/>
      <c r="F211" s="373" t="str">
        <f t="shared" si="20"/>
        <v/>
      </c>
      <c r="G211" s="359"/>
      <c r="H211" s="359"/>
      <c r="I211" s="359"/>
      <c r="J211" s="81"/>
      <c r="L211" s="73" t="str">
        <f t="shared" si="21"/>
        <v/>
      </c>
      <c r="M211" s="73" t="str">
        <f t="shared" si="22"/>
        <v/>
      </c>
    </row>
    <row r="212" spans="1:13">
      <c r="A212" s="374" t="str">
        <f>IF(E212="","",VLOOKUP('OPĆI DIO'!$C$3,'OPĆI DIO'!$L$6:$U$138,10,FALSE))</f>
        <v/>
      </c>
      <c r="B212" s="370" t="str">
        <f>IF(E212="","",VLOOKUP('OPĆI DIO'!$C$3,'OPĆI DIO'!$L$6:$U$138,9,FALSE))</f>
        <v/>
      </c>
      <c r="C212" s="371" t="str">
        <f t="shared" si="18"/>
        <v/>
      </c>
      <c r="D212" s="372" t="str">
        <f t="shared" si="19"/>
        <v/>
      </c>
      <c r="E212" s="81"/>
      <c r="F212" s="373" t="str">
        <f t="shared" si="20"/>
        <v/>
      </c>
      <c r="G212" s="359"/>
      <c r="H212" s="359"/>
      <c r="I212" s="359"/>
      <c r="J212" s="81"/>
      <c r="L212" s="73" t="str">
        <f t="shared" si="21"/>
        <v/>
      </c>
      <c r="M212" s="73" t="str">
        <f t="shared" si="22"/>
        <v/>
      </c>
    </row>
    <row r="213" spans="1:13">
      <c r="A213" s="374" t="str">
        <f>IF(E213="","",VLOOKUP('OPĆI DIO'!$C$3,'OPĆI DIO'!$L$6:$U$138,10,FALSE))</f>
        <v/>
      </c>
      <c r="B213" s="370" t="str">
        <f>IF(E213="","",VLOOKUP('OPĆI DIO'!$C$3,'OPĆI DIO'!$L$6:$U$138,9,FALSE))</f>
        <v/>
      </c>
      <c r="C213" s="371" t="str">
        <f t="shared" si="18"/>
        <v/>
      </c>
      <c r="D213" s="372" t="str">
        <f t="shared" si="19"/>
        <v/>
      </c>
      <c r="E213" s="81"/>
      <c r="F213" s="373" t="str">
        <f t="shared" si="20"/>
        <v/>
      </c>
      <c r="G213" s="359"/>
      <c r="H213" s="359"/>
      <c r="I213" s="359"/>
      <c r="J213" s="81"/>
      <c r="L213" s="73" t="str">
        <f t="shared" si="21"/>
        <v/>
      </c>
      <c r="M213" s="73" t="str">
        <f t="shared" si="22"/>
        <v/>
      </c>
    </row>
    <row r="214" spans="1:13">
      <c r="A214" s="374" t="str">
        <f>IF(E214="","",VLOOKUP('OPĆI DIO'!$C$3,'OPĆI DIO'!$L$6:$U$138,10,FALSE))</f>
        <v/>
      </c>
      <c r="B214" s="370" t="str">
        <f>IF(E214="","",VLOOKUP('OPĆI DIO'!$C$3,'OPĆI DIO'!$L$6:$U$138,9,FALSE))</f>
        <v/>
      </c>
      <c r="C214" s="371" t="str">
        <f t="shared" si="18"/>
        <v/>
      </c>
      <c r="D214" s="372" t="str">
        <f t="shared" si="19"/>
        <v/>
      </c>
      <c r="E214" s="81"/>
      <c r="F214" s="373" t="str">
        <f t="shared" si="20"/>
        <v/>
      </c>
      <c r="G214" s="359"/>
      <c r="H214" s="359"/>
      <c r="I214" s="359"/>
      <c r="J214" s="81"/>
      <c r="L214" s="73" t="str">
        <f t="shared" si="21"/>
        <v/>
      </c>
      <c r="M214" s="73" t="str">
        <f t="shared" si="22"/>
        <v/>
      </c>
    </row>
    <row r="215" spans="1:13">
      <c r="A215" s="374" t="str">
        <f>IF(E215="","",VLOOKUP('OPĆI DIO'!$C$3,'OPĆI DIO'!$L$6:$U$138,10,FALSE))</f>
        <v/>
      </c>
      <c r="B215" s="370" t="str">
        <f>IF(E215="","",VLOOKUP('OPĆI DIO'!$C$3,'OPĆI DIO'!$L$6:$U$138,9,FALSE))</f>
        <v/>
      </c>
      <c r="C215" s="371" t="str">
        <f t="shared" si="18"/>
        <v/>
      </c>
      <c r="D215" s="372" t="str">
        <f t="shared" si="19"/>
        <v/>
      </c>
      <c r="E215" s="81"/>
      <c r="F215" s="373" t="str">
        <f t="shared" si="20"/>
        <v/>
      </c>
      <c r="G215" s="359"/>
      <c r="H215" s="359"/>
      <c r="I215" s="359"/>
      <c r="J215" s="81"/>
      <c r="L215" s="73" t="str">
        <f t="shared" si="21"/>
        <v/>
      </c>
      <c r="M215" s="73" t="str">
        <f t="shared" si="22"/>
        <v/>
      </c>
    </row>
    <row r="216" spans="1:13">
      <c r="A216" s="374" t="str">
        <f>IF(E216="","",VLOOKUP('OPĆI DIO'!$C$3,'OPĆI DIO'!$L$6:$U$138,10,FALSE))</f>
        <v/>
      </c>
      <c r="B216" s="370" t="str">
        <f>IF(E216="","",VLOOKUP('OPĆI DIO'!$C$3,'OPĆI DIO'!$L$6:$U$138,9,FALSE))</f>
        <v/>
      </c>
      <c r="C216" s="371" t="str">
        <f t="shared" si="18"/>
        <v/>
      </c>
      <c r="D216" s="372" t="str">
        <f t="shared" si="19"/>
        <v/>
      </c>
      <c r="E216" s="81"/>
      <c r="F216" s="373" t="str">
        <f t="shared" si="20"/>
        <v/>
      </c>
      <c r="G216" s="359"/>
      <c r="H216" s="359"/>
      <c r="I216" s="359"/>
      <c r="J216" s="81"/>
      <c r="L216" s="73" t="str">
        <f t="shared" si="21"/>
        <v/>
      </c>
      <c r="M216" s="73" t="str">
        <f t="shared" si="22"/>
        <v/>
      </c>
    </row>
    <row r="217" spans="1:13">
      <c r="A217" s="374" t="str">
        <f>IF(E217="","",VLOOKUP('OPĆI DIO'!$C$3,'OPĆI DIO'!$L$6:$U$138,10,FALSE))</f>
        <v/>
      </c>
      <c r="B217" s="370" t="str">
        <f>IF(E217="","",VLOOKUP('OPĆI DIO'!$C$3,'OPĆI DIO'!$L$6:$U$138,9,FALSE))</f>
        <v/>
      </c>
      <c r="C217" s="371" t="str">
        <f t="shared" si="18"/>
        <v/>
      </c>
      <c r="D217" s="372" t="str">
        <f t="shared" si="19"/>
        <v/>
      </c>
      <c r="E217" s="81"/>
      <c r="F217" s="373" t="str">
        <f t="shared" si="20"/>
        <v/>
      </c>
      <c r="G217" s="359"/>
      <c r="H217" s="359"/>
      <c r="I217" s="359"/>
      <c r="J217" s="81"/>
      <c r="L217" s="73" t="str">
        <f t="shared" si="21"/>
        <v/>
      </c>
      <c r="M217" s="73" t="str">
        <f t="shared" si="22"/>
        <v/>
      </c>
    </row>
    <row r="218" spans="1:13">
      <c r="A218" s="374" t="str">
        <f>IF(E218="","",VLOOKUP('OPĆI DIO'!$C$3,'OPĆI DIO'!$L$6:$U$138,10,FALSE))</f>
        <v/>
      </c>
      <c r="B218" s="370" t="str">
        <f>IF(E218="","",VLOOKUP('OPĆI DIO'!$C$3,'OPĆI DIO'!$L$6:$U$138,9,FALSE))</f>
        <v/>
      </c>
      <c r="C218" s="371" t="str">
        <f t="shared" si="18"/>
        <v/>
      </c>
      <c r="D218" s="372" t="str">
        <f t="shared" si="19"/>
        <v/>
      </c>
      <c r="E218" s="81"/>
      <c r="F218" s="373" t="str">
        <f t="shared" si="20"/>
        <v/>
      </c>
      <c r="G218" s="359"/>
      <c r="H218" s="359"/>
      <c r="I218" s="359"/>
      <c r="J218" s="81"/>
      <c r="L218" s="73" t="str">
        <f t="shared" si="21"/>
        <v/>
      </c>
      <c r="M218" s="73" t="str">
        <f t="shared" si="22"/>
        <v/>
      </c>
    </row>
    <row r="219" spans="1:13">
      <c r="A219" s="374" t="str">
        <f>IF(E219="","",VLOOKUP('OPĆI DIO'!$C$3,'OPĆI DIO'!$L$6:$U$138,10,FALSE))</f>
        <v/>
      </c>
      <c r="B219" s="370" t="str">
        <f>IF(E219="","",VLOOKUP('OPĆI DIO'!$C$3,'OPĆI DIO'!$L$6:$U$138,9,FALSE))</f>
        <v/>
      </c>
      <c r="C219" s="371" t="str">
        <f t="shared" si="18"/>
        <v/>
      </c>
      <c r="D219" s="372" t="str">
        <f t="shared" si="19"/>
        <v/>
      </c>
      <c r="E219" s="81"/>
      <c r="F219" s="373" t="str">
        <f t="shared" si="20"/>
        <v/>
      </c>
      <c r="G219" s="359"/>
      <c r="H219" s="359"/>
      <c r="I219" s="359"/>
      <c r="J219" s="81"/>
      <c r="L219" s="73" t="str">
        <f t="shared" si="21"/>
        <v/>
      </c>
      <c r="M219" s="73" t="str">
        <f t="shared" si="22"/>
        <v/>
      </c>
    </row>
    <row r="220" spans="1:13">
      <c r="A220" s="374" t="str">
        <f>IF(E220="","",VLOOKUP('OPĆI DIO'!$C$3,'OPĆI DIO'!$L$6:$U$138,10,FALSE))</f>
        <v/>
      </c>
      <c r="B220" s="370" t="str">
        <f>IF(E220="","",VLOOKUP('OPĆI DIO'!$C$3,'OPĆI DIO'!$L$6:$U$138,9,FALSE))</f>
        <v/>
      </c>
      <c r="C220" s="371" t="str">
        <f t="shared" si="18"/>
        <v/>
      </c>
      <c r="D220" s="372" t="str">
        <f t="shared" si="19"/>
        <v/>
      </c>
      <c r="E220" s="81"/>
      <c r="F220" s="373" t="str">
        <f t="shared" si="20"/>
        <v/>
      </c>
      <c r="G220" s="359"/>
      <c r="H220" s="359"/>
      <c r="I220" s="359"/>
      <c r="J220" s="81"/>
      <c r="L220" s="73" t="str">
        <f t="shared" si="21"/>
        <v/>
      </c>
      <c r="M220" s="73" t="str">
        <f t="shared" si="22"/>
        <v/>
      </c>
    </row>
    <row r="221" spans="1:13">
      <c r="A221" s="374" t="str">
        <f>IF(E221="","",VLOOKUP('OPĆI DIO'!$C$3,'OPĆI DIO'!$L$6:$U$138,10,FALSE))</f>
        <v/>
      </c>
      <c r="B221" s="370" t="str">
        <f>IF(E221="","",VLOOKUP('OPĆI DIO'!$C$3,'OPĆI DIO'!$L$6:$U$138,9,FALSE))</f>
        <v/>
      </c>
      <c r="C221" s="371" t="str">
        <f t="shared" si="18"/>
        <v/>
      </c>
      <c r="D221" s="372" t="str">
        <f t="shared" si="19"/>
        <v/>
      </c>
      <c r="E221" s="81"/>
      <c r="F221" s="373" t="str">
        <f t="shared" si="20"/>
        <v/>
      </c>
      <c r="G221" s="359"/>
      <c r="H221" s="359"/>
      <c r="I221" s="359"/>
      <c r="J221" s="81"/>
      <c r="L221" s="73" t="str">
        <f t="shared" si="21"/>
        <v/>
      </c>
      <c r="M221" s="73" t="str">
        <f t="shared" si="22"/>
        <v/>
      </c>
    </row>
    <row r="222" spans="1:13">
      <c r="A222" s="374" t="str">
        <f>IF(E222="","",VLOOKUP('OPĆI DIO'!$C$3,'OPĆI DIO'!$L$6:$U$138,10,FALSE))</f>
        <v/>
      </c>
      <c r="B222" s="370" t="str">
        <f>IF(E222="","",VLOOKUP('OPĆI DIO'!$C$3,'OPĆI DIO'!$L$6:$U$138,9,FALSE))</f>
        <v/>
      </c>
      <c r="C222" s="371" t="str">
        <f t="shared" si="18"/>
        <v/>
      </c>
      <c r="D222" s="372" t="str">
        <f t="shared" si="19"/>
        <v/>
      </c>
      <c r="E222" s="81"/>
      <c r="F222" s="373" t="str">
        <f t="shared" si="20"/>
        <v/>
      </c>
      <c r="G222" s="359"/>
      <c r="H222" s="359"/>
      <c r="I222" s="359"/>
      <c r="J222" s="81"/>
      <c r="L222" s="73" t="str">
        <f t="shared" si="21"/>
        <v/>
      </c>
      <c r="M222" s="73" t="str">
        <f t="shared" si="22"/>
        <v/>
      </c>
    </row>
    <row r="223" spans="1:13">
      <c r="A223" s="374" t="str">
        <f>IF(E223="","",VLOOKUP('OPĆI DIO'!$C$3,'OPĆI DIO'!$L$6:$U$138,10,FALSE))</f>
        <v/>
      </c>
      <c r="B223" s="370" t="str">
        <f>IF(E223="","",VLOOKUP('OPĆI DIO'!$C$3,'OPĆI DIO'!$L$6:$U$138,9,FALSE))</f>
        <v/>
      </c>
      <c r="C223" s="371" t="str">
        <f t="shared" si="18"/>
        <v/>
      </c>
      <c r="D223" s="372" t="str">
        <f t="shared" si="19"/>
        <v/>
      </c>
      <c r="E223" s="81"/>
      <c r="F223" s="373" t="str">
        <f t="shared" si="20"/>
        <v/>
      </c>
      <c r="G223" s="359"/>
      <c r="H223" s="359"/>
      <c r="I223" s="359"/>
      <c r="J223" s="81"/>
      <c r="L223" s="73" t="str">
        <f t="shared" si="21"/>
        <v/>
      </c>
      <c r="M223" s="73" t="str">
        <f t="shared" si="22"/>
        <v/>
      </c>
    </row>
    <row r="224" spans="1:13">
      <c r="A224" s="374" t="str">
        <f>IF(E224="","",VLOOKUP('OPĆI DIO'!$C$3,'OPĆI DIO'!$L$6:$U$138,10,FALSE))</f>
        <v/>
      </c>
      <c r="B224" s="370" t="str">
        <f>IF(E224="","",VLOOKUP('OPĆI DIO'!$C$3,'OPĆI DIO'!$L$6:$U$138,9,FALSE))</f>
        <v/>
      </c>
      <c r="C224" s="371" t="str">
        <f t="shared" si="18"/>
        <v/>
      </c>
      <c r="D224" s="372" t="str">
        <f t="shared" si="19"/>
        <v/>
      </c>
      <c r="E224" s="81"/>
      <c r="F224" s="373" t="str">
        <f t="shared" si="20"/>
        <v/>
      </c>
      <c r="G224" s="359"/>
      <c r="H224" s="359"/>
      <c r="I224" s="359"/>
      <c r="J224" s="81"/>
      <c r="L224" s="73" t="str">
        <f t="shared" si="21"/>
        <v/>
      </c>
      <c r="M224" s="73" t="str">
        <f t="shared" si="22"/>
        <v/>
      </c>
    </row>
    <row r="225" spans="1:13">
      <c r="A225" s="374" t="str">
        <f>IF(E225="","",VLOOKUP('OPĆI DIO'!$C$3,'OPĆI DIO'!$L$6:$U$138,10,FALSE))</f>
        <v/>
      </c>
      <c r="B225" s="370" t="str">
        <f>IF(E225="","",VLOOKUP('OPĆI DIO'!$C$3,'OPĆI DIO'!$L$6:$U$138,9,FALSE))</f>
        <v/>
      </c>
      <c r="C225" s="371" t="str">
        <f t="shared" si="18"/>
        <v/>
      </c>
      <c r="D225" s="372" t="str">
        <f t="shared" si="19"/>
        <v/>
      </c>
      <c r="E225" s="81"/>
      <c r="F225" s="373" t="str">
        <f t="shared" si="20"/>
        <v/>
      </c>
      <c r="G225" s="359"/>
      <c r="H225" s="359"/>
      <c r="I225" s="359"/>
      <c r="J225" s="81"/>
      <c r="L225" s="73" t="str">
        <f t="shared" si="21"/>
        <v/>
      </c>
      <c r="M225" s="73" t="str">
        <f t="shared" si="22"/>
        <v/>
      </c>
    </row>
    <row r="226" spans="1:13">
      <c r="A226" s="374" t="str">
        <f>IF(E226="","",VLOOKUP('OPĆI DIO'!$C$3,'OPĆI DIO'!$L$6:$U$138,10,FALSE))</f>
        <v/>
      </c>
      <c r="B226" s="370" t="str">
        <f>IF(E226="","",VLOOKUP('OPĆI DIO'!$C$3,'OPĆI DIO'!$L$6:$U$138,9,FALSE))</f>
        <v/>
      </c>
      <c r="C226" s="371" t="str">
        <f t="shared" si="18"/>
        <v/>
      </c>
      <c r="D226" s="372" t="str">
        <f t="shared" si="19"/>
        <v/>
      </c>
      <c r="E226" s="81"/>
      <c r="F226" s="373" t="str">
        <f t="shared" si="20"/>
        <v/>
      </c>
      <c r="G226" s="359"/>
      <c r="H226" s="359"/>
      <c r="I226" s="359"/>
      <c r="J226" s="81"/>
      <c r="L226" s="73" t="str">
        <f t="shared" si="21"/>
        <v/>
      </c>
      <c r="M226" s="73" t="str">
        <f t="shared" si="22"/>
        <v/>
      </c>
    </row>
    <row r="227" spans="1:13">
      <c r="A227" s="374" t="str">
        <f>IF(E227="","",VLOOKUP('OPĆI DIO'!$C$3,'OPĆI DIO'!$L$6:$U$138,10,FALSE))</f>
        <v/>
      </c>
      <c r="B227" s="370" t="str">
        <f>IF(E227="","",VLOOKUP('OPĆI DIO'!$C$3,'OPĆI DIO'!$L$6:$U$138,9,FALSE))</f>
        <v/>
      </c>
      <c r="C227" s="371" t="str">
        <f t="shared" si="18"/>
        <v/>
      </c>
      <c r="D227" s="372" t="str">
        <f t="shared" si="19"/>
        <v/>
      </c>
      <c r="E227" s="81"/>
      <c r="F227" s="373" t="str">
        <f t="shared" si="20"/>
        <v/>
      </c>
      <c r="G227" s="359"/>
      <c r="H227" s="359"/>
      <c r="I227" s="359"/>
      <c r="J227" s="81"/>
      <c r="L227" s="73" t="str">
        <f t="shared" si="21"/>
        <v/>
      </c>
      <c r="M227" s="73" t="str">
        <f t="shared" si="22"/>
        <v/>
      </c>
    </row>
    <row r="228" spans="1:13">
      <c r="A228" s="374" t="str">
        <f>IF(E228="","",VLOOKUP('OPĆI DIO'!$C$3,'OPĆI DIO'!$L$6:$U$138,10,FALSE))</f>
        <v/>
      </c>
      <c r="B228" s="370" t="str">
        <f>IF(E228="","",VLOOKUP('OPĆI DIO'!$C$3,'OPĆI DIO'!$L$6:$U$138,9,FALSE))</f>
        <v/>
      </c>
      <c r="C228" s="371" t="str">
        <f t="shared" si="18"/>
        <v/>
      </c>
      <c r="D228" s="372" t="str">
        <f t="shared" si="19"/>
        <v/>
      </c>
      <c r="E228" s="81"/>
      <c r="F228" s="373" t="str">
        <f t="shared" si="20"/>
        <v/>
      </c>
      <c r="G228" s="359"/>
      <c r="H228" s="359"/>
      <c r="I228" s="359"/>
      <c r="J228" s="81"/>
      <c r="L228" s="73" t="str">
        <f t="shared" si="21"/>
        <v/>
      </c>
      <c r="M228" s="73" t="str">
        <f t="shared" si="22"/>
        <v/>
      </c>
    </row>
    <row r="229" spans="1:13">
      <c r="A229" s="374" t="str">
        <f>IF(E229="","",VLOOKUP('OPĆI DIO'!$C$3,'OPĆI DIO'!$L$6:$U$138,10,FALSE))</f>
        <v/>
      </c>
      <c r="B229" s="370" t="str">
        <f>IF(E229="","",VLOOKUP('OPĆI DIO'!$C$3,'OPĆI DIO'!$L$6:$U$138,9,FALSE))</f>
        <v/>
      </c>
      <c r="C229" s="371" t="str">
        <f t="shared" si="18"/>
        <v/>
      </c>
      <c r="D229" s="372" t="str">
        <f t="shared" si="19"/>
        <v/>
      </c>
      <c r="E229" s="81"/>
      <c r="F229" s="373" t="str">
        <f t="shared" si="20"/>
        <v/>
      </c>
      <c r="G229" s="359"/>
      <c r="H229" s="359"/>
      <c r="I229" s="359"/>
      <c r="J229" s="81"/>
      <c r="L229" s="73" t="str">
        <f t="shared" si="21"/>
        <v/>
      </c>
      <c r="M229" s="73" t="str">
        <f t="shared" si="22"/>
        <v/>
      </c>
    </row>
    <row r="230" spans="1:13">
      <c r="A230" s="374" t="str">
        <f>IF(E230="","",VLOOKUP('OPĆI DIO'!$C$3,'OPĆI DIO'!$L$6:$U$138,10,FALSE))</f>
        <v/>
      </c>
      <c r="B230" s="370" t="str">
        <f>IF(E230="","",VLOOKUP('OPĆI DIO'!$C$3,'OPĆI DIO'!$L$6:$U$138,9,FALSE))</f>
        <v/>
      </c>
      <c r="C230" s="371" t="str">
        <f t="shared" si="18"/>
        <v/>
      </c>
      <c r="D230" s="372" t="str">
        <f t="shared" si="19"/>
        <v/>
      </c>
      <c r="E230" s="81"/>
      <c r="F230" s="373" t="str">
        <f t="shared" si="20"/>
        <v/>
      </c>
      <c r="G230" s="359"/>
      <c r="H230" s="359"/>
      <c r="I230" s="359"/>
      <c r="J230" s="81"/>
      <c r="L230" s="73" t="str">
        <f t="shared" si="21"/>
        <v/>
      </c>
      <c r="M230" s="73" t="str">
        <f t="shared" si="22"/>
        <v/>
      </c>
    </row>
    <row r="231" spans="1:13">
      <c r="A231" s="374" t="str">
        <f>IF(E231="","",VLOOKUP('OPĆI DIO'!$C$3,'OPĆI DIO'!$L$6:$U$138,10,FALSE))</f>
        <v/>
      </c>
      <c r="B231" s="370" t="str">
        <f>IF(E231="","",VLOOKUP('OPĆI DIO'!$C$3,'OPĆI DIO'!$L$6:$U$138,9,FALSE))</f>
        <v/>
      </c>
      <c r="C231" s="371" t="str">
        <f t="shared" si="18"/>
        <v/>
      </c>
      <c r="D231" s="372" t="str">
        <f t="shared" si="19"/>
        <v/>
      </c>
      <c r="E231" s="81"/>
      <c r="F231" s="373" t="str">
        <f t="shared" si="20"/>
        <v/>
      </c>
      <c r="G231" s="359"/>
      <c r="H231" s="359"/>
      <c r="I231" s="359"/>
      <c r="J231" s="81"/>
      <c r="L231" s="73" t="str">
        <f t="shared" si="21"/>
        <v/>
      </c>
      <c r="M231" s="73" t="str">
        <f t="shared" si="22"/>
        <v/>
      </c>
    </row>
    <row r="232" spans="1:13">
      <c r="A232" s="374" t="str">
        <f>IF(E232="","",VLOOKUP('OPĆI DIO'!$C$3,'OPĆI DIO'!$L$6:$U$138,10,FALSE))</f>
        <v/>
      </c>
      <c r="B232" s="370" t="str">
        <f>IF(E232="","",VLOOKUP('OPĆI DIO'!$C$3,'OPĆI DIO'!$L$6:$U$138,9,FALSE))</f>
        <v/>
      </c>
      <c r="C232" s="371" t="str">
        <f t="shared" si="18"/>
        <v/>
      </c>
      <c r="D232" s="372" t="str">
        <f t="shared" si="19"/>
        <v/>
      </c>
      <c r="E232" s="81"/>
      <c r="F232" s="373" t="str">
        <f t="shared" si="20"/>
        <v/>
      </c>
      <c r="G232" s="359"/>
      <c r="H232" s="359"/>
      <c r="I232" s="359"/>
      <c r="J232" s="81"/>
      <c r="L232" s="73" t="str">
        <f t="shared" si="21"/>
        <v/>
      </c>
      <c r="M232" s="73" t="str">
        <f t="shared" si="22"/>
        <v/>
      </c>
    </row>
    <row r="233" spans="1:13">
      <c r="A233" s="374" t="str">
        <f>IF(E233="","",VLOOKUP('OPĆI DIO'!$C$3,'OPĆI DIO'!$L$6:$U$138,10,FALSE))</f>
        <v/>
      </c>
      <c r="B233" s="370" t="str">
        <f>IF(E233="","",VLOOKUP('OPĆI DIO'!$C$3,'OPĆI DIO'!$L$6:$U$138,9,FALSE))</f>
        <v/>
      </c>
      <c r="C233" s="371" t="str">
        <f t="shared" si="18"/>
        <v/>
      </c>
      <c r="D233" s="372" t="str">
        <f t="shared" si="19"/>
        <v/>
      </c>
      <c r="E233" s="81"/>
      <c r="F233" s="373" t="str">
        <f t="shared" si="20"/>
        <v/>
      </c>
      <c r="G233" s="359"/>
      <c r="H233" s="359"/>
      <c r="I233" s="359"/>
      <c r="J233" s="81"/>
      <c r="L233" s="73" t="str">
        <f t="shared" si="21"/>
        <v/>
      </c>
      <c r="M233" s="73" t="str">
        <f t="shared" si="22"/>
        <v/>
      </c>
    </row>
    <row r="234" spans="1:13">
      <c r="A234" s="374" t="str">
        <f>IF(E234="","",VLOOKUP('OPĆI DIO'!$C$3,'OPĆI DIO'!$L$6:$U$138,10,FALSE))</f>
        <v/>
      </c>
      <c r="B234" s="370" t="str">
        <f>IF(E234="","",VLOOKUP('OPĆI DIO'!$C$3,'OPĆI DIO'!$L$6:$U$138,9,FALSE))</f>
        <v/>
      </c>
      <c r="C234" s="371" t="str">
        <f t="shared" si="18"/>
        <v/>
      </c>
      <c r="D234" s="372" t="str">
        <f t="shared" si="19"/>
        <v/>
      </c>
      <c r="E234" s="81"/>
      <c r="F234" s="373" t="str">
        <f t="shared" si="20"/>
        <v/>
      </c>
      <c r="G234" s="359"/>
      <c r="H234" s="359"/>
      <c r="I234" s="359"/>
      <c r="J234" s="81"/>
      <c r="L234" s="73" t="str">
        <f t="shared" si="21"/>
        <v/>
      </c>
      <c r="M234" s="73" t="str">
        <f t="shared" si="22"/>
        <v/>
      </c>
    </row>
    <row r="235" spans="1:13">
      <c r="A235" s="374" t="str">
        <f>IF(E235="","",VLOOKUP('OPĆI DIO'!$C$3,'OPĆI DIO'!$L$6:$U$138,10,FALSE))</f>
        <v/>
      </c>
      <c r="B235" s="370" t="str">
        <f>IF(E235="","",VLOOKUP('OPĆI DIO'!$C$3,'OPĆI DIO'!$L$6:$U$138,9,FALSE))</f>
        <v/>
      </c>
      <c r="C235" s="371" t="str">
        <f t="shared" si="18"/>
        <v/>
      </c>
      <c r="D235" s="372" t="str">
        <f t="shared" si="19"/>
        <v/>
      </c>
      <c r="E235" s="81"/>
      <c r="F235" s="373" t="str">
        <f t="shared" si="20"/>
        <v/>
      </c>
      <c r="G235" s="359"/>
      <c r="H235" s="359"/>
      <c r="I235" s="359"/>
      <c r="J235" s="81"/>
      <c r="L235" s="73" t="str">
        <f t="shared" si="21"/>
        <v/>
      </c>
      <c r="M235" s="73" t="str">
        <f t="shared" si="22"/>
        <v/>
      </c>
    </row>
    <row r="236" spans="1:13">
      <c r="A236" s="374" t="str">
        <f>IF(E236="","",VLOOKUP('OPĆI DIO'!$C$3,'OPĆI DIO'!$L$6:$U$138,10,FALSE))</f>
        <v/>
      </c>
      <c r="B236" s="370" t="str">
        <f>IF(E236="","",VLOOKUP('OPĆI DIO'!$C$3,'OPĆI DIO'!$L$6:$U$138,9,FALSE))</f>
        <v/>
      </c>
      <c r="C236" s="371" t="str">
        <f t="shared" si="18"/>
        <v/>
      </c>
      <c r="D236" s="372" t="str">
        <f t="shared" si="19"/>
        <v/>
      </c>
      <c r="E236" s="81"/>
      <c r="F236" s="373" t="str">
        <f t="shared" si="20"/>
        <v/>
      </c>
      <c r="G236" s="359"/>
      <c r="H236" s="359"/>
      <c r="I236" s="359"/>
      <c r="J236" s="81"/>
      <c r="L236" s="73" t="str">
        <f t="shared" si="21"/>
        <v/>
      </c>
      <c r="M236" s="73" t="str">
        <f t="shared" si="22"/>
        <v/>
      </c>
    </row>
    <row r="237" spans="1:13">
      <c r="A237" s="374" t="str">
        <f>IF(E237="","",VLOOKUP('OPĆI DIO'!$C$3,'OPĆI DIO'!$L$6:$U$138,10,FALSE))</f>
        <v/>
      </c>
      <c r="B237" s="370" t="str">
        <f>IF(E237="","",VLOOKUP('OPĆI DIO'!$C$3,'OPĆI DIO'!$L$6:$U$138,9,FALSE))</f>
        <v/>
      </c>
      <c r="C237" s="371" t="str">
        <f t="shared" si="18"/>
        <v/>
      </c>
      <c r="D237" s="372" t="str">
        <f t="shared" si="19"/>
        <v/>
      </c>
      <c r="E237" s="81"/>
      <c r="F237" s="373" t="str">
        <f t="shared" si="20"/>
        <v/>
      </c>
      <c r="G237" s="359"/>
      <c r="H237" s="359"/>
      <c r="I237" s="359"/>
      <c r="J237" s="81"/>
      <c r="L237" s="73" t="str">
        <f t="shared" si="21"/>
        <v/>
      </c>
      <c r="M237" s="73" t="str">
        <f t="shared" si="22"/>
        <v/>
      </c>
    </row>
    <row r="238" spans="1:13">
      <c r="A238" s="374" t="str">
        <f>IF(E238="","",VLOOKUP('OPĆI DIO'!$C$3,'OPĆI DIO'!$L$6:$U$138,10,FALSE))</f>
        <v/>
      </c>
      <c r="B238" s="370" t="str">
        <f>IF(E238="","",VLOOKUP('OPĆI DIO'!$C$3,'OPĆI DIO'!$L$6:$U$138,9,FALSE))</f>
        <v/>
      </c>
      <c r="C238" s="371" t="str">
        <f t="shared" si="18"/>
        <v/>
      </c>
      <c r="D238" s="372" t="str">
        <f t="shared" si="19"/>
        <v/>
      </c>
      <c r="E238" s="81"/>
      <c r="F238" s="373" t="str">
        <f t="shared" si="20"/>
        <v/>
      </c>
      <c r="G238" s="359"/>
      <c r="H238" s="359"/>
      <c r="I238" s="359"/>
      <c r="J238" s="81"/>
      <c r="L238" s="73" t="str">
        <f t="shared" si="21"/>
        <v/>
      </c>
      <c r="M238" s="73" t="str">
        <f t="shared" si="22"/>
        <v/>
      </c>
    </row>
    <row r="239" spans="1:13">
      <c r="A239" s="374" t="str">
        <f>IF(E239="","",VLOOKUP('OPĆI DIO'!$C$3,'OPĆI DIO'!$L$6:$U$138,10,FALSE))</f>
        <v/>
      </c>
      <c r="B239" s="370" t="str">
        <f>IF(E239="","",VLOOKUP('OPĆI DIO'!$C$3,'OPĆI DIO'!$L$6:$U$138,9,FALSE))</f>
        <v/>
      </c>
      <c r="C239" s="371" t="str">
        <f t="shared" si="18"/>
        <v/>
      </c>
      <c r="D239" s="372" t="str">
        <f t="shared" si="19"/>
        <v/>
      </c>
      <c r="E239" s="81"/>
      <c r="F239" s="373" t="str">
        <f t="shared" si="20"/>
        <v/>
      </c>
      <c r="G239" s="359"/>
      <c r="H239" s="359"/>
      <c r="I239" s="359"/>
      <c r="J239" s="81"/>
      <c r="L239" s="73" t="str">
        <f t="shared" si="21"/>
        <v/>
      </c>
      <c r="M239" s="73" t="str">
        <f t="shared" si="22"/>
        <v/>
      </c>
    </row>
    <row r="240" spans="1:13">
      <c r="A240" s="374" t="str">
        <f>IF(E240="","",VLOOKUP('OPĆI DIO'!$C$3,'OPĆI DIO'!$L$6:$U$138,10,FALSE))</f>
        <v/>
      </c>
      <c r="B240" s="370" t="str">
        <f>IF(E240="","",VLOOKUP('OPĆI DIO'!$C$3,'OPĆI DIO'!$L$6:$U$138,9,FALSE))</f>
        <v/>
      </c>
      <c r="C240" s="371" t="str">
        <f t="shared" si="18"/>
        <v/>
      </c>
      <c r="D240" s="372" t="str">
        <f t="shared" si="19"/>
        <v/>
      </c>
      <c r="E240" s="81"/>
      <c r="F240" s="373" t="str">
        <f t="shared" si="20"/>
        <v/>
      </c>
      <c r="G240" s="359"/>
      <c r="H240" s="359"/>
      <c r="I240" s="359"/>
      <c r="J240" s="81"/>
      <c r="L240" s="73" t="str">
        <f t="shared" si="21"/>
        <v/>
      </c>
      <c r="M240" s="73" t="str">
        <f t="shared" si="22"/>
        <v/>
      </c>
    </row>
    <row r="241" spans="1:13">
      <c r="A241" s="374" t="str">
        <f>IF(E241="","",VLOOKUP('OPĆI DIO'!$C$3,'OPĆI DIO'!$L$6:$U$138,10,FALSE))</f>
        <v/>
      </c>
      <c r="B241" s="370" t="str">
        <f>IF(E241="","",VLOOKUP('OPĆI DIO'!$C$3,'OPĆI DIO'!$L$6:$U$138,9,FALSE))</f>
        <v/>
      </c>
      <c r="C241" s="371" t="str">
        <f t="shared" si="18"/>
        <v/>
      </c>
      <c r="D241" s="372" t="str">
        <f t="shared" si="19"/>
        <v/>
      </c>
      <c r="E241" s="81"/>
      <c r="F241" s="373" t="str">
        <f t="shared" si="20"/>
        <v/>
      </c>
      <c r="G241" s="359"/>
      <c r="H241" s="359"/>
      <c r="I241" s="359"/>
      <c r="J241" s="81"/>
      <c r="L241" s="73" t="str">
        <f t="shared" si="21"/>
        <v/>
      </c>
      <c r="M241" s="73" t="str">
        <f t="shared" si="22"/>
        <v/>
      </c>
    </row>
    <row r="242" spans="1:13">
      <c r="A242" s="374" t="str">
        <f>IF(E242="","",VLOOKUP('OPĆI DIO'!$C$3,'OPĆI DIO'!$L$6:$U$138,10,FALSE))</f>
        <v/>
      </c>
      <c r="B242" s="370" t="str">
        <f>IF(E242="","",VLOOKUP('OPĆI DIO'!$C$3,'OPĆI DIO'!$L$6:$U$138,9,FALSE))</f>
        <v/>
      </c>
      <c r="C242" s="371" t="str">
        <f t="shared" si="18"/>
        <v/>
      </c>
      <c r="D242" s="372" t="str">
        <f t="shared" si="19"/>
        <v/>
      </c>
      <c r="E242" s="81"/>
      <c r="F242" s="373" t="str">
        <f t="shared" si="20"/>
        <v/>
      </c>
      <c r="G242" s="359"/>
      <c r="H242" s="359"/>
      <c r="I242" s="359"/>
      <c r="J242" s="81"/>
      <c r="L242" s="73" t="str">
        <f t="shared" si="21"/>
        <v/>
      </c>
      <c r="M242" s="73" t="str">
        <f t="shared" si="22"/>
        <v/>
      </c>
    </row>
    <row r="243" spans="1:13">
      <c r="A243" s="374" t="str">
        <f>IF(E243="","",VLOOKUP('OPĆI DIO'!$C$3,'OPĆI DIO'!$L$6:$U$138,10,FALSE))</f>
        <v/>
      </c>
      <c r="B243" s="370" t="str">
        <f>IF(E243="","",VLOOKUP('OPĆI DIO'!$C$3,'OPĆI DIO'!$L$6:$U$138,9,FALSE))</f>
        <v/>
      </c>
      <c r="C243" s="371" t="str">
        <f t="shared" si="18"/>
        <v/>
      </c>
      <c r="D243" s="372" t="str">
        <f t="shared" si="19"/>
        <v/>
      </c>
      <c r="E243" s="81"/>
      <c r="F243" s="373" t="str">
        <f t="shared" si="20"/>
        <v/>
      </c>
      <c r="G243" s="359"/>
      <c r="H243" s="359"/>
      <c r="I243" s="359"/>
      <c r="J243" s="81"/>
      <c r="L243" s="73" t="str">
        <f t="shared" si="21"/>
        <v/>
      </c>
      <c r="M243" s="73" t="str">
        <f t="shared" si="22"/>
        <v/>
      </c>
    </row>
    <row r="244" spans="1:13">
      <c r="A244" s="374" t="str">
        <f>IF(E244="","",VLOOKUP('OPĆI DIO'!$C$3,'OPĆI DIO'!$L$6:$U$138,10,FALSE))</f>
        <v/>
      </c>
      <c r="B244" s="370" t="str">
        <f>IF(E244="","",VLOOKUP('OPĆI DIO'!$C$3,'OPĆI DIO'!$L$6:$U$138,9,FALSE))</f>
        <v/>
      </c>
      <c r="C244" s="371" t="str">
        <f t="shared" si="18"/>
        <v/>
      </c>
      <c r="D244" s="372" t="str">
        <f t="shared" si="19"/>
        <v/>
      </c>
      <c r="E244" s="81"/>
      <c r="F244" s="373" t="str">
        <f t="shared" si="20"/>
        <v/>
      </c>
      <c r="G244" s="359"/>
      <c r="H244" s="359"/>
      <c r="I244" s="359"/>
      <c r="J244" s="81"/>
      <c r="L244" s="73" t="str">
        <f t="shared" si="21"/>
        <v/>
      </c>
      <c r="M244" s="73" t="str">
        <f t="shared" si="22"/>
        <v/>
      </c>
    </row>
    <row r="245" spans="1:13">
      <c r="A245" s="374" t="str">
        <f>IF(E245="","",VLOOKUP('OPĆI DIO'!$C$3,'OPĆI DIO'!$L$6:$U$138,10,FALSE))</f>
        <v/>
      </c>
      <c r="B245" s="370" t="str">
        <f>IF(E245="","",VLOOKUP('OPĆI DIO'!$C$3,'OPĆI DIO'!$L$6:$U$138,9,FALSE))</f>
        <v/>
      </c>
      <c r="C245" s="371" t="str">
        <f t="shared" si="18"/>
        <v/>
      </c>
      <c r="D245" s="372" t="str">
        <f t="shared" si="19"/>
        <v/>
      </c>
      <c r="E245" s="81"/>
      <c r="F245" s="373" t="str">
        <f t="shared" si="20"/>
        <v/>
      </c>
      <c r="G245" s="359"/>
      <c r="H245" s="359"/>
      <c r="I245" s="359"/>
      <c r="J245" s="81"/>
      <c r="L245" s="73" t="str">
        <f t="shared" si="21"/>
        <v/>
      </c>
      <c r="M245" s="73" t="str">
        <f t="shared" si="22"/>
        <v/>
      </c>
    </row>
    <row r="246" spans="1:13">
      <c r="A246" s="374" t="str">
        <f>IF(E246="","",VLOOKUP('OPĆI DIO'!$C$3,'OPĆI DIO'!$L$6:$U$138,10,FALSE))</f>
        <v/>
      </c>
      <c r="B246" s="370" t="str">
        <f>IF(E246="","",VLOOKUP('OPĆI DIO'!$C$3,'OPĆI DIO'!$L$6:$U$138,9,FALSE))</f>
        <v/>
      </c>
      <c r="C246" s="371" t="str">
        <f t="shared" si="18"/>
        <v/>
      </c>
      <c r="D246" s="372" t="str">
        <f t="shared" si="19"/>
        <v/>
      </c>
      <c r="E246" s="81"/>
      <c r="F246" s="373" t="str">
        <f t="shared" si="20"/>
        <v/>
      </c>
      <c r="G246" s="359"/>
      <c r="H246" s="359"/>
      <c r="I246" s="359"/>
      <c r="J246" s="81"/>
      <c r="L246" s="73" t="str">
        <f t="shared" si="21"/>
        <v/>
      </c>
      <c r="M246" s="73" t="str">
        <f t="shared" si="22"/>
        <v/>
      </c>
    </row>
    <row r="247" spans="1:13">
      <c r="A247" s="374" t="str">
        <f>IF(E247="","",VLOOKUP('OPĆI DIO'!$C$3,'OPĆI DIO'!$L$6:$U$138,10,FALSE))</f>
        <v/>
      </c>
      <c r="B247" s="370" t="str">
        <f>IF(E247="","",VLOOKUP('OPĆI DIO'!$C$3,'OPĆI DIO'!$L$6:$U$138,9,FALSE))</f>
        <v/>
      </c>
      <c r="C247" s="371" t="str">
        <f t="shared" si="18"/>
        <v/>
      </c>
      <c r="D247" s="372" t="str">
        <f t="shared" si="19"/>
        <v/>
      </c>
      <c r="E247" s="81"/>
      <c r="F247" s="373" t="str">
        <f t="shared" si="20"/>
        <v/>
      </c>
      <c r="G247" s="359"/>
      <c r="H247" s="359"/>
      <c r="I247" s="359"/>
      <c r="J247" s="81"/>
      <c r="L247" s="73" t="str">
        <f t="shared" si="21"/>
        <v/>
      </c>
      <c r="M247" s="73" t="str">
        <f t="shared" si="22"/>
        <v/>
      </c>
    </row>
    <row r="248" spans="1:13">
      <c r="A248" s="374" t="str">
        <f>IF(E248="","",VLOOKUP('OPĆI DIO'!$C$3,'OPĆI DIO'!$L$6:$U$138,10,FALSE))</f>
        <v/>
      </c>
      <c r="B248" s="370" t="str">
        <f>IF(E248="","",VLOOKUP('OPĆI DIO'!$C$3,'OPĆI DIO'!$L$6:$U$138,9,FALSE))</f>
        <v/>
      </c>
      <c r="C248" s="371" t="str">
        <f t="shared" si="18"/>
        <v/>
      </c>
      <c r="D248" s="372" t="str">
        <f t="shared" si="19"/>
        <v/>
      </c>
      <c r="E248" s="81"/>
      <c r="F248" s="373" t="str">
        <f t="shared" si="20"/>
        <v/>
      </c>
      <c r="G248" s="359"/>
      <c r="H248" s="359"/>
      <c r="I248" s="359"/>
      <c r="J248" s="81"/>
      <c r="L248" s="73" t="str">
        <f t="shared" si="21"/>
        <v/>
      </c>
      <c r="M248" s="73" t="str">
        <f t="shared" si="22"/>
        <v/>
      </c>
    </row>
    <row r="249" spans="1:13">
      <c r="A249" s="374" t="str">
        <f>IF(E249="","",VLOOKUP('OPĆI DIO'!$C$3,'OPĆI DIO'!$L$6:$U$138,10,FALSE))</f>
        <v/>
      </c>
      <c r="B249" s="370" t="str">
        <f>IF(E249="","",VLOOKUP('OPĆI DIO'!$C$3,'OPĆI DIO'!$L$6:$U$138,9,FALSE))</f>
        <v/>
      </c>
      <c r="C249" s="371" t="str">
        <f t="shared" si="18"/>
        <v/>
      </c>
      <c r="D249" s="372" t="str">
        <f t="shared" si="19"/>
        <v/>
      </c>
      <c r="E249" s="81"/>
      <c r="F249" s="373" t="str">
        <f t="shared" si="20"/>
        <v/>
      </c>
      <c r="G249" s="359"/>
      <c r="H249" s="359"/>
      <c r="I249" s="359"/>
      <c r="J249" s="81"/>
      <c r="L249" s="73" t="str">
        <f t="shared" si="21"/>
        <v/>
      </c>
      <c r="M249" s="73" t="str">
        <f t="shared" si="22"/>
        <v/>
      </c>
    </row>
    <row r="250" spans="1:13">
      <c r="A250" s="374" t="str">
        <f>IF(E250="","",VLOOKUP('OPĆI DIO'!$C$3,'OPĆI DIO'!$L$6:$U$138,10,FALSE))</f>
        <v/>
      </c>
      <c r="B250" s="370" t="str">
        <f>IF(E250="","",VLOOKUP('OPĆI DIO'!$C$3,'OPĆI DIO'!$L$6:$U$138,9,FALSE))</f>
        <v/>
      </c>
      <c r="C250" s="371" t="str">
        <f t="shared" si="18"/>
        <v/>
      </c>
      <c r="D250" s="372" t="str">
        <f t="shared" si="19"/>
        <v/>
      </c>
      <c r="E250" s="81"/>
      <c r="F250" s="373" t="str">
        <f t="shared" si="20"/>
        <v/>
      </c>
      <c r="G250" s="359"/>
      <c r="H250" s="359"/>
      <c r="I250" s="359"/>
      <c r="J250" s="81"/>
      <c r="L250" s="73" t="str">
        <f t="shared" si="21"/>
        <v/>
      </c>
      <c r="M250" s="73" t="str">
        <f t="shared" si="22"/>
        <v/>
      </c>
    </row>
    <row r="251" spans="1:13">
      <c r="A251" s="374" t="str">
        <f>IF(E251="","",VLOOKUP('OPĆI DIO'!$C$3,'OPĆI DIO'!$L$6:$U$138,10,FALSE))</f>
        <v/>
      </c>
      <c r="B251" s="370" t="str">
        <f>IF(E251="","",VLOOKUP('OPĆI DIO'!$C$3,'OPĆI DIO'!$L$6:$U$138,9,FALSE))</f>
        <v/>
      </c>
      <c r="C251" s="371" t="str">
        <f t="shared" si="18"/>
        <v/>
      </c>
      <c r="D251" s="372" t="str">
        <f t="shared" si="19"/>
        <v/>
      </c>
      <c r="E251" s="81"/>
      <c r="F251" s="373" t="str">
        <f t="shared" si="20"/>
        <v/>
      </c>
      <c r="G251" s="359"/>
      <c r="H251" s="359"/>
      <c r="I251" s="359"/>
      <c r="J251" s="81"/>
      <c r="L251" s="73" t="str">
        <f t="shared" si="21"/>
        <v/>
      </c>
      <c r="M251" s="73" t="str">
        <f t="shared" si="22"/>
        <v/>
      </c>
    </row>
    <row r="252" spans="1:13">
      <c r="A252" s="374" t="str">
        <f>IF(E252="","",VLOOKUP('OPĆI DIO'!$C$3,'OPĆI DIO'!$L$6:$U$138,10,FALSE))</f>
        <v/>
      </c>
      <c r="B252" s="370" t="str">
        <f>IF(E252="","",VLOOKUP('OPĆI DIO'!$C$3,'OPĆI DIO'!$L$6:$U$138,9,FALSE))</f>
        <v/>
      </c>
      <c r="C252" s="371" t="str">
        <f t="shared" si="18"/>
        <v/>
      </c>
      <c r="D252" s="372" t="str">
        <f t="shared" si="19"/>
        <v/>
      </c>
      <c r="E252" s="81"/>
      <c r="F252" s="373" t="str">
        <f t="shared" si="20"/>
        <v/>
      </c>
      <c r="G252" s="359"/>
      <c r="H252" s="359"/>
      <c r="I252" s="359"/>
      <c r="J252" s="81"/>
      <c r="L252" s="73" t="str">
        <f t="shared" si="21"/>
        <v/>
      </c>
      <c r="M252" s="73" t="str">
        <f t="shared" si="22"/>
        <v/>
      </c>
    </row>
    <row r="253" spans="1:13">
      <c r="A253" s="374" t="str">
        <f>IF(E253="","",VLOOKUP('OPĆI DIO'!$C$3,'OPĆI DIO'!$L$6:$U$138,10,FALSE))</f>
        <v/>
      </c>
      <c r="B253" s="370" t="str">
        <f>IF(E253="","",VLOOKUP('OPĆI DIO'!$C$3,'OPĆI DIO'!$L$6:$U$138,9,FALSE))</f>
        <v/>
      </c>
      <c r="C253" s="371" t="str">
        <f t="shared" si="18"/>
        <v/>
      </c>
      <c r="D253" s="372" t="str">
        <f t="shared" si="19"/>
        <v/>
      </c>
      <c r="E253" s="81"/>
      <c r="F253" s="373" t="str">
        <f t="shared" si="20"/>
        <v/>
      </c>
      <c r="G253" s="359"/>
      <c r="H253" s="359"/>
      <c r="I253" s="359"/>
      <c r="J253" s="81"/>
      <c r="L253" s="73" t="str">
        <f t="shared" si="21"/>
        <v/>
      </c>
      <c r="M253" s="73" t="str">
        <f t="shared" si="22"/>
        <v/>
      </c>
    </row>
    <row r="254" spans="1:13">
      <c r="A254" s="374" t="str">
        <f>IF(E254="","",VLOOKUP('OPĆI DIO'!$C$3,'OPĆI DIO'!$L$6:$U$138,10,FALSE))</f>
        <v/>
      </c>
      <c r="B254" s="370" t="str">
        <f>IF(E254="","",VLOOKUP('OPĆI DIO'!$C$3,'OPĆI DIO'!$L$6:$U$138,9,FALSE))</f>
        <v/>
      </c>
      <c r="C254" s="371" t="str">
        <f t="shared" si="18"/>
        <v/>
      </c>
      <c r="D254" s="372" t="str">
        <f t="shared" si="19"/>
        <v/>
      </c>
      <c r="E254" s="81"/>
      <c r="F254" s="373" t="str">
        <f t="shared" si="20"/>
        <v/>
      </c>
      <c r="G254" s="359"/>
      <c r="H254" s="359"/>
      <c r="I254" s="359"/>
      <c r="J254" s="81"/>
      <c r="L254" s="73" t="str">
        <f t="shared" si="21"/>
        <v/>
      </c>
      <c r="M254" s="73" t="str">
        <f t="shared" si="22"/>
        <v/>
      </c>
    </row>
    <row r="255" spans="1:13">
      <c r="A255" s="374" t="str">
        <f>IF(E255="","",VLOOKUP('OPĆI DIO'!$C$3,'OPĆI DIO'!$L$6:$U$138,10,FALSE))</f>
        <v/>
      </c>
      <c r="B255" s="370" t="str">
        <f>IF(E255="","",VLOOKUP('OPĆI DIO'!$C$3,'OPĆI DIO'!$L$6:$U$138,9,FALSE))</f>
        <v/>
      </c>
      <c r="C255" s="371" t="str">
        <f t="shared" si="18"/>
        <v/>
      </c>
      <c r="D255" s="372" t="str">
        <f t="shared" si="19"/>
        <v/>
      </c>
      <c r="E255" s="81"/>
      <c r="F255" s="373" t="str">
        <f t="shared" si="20"/>
        <v/>
      </c>
      <c r="G255" s="359"/>
      <c r="H255" s="359"/>
      <c r="I255" s="359"/>
      <c r="J255" s="81"/>
      <c r="L255" s="73" t="str">
        <f t="shared" si="21"/>
        <v/>
      </c>
      <c r="M255" s="73" t="str">
        <f t="shared" si="22"/>
        <v/>
      </c>
    </row>
    <row r="256" spans="1:13">
      <c r="A256" s="374" t="str">
        <f>IF(E256="","",VLOOKUP('OPĆI DIO'!$C$3,'OPĆI DIO'!$L$6:$U$138,10,FALSE))</f>
        <v/>
      </c>
      <c r="B256" s="370" t="str">
        <f>IF(E256="","",VLOOKUP('OPĆI DIO'!$C$3,'OPĆI DIO'!$L$6:$U$138,9,FALSE))</f>
        <v/>
      </c>
      <c r="C256" s="371" t="str">
        <f t="shared" si="18"/>
        <v/>
      </c>
      <c r="D256" s="372" t="str">
        <f t="shared" si="19"/>
        <v/>
      </c>
      <c r="E256" s="81"/>
      <c r="F256" s="373" t="str">
        <f t="shared" si="20"/>
        <v/>
      </c>
      <c r="G256" s="359"/>
      <c r="H256" s="359"/>
      <c r="I256" s="359"/>
      <c r="J256" s="81"/>
      <c r="L256" s="73" t="str">
        <f t="shared" si="21"/>
        <v/>
      </c>
      <c r="M256" s="73" t="str">
        <f t="shared" si="22"/>
        <v/>
      </c>
    </row>
    <row r="257" spans="1:13">
      <c r="A257" s="374" t="str">
        <f>IF(E257="","",VLOOKUP('OPĆI DIO'!$C$3,'OPĆI DIO'!$L$6:$U$138,10,FALSE))</f>
        <v/>
      </c>
      <c r="B257" s="370" t="str">
        <f>IF(E257="","",VLOOKUP('OPĆI DIO'!$C$3,'OPĆI DIO'!$L$6:$U$138,9,FALSE))</f>
        <v/>
      </c>
      <c r="C257" s="371" t="str">
        <f t="shared" si="18"/>
        <v/>
      </c>
      <c r="D257" s="372" t="str">
        <f t="shared" si="19"/>
        <v/>
      </c>
      <c r="E257" s="81"/>
      <c r="F257" s="373" t="str">
        <f t="shared" si="20"/>
        <v/>
      </c>
      <c r="G257" s="359"/>
      <c r="H257" s="359"/>
      <c r="I257" s="359"/>
      <c r="J257" s="81"/>
      <c r="L257" s="73" t="str">
        <f t="shared" si="21"/>
        <v/>
      </c>
      <c r="M257" s="73" t="str">
        <f t="shared" si="22"/>
        <v/>
      </c>
    </row>
    <row r="258" spans="1:13">
      <c r="A258" s="374" t="str">
        <f>IF(E258="","",VLOOKUP('OPĆI DIO'!$C$3,'OPĆI DIO'!$L$6:$U$138,10,FALSE))</f>
        <v/>
      </c>
      <c r="B258" s="370" t="str">
        <f>IF(E258="","",VLOOKUP('OPĆI DIO'!$C$3,'OPĆI DIO'!$L$6:$U$138,9,FALSE))</f>
        <v/>
      </c>
      <c r="C258" s="371" t="str">
        <f t="shared" si="18"/>
        <v/>
      </c>
      <c r="D258" s="372" t="str">
        <f t="shared" si="19"/>
        <v/>
      </c>
      <c r="E258" s="81"/>
      <c r="F258" s="373" t="str">
        <f t="shared" si="20"/>
        <v/>
      </c>
      <c r="G258" s="359"/>
      <c r="H258" s="359"/>
      <c r="I258" s="359"/>
      <c r="J258" s="81"/>
      <c r="L258" s="73" t="str">
        <f t="shared" si="21"/>
        <v/>
      </c>
      <c r="M258" s="73" t="str">
        <f t="shared" si="22"/>
        <v/>
      </c>
    </row>
    <row r="259" spans="1:13">
      <c r="A259" s="374" t="str">
        <f>IF(E259="","",VLOOKUP('OPĆI DIO'!$C$3,'OPĆI DIO'!$L$6:$U$138,10,FALSE))</f>
        <v/>
      </c>
      <c r="B259" s="370" t="str">
        <f>IF(E259="","",VLOOKUP('OPĆI DIO'!$C$3,'OPĆI DIO'!$L$6:$U$138,9,FALSE))</f>
        <v/>
      </c>
      <c r="C259" s="371" t="str">
        <f t="shared" ref="C259:C264" si="23">IFERROR(VLOOKUP(E259,$R$6:$U$113,3,FALSE),"")</f>
        <v/>
      </c>
      <c r="D259" s="372" t="str">
        <f t="shared" ref="D259:D264" si="24">IFERROR(VLOOKUP(E259,$R$6:$U$113,4,FALSE),"")</f>
        <v/>
      </c>
      <c r="E259" s="81"/>
      <c r="F259" s="373" t="str">
        <f t="shared" ref="F259:F322" si="25">IFERROR(VLOOKUP(E259,$R$6:$U$113,2,FALSE),"")</f>
        <v/>
      </c>
      <c r="G259" s="359"/>
      <c r="H259" s="359"/>
      <c r="I259" s="359"/>
      <c r="J259" s="81"/>
      <c r="L259" s="73" t="str">
        <f t="shared" si="21"/>
        <v/>
      </c>
      <c r="M259" s="73" t="str">
        <f t="shared" si="22"/>
        <v/>
      </c>
    </row>
    <row r="260" spans="1:13">
      <c r="A260" s="374" t="str">
        <f>IF(E260="","",VLOOKUP('OPĆI DIO'!$C$3,'OPĆI DIO'!$L$6:$U$138,10,FALSE))</f>
        <v/>
      </c>
      <c r="B260" s="370" t="str">
        <f>IF(E260="","",VLOOKUP('OPĆI DIO'!$C$3,'OPĆI DIO'!$L$6:$U$138,9,FALSE))</f>
        <v/>
      </c>
      <c r="C260" s="371" t="str">
        <f t="shared" si="23"/>
        <v/>
      </c>
      <c r="D260" s="372" t="str">
        <f t="shared" si="24"/>
        <v/>
      </c>
      <c r="E260" s="81"/>
      <c r="F260" s="373" t="str">
        <f t="shared" si="25"/>
        <v/>
      </c>
      <c r="G260" s="359"/>
      <c r="H260" s="359"/>
      <c r="I260" s="359"/>
      <c r="J260" s="81"/>
      <c r="L260" s="73" t="str">
        <f t="shared" ref="L260:L323" si="26">LEFT(E260,2)</f>
        <v/>
      </c>
      <c r="M260" s="73" t="str">
        <f t="shared" ref="M260:M323" si="27">LEFT(E260,3)</f>
        <v/>
      </c>
    </row>
    <row r="261" spans="1:13">
      <c r="A261" s="374" t="str">
        <f>IF(E261="","",VLOOKUP('OPĆI DIO'!$C$3,'OPĆI DIO'!$L$6:$U$138,10,FALSE))</f>
        <v/>
      </c>
      <c r="B261" s="370" t="str">
        <f>IF(E261="","",VLOOKUP('OPĆI DIO'!$C$3,'OPĆI DIO'!$L$6:$U$138,9,FALSE))</f>
        <v/>
      </c>
      <c r="C261" s="371" t="str">
        <f t="shared" si="23"/>
        <v/>
      </c>
      <c r="D261" s="372" t="str">
        <f t="shared" si="24"/>
        <v/>
      </c>
      <c r="E261" s="81"/>
      <c r="F261" s="373" t="str">
        <f t="shared" si="25"/>
        <v/>
      </c>
      <c r="G261" s="359"/>
      <c r="H261" s="359"/>
      <c r="I261" s="359"/>
      <c r="J261" s="81"/>
      <c r="L261" s="73" t="str">
        <f t="shared" si="26"/>
        <v/>
      </c>
      <c r="M261" s="73" t="str">
        <f t="shared" si="27"/>
        <v/>
      </c>
    </row>
    <row r="262" spans="1:13">
      <c r="A262" s="374" t="str">
        <f>IF(E262="","",VLOOKUP('OPĆI DIO'!$C$3,'OPĆI DIO'!$L$6:$U$138,10,FALSE))</f>
        <v/>
      </c>
      <c r="B262" s="370" t="str">
        <f>IF(E262="","",VLOOKUP('OPĆI DIO'!$C$3,'OPĆI DIO'!$L$6:$U$138,9,FALSE))</f>
        <v/>
      </c>
      <c r="C262" s="371" t="str">
        <f t="shared" si="23"/>
        <v/>
      </c>
      <c r="D262" s="372" t="str">
        <f t="shared" si="24"/>
        <v/>
      </c>
      <c r="E262" s="81"/>
      <c r="F262" s="373" t="str">
        <f t="shared" si="25"/>
        <v/>
      </c>
      <c r="G262" s="359"/>
      <c r="H262" s="359"/>
      <c r="I262" s="359"/>
      <c r="J262" s="81"/>
      <c r="L262" s="73" t="str">
        <f t="shared" si="26"/>
        <v/>
      </c>
      <c r="M262" s="73" t="str">
        <f t="shared" si="27"/>
        <v/>
      </c>
    </row>
    <row r="263" spans="1:13">
      <c r="A263" s="374" t="str">
        <f>IF(E263="","",VLOOKUP('OPĆI DIO'!$C$3,'OPĆI DIO'!$L$6:$U$138,10,FALSE))</f>
        <v/>
      </c>
      <c r="B263" s="370" t="str">
        <f>IF(E263="","",VLOOKUP('OPĆI DIO'!$C$3,'OPĆI DIO'!$L$6:$U$138,9,FALSE))</f>
        <v/>
      </c>
      <c r="C263" s="371" t="str">
        <f t="shared" si="23"/>
        <v/>
      </c>
      <c r="D263" s="372" t="str">
        <f t="shared" si="24"/>
        <v/>
      </c>
      <c r="E263" s="81"/>
      <c r="F263" s="373" t="str">
        <f t="shared" si="25"/>
        <v/>
      </c>
      <c r="G263" s="359"/>
      <c r="H263" s="359"/>
      <c r="I263" s="359"/>
      <c r="J263" s="81"/>
      <c r="L263" s="73" t="str">
        <f t="shared" si="26"/>
        <v/>
      </c>
      <c r="M263" s="73" t="str">
        <f t="shared" si="27"/>
        <v/>
      </c>
    </row>
    <row r="264" spans="1:13">
      <c r="A264" s="374" t="str">
        <f>IF(E264="","",VLOOKUP('OPĆI DIO'!$C$3,'OPĆI DIO'!$L$6:$U$138,10,FALSE))</f>
        <v/>
      </c>
      <c r="B264" s="370" t="str">
        <f>IF(E264="","",VLOOKUP('OPĆI DIO'!$C$3,'OPĆI DIO'!$L$6:$U$138,9,FALSE))</f>
        <v/>
      </c>
      <c r="C264" s="371" t="str">
        <f t="shared" si="23"/>
        <v/>
      </c>
      <c r="D264" s="372" t="str">
        <f t="shared" si="24"/>
        <v/>
      </c>
      <c r="E264" s="81"/>
      <c r="F264" s="373" t="str">
        <f t="shared" si="25"/>
        <v/>
      </c>
      <c r="G264" s="359"/>
      <c r="H264" s="359"/>
      <c r="I264" s="359"/>
      <c r="J264" s="81"/>
      <c r="L264" s="73" t="str">
        <f t="shared" si="26"/>
        <v/>
      </c>
      <c r="M264" s="73" t="str">
        <f t="shared" si="27"/>
        <v/>
      </c>
    </row>
    <row r="265" spans="1:13">
      <c r="A265" s="374"/>
      <c r="B265" s="370"/>
      <c r="C265" s="371"/>
      <c r="D265" s="372"/>
      <c r="E265" s="81"/>
      <c r="F265" s="373" t="str">
        <f t="shared" si="25"/>
        <v/>
      </c>
      <c r="G265" s="359"/>
      <c r="H265" s="359"/>
      <c r="I265" s="359"/>
      <c r="J265" s="81"/>
      <c r="L265" s="73" t="str">
        <f t="shared" si="26"/>
        <v/>
      </c>
      <c r="M265" s="73" t="str">
        <f t="shared" si="27"/>
        <v/>
      </c>
    </row>
    <row r="266" spans="1:13">
      <c r="A266" s="374" t="str">
        <f>IF(E266="","",VLOOKUP('OPĆI DIO'!$C$3,'OPĆI DIO'!$L$6:$U$138,10,FALSE))</f>
        <v/>
      </c>
      <c r="B266" s="370" t="str">
        <f>IF(E266="","",VLOOKUP('OPĆI DIO'!$C$3,'OPĆI DIO'!$L$6:$U$138,9,FALSE))</f>
        <v/>
      </c>
      <c r="C266" s="371" t="str">
        <f t="shared" ref="C266:C329" si="28">IFERROR(VLOOKUP(E266,$R$6:$U$113,3,FALSE),"")</f>
        <v/>
      </c>
      <c r="D266" s="372" t="str">
        <f t="shared" ref="D266:D329" si="29">IFERROR(VLOOKUP(E266,$R$6:$U$113,4,FALSE),"")</f>
        <v/>
      </c>
      <c r="E266" s="81"/>
      <c r="F266" s="373" t="str">
        <f t="shared" si="25"/>
        <v/>
      </c>
      <c r="G266" s="359"/>
      <c r="H266" s="359"/>
      <c r="I266" s="359"/>
      <c r="J266" s="81"/>
      <c r="L266" s="73" t="str">
        <f t="shared" si="26"/>
        <v/>
      </c>
      <c r="M266" s="73" t="str">
        <f t="shared" si="27"/>
        <v/>
      </c>
    </row>
    <row r="267" spans="1:13">
      <c r="A267" s="374" t="str">
        <f>IF(E267="","",VLOOKUP('OPĆI DIO'!$C$3,'OPĆI DIO'!$L$6:$U$138,10,FALSE))</f>
        <v/>
      </c>
      <c r="B267" s="370" t="str">
        <f>IF(E267="","",VLOOKUP('OPĆI DIO'!$C$3,'OPĆI DIO'!$L$6:$U$138,9,FALSE))</f>
        <v/>
      </c>
      <c r="C267" s="371" t="str">
        <f t="shared" si="28"/>
        <v/>
      </c>
      <c r="D267" s="372" t="str">
        <f t="shared" si="29"/>
        <v/>
      </c>
      <c r="E267" s="81"/>
      <c r="F267" s="373" t="str">
        <f t="shared" si="25"/>
        <v/>
      </c>
      <c r="G267" s="359"/>
      <c r="H267" s="359"/>
      <c r="I267" s="359"/>
      <c r="J267" s="81"/>
      <c r="L267" s="73" t="str">
        <f t="shared" si="26"/>
        <v/>
      </c>
      <c r="M267" s="73" t="str">
        <f t="shared" si="27"/>
        <v/>
      </c>
    </row>
    <row r="268" spans="1:13">
      <c r="A268" s="374" t="str">
        <f>IF(E268="","",VLOOKUP('OPĆI DIO'!$C$3,'OPĆI DIO'!$L$6:$U$138,10,FALSE))</f>
        <v/>
      </c>
      <c r="B268" s="370" t="str">
        <f>IF(E268="","",VLOOKUP('OPĆI DIO'!$C$3,'OPĆI DIO'!$L$6:$U$138,9,FALSE))</f>
        <v/>
      </c>
      <c r="C268" s="371" t="str">
        <f t="shared" si="28"/>
        <v/>
      </c>
      <c r="D268" s="372" t="str">
        <f t="shared" si="29"/>
        <v/>
      </c>
      <c r="E268" s="81"/>
      <c r="F268" s="373" t="str">
        <f t="shared" si="25"/>
        <v/>
      </c>
      <c r="G268" s="359"/>
      <c r="H268" s="359"/>
      <c r="I268" s="359"/>
      <c r="J268" s="81"/>
      <c r="L268" s="73" t="str">
        <f t="shared" si="26"/>
        <v/>
      </c>
      <c r="M268" s="73" t="str">
        <f t="shared" si="27"/>
        <v/>
      </c>
    </row>
    <row r="269" spans="1:13">
      <c r="A269" s="374" t="str">
        <f>IF(E269="","",VLOOKUP('OPĆI DIO'!$C$3,'OPĆI DIO'!$L$6:$U$138,10,FALSE))</f>
        <v/>
      </c>
      <c r="B269" s="370" t="str">
        <f>IF(E269="","",VLOOKUP('OPĆI DIO'!$C$3,'OPĆI DIO'!$L$6:$U$138,9,FALSE))</f>
        <v/>
      </c>
      <c r="C269" s="371" t="str">
        <f t="shared" si="28"/>
        <v/>
      </c>
      <c r="D269" s="372" t="str">
        <f t="shared" si="29"/>
        <v/>
      </c>
      <c r="E269" s="81"/>
      <c r="F269" s="373" t="str">
        <f t="shared" si="25"/>
        <v/>
      </c>
      <c r="G269" s="359"/>
      <c r="H269" s="359"/>
      <c r="I269" s="359"/>
      <c r="J269" s="81"/>
      <c r="L269" s="73" t="str">
        <f t="shared" si="26"/>
        <v/>
      </c>
      <c r="M269" s="73" t="str">
        <f t="shared" si="27"/>
        <v/>
      </c>
    </row>
    <row r="270" spans="1:13">
      <c r="A270" s="374" t="str">
        <f>IF(E270="","",VLOOKUP('OPĆI DIO'!$C$3,'OPĆI DIO'!$L$6:$U$138,10,FALSE))</f>
        <v/>
      </c>
      <c r="B270" s="370" t="str">
        <f>IF(E270="","",VLOOKUP('OPĆI DIO'!$C$3,'OPĆI DIO'!$L$6:$U$138,9,FALSE))</f>
        <v/>
      </c>
      <c r="C270" s="371" t="str">
        <f t="shared" si="28"/>
        <v/>
      </c>
      <c r="D270" s="372" t="str">
        <f t="shared" si="29"/>
        <v/>
      </c>
      <c r="E270" s="81"/>
      <c r="F270" s="373" t="str">
        <f t="shared" si="25"/>
        <v/>
      </c>
      <c r="G270" s="359"/>
      <c r="H270" s="359"/>
      <c r="I270" s="359"/>
      <c r="J270" s="81"/>
      <c r="L270" s="73" t="str">
        <f t="shared" si="26"/>
        <v/>
      </c>
      <c r="M270" s="73" t="str">
        <f t="shared" si="27"/>
        <v/>
      </c>
    </row>
    <row r="271" spans="1:13">
      <c r="A271" s="374" t="str">
        <f>IF(E271="","",VLOOKUP('OPĆI DIO'!$C$3,'OPĆI DIO'!$L$6:$U$138,10,FALSE))</f>
        <v/>
      </c>
      <c r="B271" s="370" t="str">
        <f>IF(E271="","",VLOOKUP('OPĆI DIO'!$C$3,'OPĆI DIO'!$L$6:$U$138,9,FALSE))</f>
        <v/>
      </c>
      <c r="C271" s="371" t="str">
        <f t="shared" si="28"/>
        <v/>
      </c>
      <c r="D271" s="372" t="str">
        <f t="shared" si="29"/>
        <v/>
      </c>
      <c r="E271" s="81"/>
      <c r="F271" s="373" t="str">
        <f t="shared" si="25"/>
        <v/>
      </c>
      <c r="G271" s="359"/>
      <c r="H271" s="359"/>
      <c r="I271" s="359"/>
      <c r="J271" s="81"/>
      <c r="L271" s="73" t="str">
        <f t="shared" si="26"/>
        <v/>
      </c>
      <c r="M271" s="73" t="str">
        <f t="shared" si="27"/>
        <v/>
      </c>
    </row>
    <row r="272" spans="1:13">
      <c r="A272" s="374" t="str">
        <f>IF(E272="","",VLOOKUP('OPĆI DIO'!$C$3,'OPĆI DIO'!$L$6:$U$138,10,FALSE))</f>
        <v/>
      </c>
      <c r="B272" s="370" t="str">
        <f>IF(E272="","",VLOOKUP('OPĆI DIO'!$C$3,'OPĆI DIO'!$L$6:$U$138,9,FALSE))</f>
        <v/>
      </c>
      <c r="C272" s="371" t="str">
        <f t="shared" si="28"/>
        <v/>
      </c>
      <c r="D272" s="372" t="str">
        <f t="shared" si="29"/>
        <v/>
      </c>
      <c r="E272" s="81"/>
      <c r="F272" s="373" t="str">
        <f t="shared" si="25"/>
        <v/>
      </c>
      <c r="G272" s="359"/>
      <c r="H272" s="359"/>
      <c r="I272" s="359"/>
      <c r="J272" s="81"/>
      <c r="L272" s="73" t="str">
        <f t="shared" si="26"/>
        <v/>
      </c>
      <c r="M272" s="73" t="str">
        <f t="shared" si="27"/>
        <v/>
      </c>
    </row>
    <row r="273" spans="1:13">
      <c r="A273" s="374" t="str">
        <f>IF(E273="","",VLOOKUP('OPĆI DIO'!$C$3,'OPĆI DIO'!$L$6:$U$138,10,FALSE))</f>
        <v/>
      </c>
      <c r="B273" s="370" t="str">
        <f>IF(E273="","",VLOOKUP('OPĆI DIO'!$C$3,'OPĆI DIO'!$L$6:$U$138,9,FALSE))</f>
        <v/>
      </c>
      <c r="C273" s="371" t="str">
        <f t="shared" si="28"/>
        <v/>
      </c>
      <c r="D273" s="372" t="str">
        <f t="shared" si="29"/>
        <v/>
      </c>
      <c r="E273" s="81"/>
      <c r="F273" s="373" t="str">
        <f t="shared" si="25"/>
        <v/>
      </c>
      <c r="G273" s="359"/>
      <c r="H273" s="359"/>
      <c r="I273" s="359"/>
      <c r="J273" s="81"/>
      <c r="L273" s="73" t="str">
        <f t="shared" si="26"/>
        <v/>
      </c>
      <c r="M273" s="73" t="str">
        <f t="shared" si="27"/>
        <v/>
      </c>
    </row>
    <row r="274" spans="1:13">
      <c r="A274" s="374" t="str">
        <f>IF(E274="","",VLOOKUP('OPĆI DIO'!$C$3,'OPĆI DIO'!$L$6:$U$138,10,FALSE))</f>
        <v/>
      </c>
      <c r="B274" s="370" t="str">
        <f>IF(E274="","",VLOOKUP('OPĆI DIO'!$C$3,'OPĆI DIO'!$L$6:$U$138,9,FALSE))</f>
        <v/>
      </c>
      <c r="C274" s="371" t="str">
        <f t="shared" si="28"/>
        <v/>
      </c>
      <c r="D274" s="372" t="str">
        <f t="shared" si="29"/>
        <v/>
      </c>
      <c r="E274" s="81"/>
      <c r="F274" s="373" t="str">
        <f t="shared" si="25"/>
        <v/>
      </c>
      <c r="G274" s="359"/>
      <c r="H274" s="359"/>
      <c r="I274" s="359"/>
      <c r="J274" s="81"/>
      <c r="L274" s="73" t="str">
        <f t="shared" si="26"/>
        <v/>
      </c>
      <c r="M274" s="73" t="str">
        <f t="shared" si="27"/>
        <v/>
      </c>
    </row>
    <row r="275" spans="1:13">
      <c r="A275" s="374" t="str">
        <f>IF(E275="","",VLOOKUP('OPĆI DIO'!$C$3,'OPĆI DIO'!$L$6:$U$138,10,FALSE))</f>
        <v/>
      </c>
      <c r="B275" s="370" t="str">
        <f>IF(E275="","",VLOOKUP('OPĆI DIO'!$C$3,'OPĆI DIO'!$L$6:$U$138,9,FALSE))</f>
        <v/>
      </c>
      <c r="C275" s="371" t="str">
        <f t="shared" si="28"/>
        <v/>
      </c>
      <c r="D275" s="372" t="str">
        <f t="shared" si="29"/>
        <v/>
      </c>
      <c r="E275" s="81"/>
      <c r="F275" s="373" t="str">
        <f t="shared" si="25"/>
        <v/>
      </c>
      <c r="G275" s="359"/>
      <c r="H275" s="359"/>
      <c r="I275" s="359"/>
      <c r="J275" s="81"/>
      <c r="L275" s="73" t="str">
        <f t="shared" si="26"/>
        <v/>
      </c>
      <c r="M275" s="73" t="str">
        <f t="shared" si="27"/>
        <v/>
      </c>
    </row>
    <row r="276" spans="1:13">
      <c r="A276" s="374" t="str">
        <f>IF(E276="","",VLOOKUP('OPĆI DIO'!$C$3,'OPĆI DIO'!$L$6:$U$138,10,FALSE))</f>
        <v/>
      </c>
      <c r="B276" s="370" t="str">
        <f>IF(E276="","",VLOOKUP('OPĆI DIO'!$C$3,'OPĆI DIO'!$L$6:$U$138,9,FALSE))</f>
        <v/>
      </c>
      <c r="C276" s="371" t="str">
        <f t="shared" si="28"/>
        <v/>
      </c>
      <c r="D276" s="372" t="str">
        <f t="shared" si="29"/>
        <v/>
      </c>
      <c r="E276" s="81"/>
      <c r="F276" s="373" t="str">
        <f t="shared" si="25"/>
        <v/>
      </c>
      <c r="G276" s="359"/>
      <c r="H276" s="359"/>
      <c r="I276" s="359"/>
      <c r="J276" s="81"/>
      <c r="L276" s="73" t="str">
        <f t="shared" si="26"/>
        <v/>
      </c>
      <c r="M276" s="73" t="str">
        <f t="shared" si="27"/>
        <v/>
      </c>
    </row>
    <row r="277" spans="1:13">
      <c r="A277" s="374" t="str">
        <f>IF(E277="","",VLOOKUP('OPĆI DIO'!$C$3,'OPĆI DIO'!$L$6:$U$138,10,FALSE))</f>
        <v/>
      </c>
      <c r="B277" s="370" t="str">
        <f>IF(E277="","",VLOOKUP('OPĆI DIO'!$C$3,'OPĆI DIO'!$L$6:$U$138,9,FALSE))</f>
        <v/>
      </c>
      <c r="C277" s="371" t="str">
        <f t="shared" si="28"/>
        <v/>
      </c>
      <c r="D277" s="372" t="str">
        <f t="shared" si="29"/>
        <v/>
      </c>
      <c r="E277" s="81"/>
      <c r="F277" s="373" t="str">
        <f t="shared" si="25"/>
        <v/>
      </c>
      <c r="G277" s="359"/>
      <c r="H277" s="359"/>
      <c r="I277" s="359"/>
      <c r="J277" s="81"/>
      <c r="L277" s="73" t="str">
        <f t="shared" si="26"/>
        <v/>
      </c>
      <c r="M277" s="73" t="str">
        <f t="shared" si="27"/>
        <v/>
      </c>
    </row>
    <row r="278" spans="1:13">
      <c r="A278" s="374" t="str">
        <f>IF(E278="","",VLOOKUP('OPĆI DIO'!$C$3,'OPĆI DIO'!$L$6:$U$138,10,FALSE))</f>
        <v/>
      </c>
      <c r="B278" s="370" t="str">
        <f>IF(E278="","",VLOOKUP('OPĆI DIO'!$C$3,'OPĆI DIO'!$L$6:$U$138,9,FALSE))</f>
        <v/>
      </c>
      <c r="C278" s="371" t="str">
        <f t="shared" si="28"/>
        <v/>
      </c>
      <c r="D278" s="372" t="str">
        <f t="shared" si="29"/>
        <v/>
      </c>
      <c r="E278" s="81"/>
      <c r="F278" s="373" t="str">
        <f t="shared" si="25"/>
        <v/>
      </c>
      <c r="G278" s="359"/>
      <c r="H278" s="359"/>
      <c r="I278" s="359"/>
      <c r="J278" s="81"/>
      <c r="L278" s="73" t="str">
        <f t="shared" si="26"/>
        <v/>
      </c>
      <c r="M278" s="73" t="str">
        <f t="shared" si="27"/>
        <v/>
      </c>
    </row>
    <row r="279" spans="1:13">
      <c r="A279" s="374" t="str">
        <f>IF(E279="","",VLOOKUP('OPĆI DIO'!$C$3,'OPĆI DIO'!$L$6:$U$138,10,FALSE))</f>
        <v/>
      </c>
      <c r="B279" s="370" t="str">
        <f>IF(E279="","",VLOOKUP('OPĆI DIO'!$C$3,'OPĆI DIO'!$L$6:$U$138,9,FALSE))</f>
        <v/>
      </c>
      <c r="C279" s="371" t="str">
        <f t="shared" si="28"/>
        <v/>
      </c>
      <c r="D279" s="372" t="str">
        <f t="shared" si="29"/>
        <v/>
      </c>
      <c r="E279" s="81"/>
      <c r="F279" s="373" t="str">
        <f t="shared" si="25"/>
        <v/>
      </c>
      <c r="G279" s="359"/>
      <c r="H279" s="359"/>
      <c r="I279" s="359"/>
      <c r="J279" s="81"/>
      <c r="L279" s="73" t="str">
        <f t="shared" si="26"/>
        <v/>
      </c>
      <c r="M279" s="73" t="str">
        <f t="shared" si="27"/>
        <v/>
      </c>
    </row>
    <row r="280" spans="1:13">
      <c r="A280" s="374" t="str">
        <f>IF(E280="","",VLOOKUP('OPĆI DIO'!$C$3,'OPĆI DIO'!$L$6:$U$138,10,FALSE))</f>
        <v/>
      </c>
      <c r="B280" s="370" t="str">
        <f>IF(E280="","",VLOOKUP('OPĆI DIO'!$C$3,'OPĆI DIO'!$L$6:$U$138,9,FALSE))</f>
        <v/>
      </c>
      <c r="C280" s="371" t="str">
        <f t="shared" si="28"/>
        <v/>
      </c>
      <c r="D280" s="372" t="str">
        <f t="shared" si="29"/>
        <v/>
      </c>
      <c r="E280" s="81"/>
      <c r="F280" s="373" t="str">
        <f t="shared" si="25"/>
        <v/>
      </c>
      <c r="G280" s="359"/>
      <c r="H280" s="359"/>
      <c r="I280" s="359"/>
      <c r="J280" s="81"/>
      <c r="L280" s="73" t="str">
        <f t="shared" si="26"/>
        <v/>
      </c>
      <c r="M280" s="73" t="str">
        <f t="shared" si="27"/>
        <v/>
      </c>
    </row>
    <row r="281" spans="1:13">
      <c r="A281" s="374" t="str">
        <f>IF(E281="","",VLOOKUP('OPĆI DIO'!$C$3,'OPĆI DIO'!$L$6:$U$138,10,FALSE))</f>
        <v/>
      </c>
      <c r="B281" s="370" t="str">
        <f>IF(E281="","",VLOOKUP('OPĆI DIO'!$C$3,'OPĆI DIO'!$L$6:$U$138,9,FALSE))</f>
        <v/>
      </c>
      <c r="C281" s="371" t="str">
        <f t="shared" si="28"/>
        <v/>
      </c>
      <c r="D281" s="372" t="str">
        <f t="shared" si="29"/>
        <v/>
      </c>
      <c r="E281" s="81"/>
      <c r="F281" s="373" t="str">
        <f t="shared" si="25"/>
        <v/>
      </c>
      <c r="G281" s="359"/>
      <c r="H281" s="359"/>
      <c r="I281" s="359"/>
      <c r="J281" s="81"/>
      <c r="L281" s="73" t="str">
        <f t="shared" si="26"/>
        <v/>
      </c>
      <c r="M281" s="73" t="str">
        <f t="shared" si="27"/>
        <v/>
      </c>
    </row>
    <row r="282" spans="1:13">
      <c r="A282" s="374" t="str">
        <f>IF(E282="","",VLOOKUP('OPĆI DIO'!$C$3,'OPĆI DIO'!$L$6:$U$138,10,FALSE))</f>
        <v/>
      </c>
      <c r="B282" s="370" t="str">
        <f>IF(E282="","",VLOOKUP('OPĆI DIO'!$C$3,'OPĆI DIO'!$L$6:$U$138,9,FALSE))</f>
        <v/>
      </c>
      <c r="C282" s="371" t="str">
        <f t="shared" si="28"/>
        <v/>
      </c>
      <c r="D282" s="372" t="str">
        <f t="shared" si="29"/>
        <v/>
      </c>
      <c r="E282" s="81"/>
      <c r="F282" s="373" t="str">
        <f t="shared" si="25"/>
        <v/>
      </c>
      <c r="G282" s="359"/>
      <c r="H282" s="359"/>
      <c r="I282" s="359"/>
      <c r="J282" s="81"/>
      <c r="L282" s="73" t="str">
        <f t="shared" si="26"/>
        <v/>
      </c>
      <c r="M282" s="73" t="str">
        <f t="shared" si="27"/>
        <v/>
      </c>
    </row>
    <row r="283" spans="1:13">
      <c r="A283" s="374" t="str">
        <f>IF(E283="","",VLOOKUP('OPĆI DIO'!$C$3,'OPĆI DIO'!$L$6:$U$138,10,FALSE))</f>
        <v/>
      </c>
      <c r="B283" s="370" t="str">
        <f>IF(E283="","",VLOOKUP('OPĆI DIO'!$C$3,'OPĆI DIO'!$L$6:$U$138,9,FALSE))</f>
        <v/>
      </c>
      <c r="C283" s="371" t="str">
        <f t="shared" si="28"/>
        <v/>
      </c>
      <c r="D283" s="372" t="str">
        <f t="shared" si="29"/>
        <v/>
      </c>
      <c r="E283" s="81"/>
      <c r="F283" s="373" t="str">
        <f t="shared" si="25"/>
        <v/>
      </c>
      <c r="G283" s="359"/>
      <c r="H283" s="359"/>
      <c r="I283" s="359"/>
      <c r="J283" s="81"/>
      <c r="L283" s="73" t="str">
        <f t="shared" si="26"/>
        <v/>
      </c>
      <c r="M283" s="73" t="str">
        <f t="shared" si="27"/>
        <v/>
      </c>
    </row>
    <row r="284" spans="1:13">
      <c r="A284" s="374" t="str">
        <f>IF(E284="","",VLOOKUP('OPĆI DIO'!$C$3,'OPĆI DIO'!$L$6:$U$138,10,FALSE))</f>
        <v/>
      </c>
      <c r="B284" s="370" t="str">
        <f>IF(E284="","",VLOOKUP('OPĆI DIO'!$C$3,'OPĆI DIO'!$L$6:$U$138,9,FALSE))</f>
        <v/>
      </c>
      <c r="C284" s="371" t="str">
        <f t="shared" si="28"/>
        <v/>
      </c>
      <c r="D284" s="372" t="str">
        <f t="shared" si="29"/>
        <v/>
      </c>
      <c r="E284" s="81"/>
      <c r="F284" s="373" t="str">
        <f t="shared" si="25"/>
        <v/>
      </c>
      <c r="G284" s="359"/>
      <c r="H284" s="359"/>
      <c r="I284" s="359"/>
      <c r="J284" s="81"/>
      <c r="L284" s="73" t="str">
        <f t="shared" si="26"/>
        <v/>
      </c>
      <c r="M284" s="73" t="str">
        <f t="shared" si="27"/>
        <v/>
      </c>
    </row>
    <row r="285" spans="1:13">
      <c r="A285" s="374" t="str">
        <f>IF(E285="","",VLOOKUP('OPĆI DIO'!$C$3,'OPĆI DIO'!$L$6:$U$138,10,FALSE))</f>
        <v/>
      </c>
      <c r="B285" s="370" t="str">
        <f>IF(E285="","",VLOOKUP('OPĆI DIO'!$C$3,'OPĆI DIO'!$L$6:$U$138,9,FALSE))</f>
        <v/>
      </c>
      <c r="C285" s="371" t="str">
        <f t="shared" si="28"/>
        <v/>
      </c>
      <c r="D285" s="372" t="str">
        <f t="shared" si="29"/>
        <v/>
      </c>
      <c r="E285" s="81"/>
      <c r="F285" s="373" t="str">
        <f t="shared" si="25"/>
        <v/>
      </c>
      <c r="G285" s="359"/>
      <c r="H285" s="359"/>
      <c r="I285" s="359"/>
      <c r="J285" s="81"/>
      <c r="L285" s="73" t="str">
        <f t="shared" si="26"/>
        <v/>
      </c>
      <c r="M285" s="73" t="str">
        <f t="shared" si="27"/>
        <v/>
      </c>
    </row>
    <row r="286" spans="1:13">
      <c r="A286" s="374" t="str">
        <f>IF(E286="","",VLOOKUP('OPĆI DIO'!$C$3,'OPĆI DIO'!$L$6:$U$138,10,FALSE))</f>
        <v/>
      </c>
      <c r="B286" s="370" t="str">
        <f>IF(E286="","",VLOOKUP('OPĆI DIO'!$C$3,'OPĆI DIO'!$L$6:$U$138,9,FALSE))</f>
        <v/>
      </c>
      <c r="C286" s="371" t="str">
        <f t="shared" si="28"/>
        <v/>
      </c>
      <c r="D286" s="372" t="str">
        <f t="shared" si="29"/>
        <v/>
      </c>
      <c r="E286" s="81"/>
      <c r="F286" s="373" t="str">
        <f t="shared" si="25"/>
        <v/>
      </c>
      <c r="G286" s="359"/>
      <c r="H286" s="359"/>
      <c r="I286" s="359"/>
      <c r="J286" s="81"/>
      <c r="L286" s="73" t="str">
        <f t="shared" si="26"/>
        <v/>
      </c>
      <c r="M286" s="73" t="str">
        <f t="shared" si="27"/>
        <v/>
      </c>
    </row>
    <row r="287" spans="1:13">
      <c r="A287" s="374" t="str">
        <f>IF(E287="","",VLOOKUP('OPĆI DIO'!$C$3,'OPĆI DIO'!$L$6:$U$138,10,FALSE))</f>
        <v/>
      </c>
      <c r="B287" s="370" t="str">
        <f>IF(E287="","",VLOOKUP('OPĆI DIO'!$C$3,'OPĆI DIO'!$L$6:$U$138,9,FALSE))</f>
        <v/>
      </c>
      <c r="C287" s="371" t="str">
        <f t="shared" si="28"/>
        <v/>
      </c>
      <c r="D287" s="372" t="str">
        <f t="shared" si="29"/>
        <v/>
      </c>
      <c r="E287" s="81"/>
      <c r="F287" s="373" t="str">
        <f t="shared" si="25"/>
        <v/>
      </c>
      <c r="G287" s="359"/>
      <c r="H287" s="359"/>
      <c r="I287" s="359"/>
      <c r="J287" s="81"/>
      <c r="L287" s="73" t="str">
        <f t="shared" si="26"/>
        <v/>
      </c>
      <c r="M287" s="73" t="str">
        <f t="shared" si="27"/>
        <v/>
      </c>
    </row>
    <row r="288" spans="1:13">
      <c r="A288" s="374" t="str">
        <f>IF(E288="","",VLOOKUP('OPĆI DIO'!$C$3,'OPĆI DIO'!$L$6:$U$138,10,FALSE))</f>
        <v/>
      </c>
      <c r="B288" s="370" t="str">
        <f>IF(E288="","",VLOOKUP('OPĆI DIO'!$C$3,'OPĆI DIO'!$L$6:$U$138,9,FALSE))</f>
        <v/>
      </c>
      <c r="C288" s="371" t="str">
        <f t="shared" si="28"/>
        <v/>
      </c>
      <c r="D288" s="372" t="str">
        <f t="shared" si="29"/>
        <v/>
      </c>
      <c r="E288" s="81"/>
      <c r="F288" s="373" t="str">
        <f t="shared" si="25"/>
        <v/>
      </c>
      <c r="G288" s="359"/>
      <c r="H288" s="359"/>
      <c r="I288" s="359"/>
      <c r="J288" s="81"/>
      <c r="L288" s="73" t="str">
        <f t="shared" si="26"/>
        <v/>
      </c>
      <c r="M288" s="73" t="str">
        <f t="shared" si="27"/>
        <v/>
      </c>
    </row>
    <row r="289" spans="1:13">
      <c r="A289" s="374" t="str">
        <f>IF(E289="","",VLOOKUP('OPĆI DIO'!$C$3,'OPĆI DIO'!$L$6:$U$138,10,FALSE))</f>
        <v/>
      </c>
      <c r="B289" s="370" t="str">
        <f>IF(E289="","",VLOOKUP('OPĆI DIO'!$C$3,'OPĆI DIO'!$L$6:$U$138,9,FALSE))</f>
        <v/>
      </c>
      <c r="C289" s="371" t="str">
        <f t="shared" si="28"/>
        <v/>
      </c>
      <c r="D289" s="372" t="str">
        <f t="shared" si="29"/>
        <v/>
      </c>
      <c r="E289" s="81"/>
      <c r="F289" s="373" t="str">
        <f t="shared" si="25"/>
        <v/>
      </c>
      <c r="G289" s="359"/>
      <c r="H289" s="359"/>
      <c r="I289" s="359"/>
      <c r="J289" s="81"/>
      <c r="L289" s="73" t="str">
        <f t="shared" si="26"/>
        <v/>
      </c>
      <c r="M289" s="73" t="str">
        <f t="shared" si="27"/>
        <v/>
      </c>
    </row>
    <row r="290" spans="1:13">
      <c r="A290" s="374" t="str">
        <f>IF(E290="","",VLOOKUP('OPĆI DIO'!$C$3,'OPĆI DIO'!$L$6:$U$138,10,FALSE))</f>
        <v/>
      </c>
      <c r="B290" s="370" t="str">
        <f>IF(E290="","",VLOOKUP('OPĆI DIO'!$C$3,'OPĆI DIO'!$L$6:$U$138,9,FALSE))</f>
        <v/>
      </c>
      <c r="C290" s="371" t="str">
        <f t="shared" si="28"/>
        <v/>
      </c>
      <c r="D290" s="372" t="str">
        <f t="shared" si="29"/>
        <v/>
      </c>
      <c r="E290" s="81"/>
      <c r="F290" s="373" t="str">
        <f t="shared" si="25"/>
        <v/>
      </c>
      <c r="G290" s="359"/>
      <c r="H290" s="359"/>
      <c r="I290" s="359"/>
      <c r="J290" s="81"/>
      <c r="L290" s="73" t="str">
        <f t="shared" si="26"/>
        <v/>
      </c>
      <c r="M290" s="73" t="str">
        <f t="shared" si="27"/>
        <v/>
      </c>
    </row>
    <row r="291" spans="1:13">
      <c r="A291" s="374" t="str">
        <f>IF(E291="","",VLOOKUP('OPĆI DIO'!$C$3,'OPĆI DIO'!$L$6:$U$138,10,FALSE))</f>
        <v/>
      </c>
      <c r="B291" s="370" t="str">
        <f>IF(E291="","",VLOOKUP('OPĆI DIO'!$C$3,'OPĆI DIO'!$L$6:$U$138,9,FALSE))</f>
        <v/>
      </c>
      <c r="C291" s="371" t="str">
        <f t="shared" si="28"/>
        <v/>
      </c>
      <c r="D291" s="372" t="str">
        <f t="shared" si="29"/>
        <v/>
      </c>
      <c r="E291" s="81"/>
      <c r="F291" s="373" t="str">
        <f t="shared" si="25"/>
        <v/>
      </c>
      <c r="G291" s="359"/>
      <c r="H291" s="359"/>
      <c r="I291" s="359"/>
      <c r="J291" s="81"/>
      <c r="L291" s="73" t="str">
        <f t="shared" si="26"/>
        <v/>
      </c>
      <c r="M291" s="73" t="str">
        <f t="shared" si="27"/>
        <v/>
      </c>
    </row>
    <row r="292" spans="1:13">
      <c r="A292" s="374" t="str">
        <f>IF(E292="","",VLOOKUP('OPĆI DIO'!$C$3,'OPĆI DIO'!$L$6:$U$138,10,FALSE))</f>
        <v/>
      </c>
      <c r="B292" s="370" t="str">
        <f>IF(E292="","",VLOOKUP('OPĆI DIO'!$C$3,'OPĆI DIO'!$L$6:$U$138,9,FALSE))</f>
        <v/>
      </c>
      <c r="C292" s="371" t="str">
        <f t="shared" si="28"/>
        <v/>
      </c>
      <c r="D292" s="372" t="str">
        <f t="shared" si="29"/>
        <v/>
      </c>
      <c r="E292" s="81"/>
      <c r="F292" s="373" t="str">
        <f t="shared" si="25"/>
        <v/>
      </c>
      <c r="G292" s="359"/>
      <c r="H292" s="359"/>
      <c r="I292" s="359"/>
      <c r="J292" s="81"/>
      <c r="L292" s="73" t="str">
        <f t="shared" si="26"/>
        <v/>
      </c>
      <c r="M292" s="73" t="str">
        <f t="shared" si="27"/>
        <v/>
      </c>
    </row>
    <row r="293" spans="1:13">
      <c r="A293" s="374" t="str">
        <f>IF(E293="","",VLOOKUP('OPĆI DIO'!$C$3,'OPĆI DIO'!$L$6:$U$138,10,FALSE))</f>
        <v/>
      </c>
      <c r="B293" s="370" t="str">
        <f>IF(E293="","",VLOOKUP('OPĆI DIO'!$C$3,'OPĆI DIO'!$L$6:$U$138,9,FALSE))</f>
        <v/>
      </c>
      <c r="C293" s="371" t="str">
        <f t="shared" si="28"/>
        <v/>
      </c>
      <c r="D293" s="372" t="str">
        <f t="shared" si="29"/>
        <v/>
      </c>
      <c r="E293" s="81"/>
      <c r="F293" s="373" t="str">
        <f t="shared" si="25"/>
        <v/>
      </c>
      <c r="G293" s="359"/>
      <c r="H293" s="359"/>
      <c r="I293" s="359"/>
      <c r="J293" s="81"/>
      <c r="L293" s="73" t="str">
        <f t="shared" si="26"/>
        <v/>
      </c>
      <c r="M293" s="73" t="str">
        <f t="shared" si="27"/>
        <v/>
      </c>
    </row>
    <row r="294" spans="1:13">
      <c r="A294" s="374" t="str">
        <f>IF(E294="","",VLOOKUP('OPĆI DIO'!$C$3,'OPĆI DIO'!$L$6:$U$138,10,FALSE))</f>
        <v/>
      </c>
      <c r="B294" s="370" t="str">
        <f>IF(E294="","",VLOOKUP('OPĆI DIO'!$C$3,'OPĆI DIO'!$L$6:$U$138,9,FALSE))</f>
        <v/>
      </c>
      <c r="C294" s="371" t="str">
        <f t="shared" si="28"/>
        <v/>
      </c>
      <c r="D294" s="372" t="str">
        <f t="shared" si="29"/>
        <v/>
      </c>
      <c r="E294" s="81"/>
      <c r="F294" s="373" t="str">
        <f t="shared" si="25"/>
        <v/>
      </c>
      <c r="G294" s="359"/>
      <c r="H294" s="359"/>
      <c r="I294" s="359"/>
      <c r="J294" s="81"/>
      <c r="L294" s="73" t="str">
        <f t="shared" si="26"/>
        <v/>
      </c>
      <c r="M294" s="73" t="str">
        <f t="shared" si="27"/>
        <v/>
      </c>
    </row>
    <row r="295" spans="1:13">
      <c r="A295" s="374" t="str">
        <f>IF(E295="","",VLOOKUP('OPĆI DIO'!$C$3,'OPĆI DIO'!$L$6:$U$138,10,FALSE))</f>
        <v/>
      </c>
      <c r="B295" s="370" t="str">
        <f>IF(E295="","",VLOOKUP('OPĆI DIO'!$C$3,'OPĆI DIO'!$L$6:$U$138,9,FALSE))</f>
        <v/>
      </c>
      <c r="C295" s="371" t="str">
        <f t="shared" si="28"/>
        <v/>
      </c>
      <c r="D295" s="372" t="str">
        <f t="shared" si="29"/>
        <v/>
      </c>
      <c r="E295" s="81"/>
      <c r="F295" s="373" t="str">
        <f t="shared" si="25"/>
        <v/>
      </c>
      <c r="G295" s="359"/>
      <c r="H295" s="359"/>
      <c r="I295" s="359"/>
      <c r="J295" s="81"/>
      <c r="L295" s="73" t="str">
        <f t="shared" si="26"/>
        <v/>
      </c>
      <c r="M295" s="73" t="str">
        <f t="shared" si="27"/>
        <v/>
      </c>
    </row>
    <row r="296" spans="1:13">
      <c r="A296" s="374" t="str">
        <f>IF(E296="","",VLOOKUP('OPĆI DIO'!$C$3,'OPĆI DIO'!$L$6:$U$138,10,FALSE))</f>
        <v/>
      </c>
      <c r="B296" s="370" t="str">
        <f>IF(E296="","",VLOOKUP('OPĆI DIO'!$C$3,'OPĆI DIO'!$L$6:$U$138,9,FALSE))</f>
        <v/>
      </c>
      <c r="C296" s="371" t="str">
        <f t="shared" si="28"/>
        <v/>
      </c>
      <c r="D296" s="372" t="str">
        <f t="shared" si="29"/>
        <v/>
      </c>
      <c r="E296" s="81"/>
      <c r="F296" s="373" t="str">
        <f t="shared" si="25"/>
        <v/>
      </c>
      <c r="G296" s="359"/>
      <c r="H296" s="359"/>
      <c r="I296" s="359"/>
      <c r="J296" s="81"/>
      <c r="L296" s="73" t="str">
        <f t="shared" si="26"/>
        <v/>
      </c>
      <c r="M296" s="73" t="str">
        <f t="shared" si="27"/>
        <v/>
      </c>
    </row>
    <row r="297" spans="1:13">
      <c r="A297" s="374" t="str">
        <f>IF(E297="","",VLOOKUP('OPĆI DIO'!$C$3,'OPĆI DIO'!$L$6:$U$138,10,FALSE))</f>
        <v/>
      </c>
      <c r="B297" s="370" t="str">
        <f>IF(E297="","",VLOOKUP('OPĆI DIO'!$C$3,'OPĆI DIO'!$L$6:$U$138,9,FALSE))</f>
        <v/>
      </c>
      <c r="C297" s="371" t="str">
        <f t="shared" si="28"/>
        <v/>
      </c>
      <c r="D297" s="372" t="str">
        <f t="shared" si="29"/>
        <v/>
      </c>
      <c r="E297" s="81"/>
      <c r="F297" s="373" t="str">
        <f t="shared" si="25"/>
        <v/>
      </c>
      <c r="G297" s="359"/>
      <c r="H297" s="359"/>
      <c r="I297" s="359"/>
      <c r="J297" s="81"/>
      <c r="L297" s="73" t="str">
        <f t="shared" si="26"/>
        <v/>
      </c>
      <c r="M297" s="73" t="str">
        <f t="shared" si="27"/>
        <v/>
      </c>
    </row>
    <row r="298" spans="1:13">
      <c r="A298" s="374" t="str">
        <f>IF(E298="","",VLOOKUP('OPĆI DIO'!$C$3,'OPĆI DIO'!$L$6:$U$138,10,FALSE))</f>
        <v/>
      </c>
      <c r="B298" s="370" t="str">
        <f>IF(E298="","",VLOOKUP('OPĆI DIO'!$C$3,'OPĆI DIO'!$L$6:$U$138,9,FALSE))</f>
        <v/>
      </c>
      <c r="C298" s="371" t="str">
        <f t="shared" si="28"/>
        <v/>
      </c>
      <c r="D298" s="372" t="str">
        <f t="shared" si="29"/>
        <v/>
      </c>
      <c r="E298" s="81"/>
      <c r="F298" s="373" t="str">
        <f t="shared" si="25"/>
        <v/>
      </c>
      <c r="G298" s="359"/>
      <c r="H298" s="359"/>
      <c r="I298" s="359"/>
      <c r="J298" s="81"/>
      <c r="L298" s="73" t="str">
        <f t="shared" si="26"/>
        <v/>
      </c>
      <c r="M298" s="73" t="str">
        <f t="shared" si="27"/>
        <v/>
      </c>
    </row>
    <row r="299" spans="1:13">
      <c r="A299" s="374" t="str">
        <f>IF(E299="","",VLOOKUP('OPĆI DIO'!$C$3,'OPĆI DIO'!$L$6:$U$138,10,FALSE))</f>
        <v/>
      </c>
      <c r="B299" s="370" t="str">
        <f>IF(E299="","",VLOOKUP('OPĆI DIO'!$C$3,'OPĆI DIO'!$L$6:$U$138,9,FALSE))</f>
        <v/>
      </c>
      <c r="C299" s="371" t="str">
        <f t="shared" si="28"/>
        <v/>
      </c>
      <c r="D299" s="372" t="str">
        <f t="shared" si="29"/>
        <v/>
      </c>
      <c r="E299" s="81"/>
      <c r="F299" s="373" t="str">
        <f t="shared" si="25"/>
        <v/>
      </c>
      <c r="G299" s="359"/>
      <c r="H299" s="359"/>
      <c r="I299" s="359"/>
      <c r="J299" s="81"/>
      <c r="L299" s="73" t="str">
        <f t="shared" si="26"/>
        <v/>
      </c>
      <c r="M299" s="73" t="str">
        <f t="shared" si="27"/>
        <v/>
      </c>
    </row>
    <row r="300" spans="1:13">
      <c r="A300" s="374" t="str">
        <f>IF(E300="","",VLOOKUP('OPĆI DIO'!$C$3,'OPĆI DIO'!$L$6:$U$138,10,FALSE))</f>
        <v/>
      </c>
      <c r="B300" s="370" t="str">
        <f>IF(E300="","",VLOOKUP('OPĆI DIO'!$C$3,'OPĆI DIO'!$L$6:$U$138,9,FALSE))</f>
        <v/>
      </c>
      <c r="C300" s="371" t="str">
        <f t="shared" si="28"/>
        <v/>
      </c>
      <c r="D300" s="372" t="str">
        <f t="shared" si="29"/>
        <v/>
      </c>
      <c r="E300" s="81"/>
      <c r="F300" s="373" t="str">
        <f t="shared" si="25"/>
        <v/>
      </c>
      <c r="G300" s="359"/>
      <c r="H300" s="359"/>
      <c r="I300" s="359"/>
      <c r="J300" s="81"/>
      <c r="L300" s="73" t="str">
        <f t="shared" si="26"/>
        <v/>
      </c>
      <c r="M300" s="73" t="str">
        <f t="shared" si="27"/>
        <v/>
      </c>
    </row>
    <row r="301" spans="1:13">
      <c r="A301" s="374" t="str">
        <f>IF(E301="","",VLOOKUP('OPĆI DIO'!$C$3,'OPĆI DIO'!$L$6:$U$138,10,FALSE))</f>
        <v/>
      </c>
      <c r="B301" s="370" t="str">
        <f>IF(E301="","",VLOOKUP('OPĆI DIO'!$C$3,'OPĆI DIO'!$L$6:$U$138,9,FALSE))</f>
        <v/>
      </c>
      <c r="C301" s="371" t="str">
        <f t="shared" si="28"/>
        <v/>
      </c>
      <c r="D301" s="372" t="str">
        <f t="shared" si="29"/>
        <v/>
      </c>
      <c r="E301" s="81"/>
      <c r="F301" s="373" t="str">
        <f t="shared" si="25"/>
        <v/>
      </c>
      <c r="G301" s="359"/>
      <c r="H301" s="359"/>
      <c r="I301" s="359"/>
      <c r="J301" s="81"/>
      <c r="L301" s="73" t="str">
        <f t="shared" si="26"/>
        <v/>
      </c>
      <c r="M301" s="73" t="str">
        <f t="shared" si="27"/>
        <v/>
      </c>
    </row>
    <row r="302" spans="1:13">
      <c r="A302" s="374" t="str">
        <f>IF(E302="","",VLOOKUP('OPĆI DIO'!$C$3,'OPĆI DIO'!$L$6:$U$138,10,FALSE))</f>
        <v/>
      </c>
      <c r="B302" s="370" t="str">
        <f>IF(E302="","",VLOOKUP('OPĆI DIO'!$C$3,'OPĆI DIO'!$L$6:$U$138,9,FALSE))</f>
        <v/>
      </c>
      <c r="C302" s="371" t="str">
        <f t="shared" si="28"/>
        <v/>
      </c>
      <c r="D302" s="372" t="str">
        <f t="shared" si="29"/>
        <v/>
      </c>
      <c r="E302" s="81"/>
      <c r="F302" s="373" t="str">
        <f t="shared" si="25"/>
        <v/>
      </c>
      <c r="G302" s="359"/>
      <c r="H302" s="359"/>
      <c r="I302" s="359"/>
      <c r="J302" s="81"/>
      <c r="L302" s="73" t="str">
        <f t="shared" si="26"/>
        <v/>
      </c>
      <c r="M302" s="73" t="str">
        <f t="shared" si="27"/>
        <v/>
      </c>
    </row>
    <row r="303" spans="1:13">
      <c r="A303" s="374" t="str">
        <f>IF(E303="","",VLOOKUP('OPĆI DIO'!$C$3,'OPĆI DIO'!$L$6:$U$138,10,FALSE))</f>
        <v/>
      </c>
      <c r="B303" s="370" t="str">
        <f>IF(E303="","",VLOOKUP('OPĆI DIO'!$C$3,'OPĆI DIO'!$L$6:$U$138,9,FALSE))</f>
        <v/>
      </c>
      <c r="C303" s="371" t="str">
        <f t="shared" si="28"/>
        <v/>
      </c>
      <c r="D303" s="372" t="str">
        <f t="shared" si="29"/>
        <v/>
      </c>
      <c r="E303" s="81"/>
      <c r="F303" s="373" t="str">
        <f t="shared" si="25"/>
        <v/>
      </c>
      <c r="G303" s="359"/>
      <c r="H303" s="359"/>
      <c r="I303" s="359"/>
      <c r="J303" s="81"/>
      <c r="L303" s="73" t="str">
        <f t="shared" si="26"/>
        <v/>
      </c>
      <c r="M303" s="73" t="str">
        <f t="shared" si="27"/>
        <v/>
      </c>
    </row>
    <row r="304" spans="1:13">
      <c r="A304" s="374" t="str">
        <f>IF(E304="","",VLOOKUP('OPĆI DIO'!$C$3,'OPĆI DIO'!$L$6:$U$138,10,FALSE))</f>
        <v/>
      </c>
      <c r="B304" s="370" t="str">
        <f>IF(E304="","",VLOOKUP('OPĆI DIO'!$C$3,'OPĆI DIO'!$L$6:$U$138,9,FALSE))</f>
        <v/>
      </c>
      <c r="C304" s="371" t="str">
        <f t="shared" si="28"/>
        <v/>
      </c>
      <c r="D304" s="372" t="str">
        <f t="shared" si="29"/>
        <v/>
      </c>
      <c r="E304" s="81"/>
      <c r="F304" s="373" t="str">
        <f t="shared" si="25"/>
        <v/>
      </c>
      <c r="G304" s="359"/>
      <c r="H304" s="359"/>
      <c r="I304" s="359"/>
      <c r="J304" s="81"/>
      <c r="L304" s="73" t="str">
        <f t="shared" si="26"/>
        <v/>
      </c>
      <c r="M304" s="73" t="str">
        <f t="shared" si="27"/>
        <v/>
      </c>
    </row>
    <row r="305" spans="1:13">
      <c r="A305" s="374" t="str">
        <f>IF(E305="","",VLOOKUP('OPĆI DIO'!$C$3,'OPĆI DIO'!$L$6:$U$138,10,FALSE))</f>
        <v/>
      </c>
      <c r="B305" s="370" t="str">
        <f>IF(E305="","",VLOOKUP('OPĆI DIO'!$C$3,'OPĆI DIO'!$L$6:$U$138,9,FALSE))</f>
        <v/>
      </c>
      <c r="C305" s="371" t="str">
        <f t="shared" si="28"/>
        <v/>
      </c>
      <c r="D305" s="372" t="str">
        <f t="shared" si="29"/>
        <v/>
      </c>
      <c r="E305" s="81"/>
      <c r="F305" s="373" t="str">
        <f t="shared" si="25"/>
        <v/>
      </c>
      <c r="G305" s="359"/>
      <c r="H305" s="359"/>
      <c r="I305" s="359"/>
      <c r="J305" s="81"/>
      <c r="L305" s="73" t="str">
        <f t="shared" si="26"/>
        <v/>
      </c>
      <c r="M305" s="73" t="str">
        <f t="shared" si="27"/>
        <v/>
      </c>
    </row>
    <row r="306" spans="1:13">
      <c r="A306" s="374" t="str">
        <f>IF(E306="","",VLOOKUP('OPĆI DIO'!$C$3,'OPĆI DIO'!$L$6:$U$138,10,FALSE))</f>
        <v/>
      </c>
      <c r="B306" s="370" t="str">
        <f>IF(E306="","",VLOOKUP('OPĆI DIO'!$C$3,'OPĆI DIO'!$L$6:$U$138,9,FALSE))</f>
        <v/>
      </c>
      <c r="C306" s="371" t="str">
        <f t="shared" si="28"/>
        <v/>
      </c>
      <c r="D306" s="372" t="str">
        <f t="shared" si="29"/>
        <v/>
      </c>
      <c r="E306" s="81"/>
      <c r="F306" s="373" t="str">
        <f t="shared" si="25"/>
        <v/>
      </c>
      <c r="G306" s="359"/>
      <c r="H306" s="359"/>
      <c r="I306" s="359"/>
      <c r="J306" s="81"/>
      <c r="L306" s="73" t="str">
        <f t="shared" si="26"/>
        <v/>
      </c>
      <c r="M306" s="73" t="str">
        <f t="shared" si="27"/>
        <v/>
      </c>
    </row>
    <row r="307" spans="1:13">
      <c r="A307" s="374" t="str">
        <f>IF(E307="","",VLOOKUP('OPĆI DIO'!$C$3,'OPĆI DIO'!$L$6:$U$138,10,FALSE))</f>
        <v/>
      </c>
      <c r="B307" s="370" t="str">
        <f>IF(E307="","",VLOOKUP('OPĆI DIO'!$C$3,'OPĆI DIO'!$L$6:$U$138,9,FALSE))</f>
        <v/>
      </c>
      <c r="C307" s="371" t="str">
        <f t="shared" si="28"/>
        <v/>
      </c>
      <c r="D307" s="372" t="str">
        <f t="shared" si="29"/>
        <v/>
      </c>
      <c r="E307" s="81"/>
      <c r="F307" s="373" t="str">
        <f t="shared" si="25"/>
        <v/>
      </c>
      <c r="G307" s="359"/>
      <c r="H307" s="359"/>
      <c r="I307" s="359"/>
      <c r="J307" s="81"/>
      <c r="L307" s="73" t="str">
        <f t="shared" si="26"/>
        <v/>
      </c>
      <c r="M307" s="73" t="str">
        <f t="shared" si="27"/>
        <v/>
      </c>
    </row>
    <row r="308" spans="1:13">
      <c r="A308" s="374" t="str">
        <f>IF(E308="","",VLOOKUP('OPĆI DIO'!$C$3,'OPĆI DIO'!$L$6:$U$138,10,FALSE))</f>
        <v/>
      </c>
      <c r="B308" s="370" t="str">
        <f>IF(E308="","",VLOOKUP('OPĆI DIO'!$C$3,'OPĆI DIO'!$L$6:$U$138,9,FALSE))</f>
        <v/>
      </c>
      <c r="C308" s="371" t="str">
        <f t="shared" si="28"/>
        <v/>
      </c>
      <c r="D308" s="372" t="str">
        <f t="shared" si="29"/>
        <v/>
      </c>
      <c r="E308" s="81"/>
      <c r="F308" s="373" t="str">
        <f t="shared" si="25"/>
        <v/>
      </c>
      <c r="G308" s="359"/>
      <c r="H308" s="359"/>
      <c r="I308" s="359"/>
      <c r="J308" s="81"/>
      <c r="L308" s="73" t="str">
        <f t="shared" si="26"/>
        <v/>
      </c>
      <c r="M308" s="73" t="str">
        <f t="shared" si="27"/>
        <v/>
      </c>
    </row>
    <row r="309" spans="1:13">
      <c r="A309" s="374" t="str">
        <f>IF(E309="","",VLOOKUP('OPĆI DIO'!$C$3,'OPĆI DIO'!$L$6:$U$138,10,FALSE))</f>
        <v/>
      </c>
      <c r="B309" s="370" t="str">
        <f>IF(E309="","",VLOOKUP('OPĆI DIO'!$C$3,'OPĆI DIO'!$L$6:$U$138,9,FALSE))</f>
        <v/>
      </c>
      <c r="C309" s="371" t="str">
        <f t="shared" si="28"/>
        <v/>
      </c>
      <c r="D309" s="372" t="str">
        <f t="shared" si="29"/>
        <v/>
      </c>
      <c r="E309" s="81"/>
      <c r="F309" s="373" t="str">
        <f t="shared" si="25"/>
        <v/>
      </c>
      <c r="G309" s="359"/>
      <c r="H309" s="359"/>
      <c r="I309" s="359"/>
      <c r="J309" s="81"/>
      <c r="L309" s="73" t="str">
        <f t="shared" si="26"/>
        <v/>
      </c>
      <c r="M309" s="73" t="str">
        <f t="shared" si="27"/>
        <v/>
      </c>
    </row>
    <row r="310" spans="1:13">
      <c r="A310" s="374" t="str">
        <f>IF(E310="","",VLOOKUP('OPĆI DIO'!$C$3,'OPĆI DIO'!$L$6:$U$138,10,FALSE))</f>
        <v/>
      </c>
      <c r="B310" s="370" t="str">
        <f>IF(E310="","",VLOOKUP('OPĆI DIO'!$C$3,'OPĆI DIO'!$L$6:$U$138,9,FALSE))</f>
        <v/>
      </c>
      <c r="C310" s="371" t="str">
        <f t="shared" si="28"/>
        <v/>
      </c>
      <c r="D310" s="372" t="str">
        <f t="shared" si="29"/>
        <v/>
      </c>
      <c r="E310" s="81"/>
      <c r="F310" s="373" t="str">
        <f t="shared" si="25"/>
        <v/>
      </c>
      <c r="G310" s="359"/>
      <c r="H310" s="359"/>
      <c r="I310" s="359"/>
      <c r="J310" s="81"/>
      <c r="L310" s="73" t="str">
        <f t="shared" si="26"/>
        <v/>
      </c>
      <c r="M310" s="73" t="str">
        <f t="shared" si="27"/>
        <v/>
      </c>
    </row>
    <row r="311" spans="1:13">
      <c r="A311" s="374" t="str">
        <f>IF(E311="","",VLOOKUP('OPĆI DIO'!$C$3,'OPĆI DIO'!$L$6:$U$138,10,FALSE))</f>
        <v/>
      </c>
      <c r="B311" s="370" t="str">
        <f>IF(E311="","",VLOOKUP('OPĆI DIO'!$C$3,'OPĆI DIO'!$L$6:$U$138,9,FALSE))</f>
        <v/>
      </c>
      <c r="C311" s="371" t="str">
        <f t="shared" si="28"/>
        <v/>
      </c>
      <c r="D311" s="372" t="str">
        <f t="shared" si="29"/>
        <v/>
      </c>
      <c r="E311" s="81"/>
      <c r="F311" s="373" t="str">
        <f t="shared" si="25"/>
        <v/>
      </c>
      <c r="G311" s="359"/>
      <c r="H311" s="359"/>
      <c r="I311" s="359"/>
      <c r="J311" s="81"/>
      <c r="L311" s="73" t="str">
        <f t="shared" si="26"/>
        <v/>
      </c>
      <c r="M311" s="73" t="str">
        <f t="shared" si="27"/>
        <v/>
      </c>
    </row>
    <row r="312" spans="1:13">
      <c r="A312" s="374" t="str">
        <f>IF(E312="","",VLOOKUP('OPĆI DIO'!$C$3,'OPĆI DIO'!$L$6:$U$138,10,FALSE))</f>
        <v/>
      </c>
      <c r="B312" s="370" t="str">
        <f>IF(E312="","",VLOOKUP('OPĆI DIO'!$C$3,'OPĆI DIO'!$L$6:$U$138,9,FALSE))</f>
        <v/>
      </c>
      <c r="C312" s="371" t="str">
        <f t="shared" si="28"/>
        <v/>
      </c>
      <c r="D312" s="372" t="str">
        <f t="shared" si="29"/>
        <v/>
      </c>
      <c r="E312" s="81"/>
      <c r="F312" s="373" t="str">
        <f t="shared" si="25"/>
        <v/>
      </c>
      <c r="G312" s="359"/>
      <c r="H312" s="359"/>
      <c r="I312" s="359"/>
      <c r="J312" s="81"/>
      <c r="L312" s="73" t="str">
        <f t="shared" si="26"/>
        <v/>
      </c>
      <c r="M312" s="73" t="str">
        <f t="shared" si="27"/>
        <v/>
      </c>
    </row>
    <row r="313" spans="1:13">
      <c r="A313" s="374" t="str">
        <f>IF(E313="","",VLOOKUP('OPĆI DIO'!$C$3,'OPĆI DIO'!$L$6:$U$138,10,FALSE))</f>
        <v/>
      </c>
      <c r="B313" s="370" t="str">
        <f>IF(E313="","",VLOOKUP('OPĆI DIO'!$C$3,'OPĆI DIO'!$L$6:$U$138,9,FALSE))</f>
        <v/>
      </c>
      <c r="C313" s="371" t="str">
        <f t="shared" si="28"/>
        <v/>
      </c>
      <c r="D313" s="372" t="str">
        <f t="shared" si="29"/>
        <v/>
      </c>
      <c r="E313" s="81"/>
      <c r="F313" s="373" t="str">
        <f t="shared" si="25"/>
        <v/>
      </c>
      <c r="G313" s="359"/>
      <c r="H313" s="359"/>
      <c r="I313" s="359"/>
      <c r="J313" s="81"/>
      <c r="L313" s="73" t="str">
        <f t="shared" si="26"/>
        <v/>
      </c>
      <c r="M313" s="73" t="str">
        <f t="shared" si="27"/>
        <v/>
      </c>
    </row>
    <row r="314" spans="1:13">
      <c r="A314" s="374" t="str">
        <f>IF(E314="","",VLOOKUP('OPĆI DIO'!$C$3,'OPĆI DIO'!$L$6:$U$138,10,FALSE))</f>
        <v/>
      </c>
      <c r="B314" s="370" t="str">
        <f>IF(E314="","",VLOOKUP('OPĆI DIO'!$C$3,'OPĆI DIO'!$L$6:$U$138,9,FALSE))</f>
        <v/>
      </c>
      <c r="C314" s="371" t="str">
        <f t="shared" si="28"/>
        <v/>
      </c>
      <c r="D314" s="372" t="str">
        <f t="shared" si="29"/>
        <v/>
      </c>
      <c r="E314" s="81"/>
      <c r="F314" s="373" t="str">
        <f t="shared" si="25"/>
        <v/>
      </c>
      <c r="G314" s="359"/>
      <c r="H314" s="359"/>
      <c r="I314" s="359"/>
      <c r="J314" s="81"/>
      <c r="L314" s="73" t="str">
        <f t="shared" si="26"/>
        <v/>
      </c>
      <c r="M314" s="73" t="str">
        <f t="shared" si="27"/>
        <v/>
      </c>
    </row>
    <row r="315" spans="1:13">
      <c r="A315" s="374" t="str">
        <f>IF(E315="","",VLOOKUP('OPĆI DIO'!$C$3,'OPĆI DIO'!$L$6:$U$138,10,FALSE))</f>
        <v/>
      </c>
      <c r="B315" s="370" t="str">
        <f>IF(E315="","",VLOOKUP('OPĆI DIO'!$C$3,'OPĆI DIO'!$L$6:$U$138,9,FALSE))</f>
        <v/>
      </c>
      <c r="C315" s="371" t="str">
        <f t="shared" si="28"/>
        <v/>
      </c>
      <c r="D315" s="372" t="str">
        <f t="shared" si="29"/>
        <v/>
      </c>
      <c r="E315" s="81"/>
      <c r="F315" s="373" t="str">
        <f t="shared" si="25"/>
        <v/>
      </c>
      <c r="G315" s="359"/>
      <c r="H315" s="359"/>
      <c r="I315" s="359"/>
      <c r="J315" s="81"/>
      <c r="L315" s="73" t="str">
        <f t="shared" si="26"/>
        <v/>
      </c>
      <c r="M315" s="73" t="str">
        <f t="shared" si="27"/>
        <v/>
      </c>
    </row>
    <row r="316" spans="1:13">
      <c r="A316" s="374" t="str">
        <f>IF(E316="","",VLOOKUP('OPĆI DIO'!$C$3,'OPĆI DIO'!$L$6:$U$138,10,FALSE))</f>
        <v/>
      </c>
      <c r="B316" s="370" t="str">
        <f>IF(E316="","",VLOOKUP('OPĆI DIO'!$C$3,'OPĆI DIO'!$L$6:$U$138,9,FALSE))</f>
        <v/>
      </c>
      <c r="C316" s="371" t="str">
        <f t="shared" si="28"/>
        <v/>
      </c>
      <c r="D316" s="372" t="str">
        <f t="shared" si="29"/>
        <v/>
      </c>
      <c r="E316" s="81"/>
      <c r="F316" s="373" t="str">
        <f t="shared" si="25"/>
        <v/>
      </c>
      <c r="G316" s="359"/>
      <c r="H316" s="359"/>
      <c r="I316" s="359"/>
      <c r="J316" s="81"/>
      <c r="L316" s="73" t="str">
        <f t="shared" si="26"/>
        <v/>
      </c>
      <c r="M316" s="73" t="str">
        <f t="shared" si="27"/>
        <v/>
      </c>
    </row>
    <row r="317" spans="1:13">
      <c r="A317" s="374" t="str">
        <f>IF(E317="","",VLOOKUP('OPĆI DIO'!$C$3,'OPĆI DIO'!$L$6:$U$138,10,FALSE))</f>
        <v/>
      </c>
      <c r="B317" s="370" t="str">
        <f>IF(E317="","",VLOOKUP('OPĆI DIO'!$C$3,'OPĆI DIO'!$L$6:$U$138,9,FALSE))</f>
        <v/>
      </c>
      <c r="C317" s="371" t="str">
        <f t="shared" si="28"/>
        <v/>
      </c>
      <c r="D317" s="372" t="str">
        <f t="shared" si="29"/>
        <v/>
      </c>
      <c r="E317" s="81"/>
      <c r="F317" s="373" t="str">
        <f t="shared" si="25"/>
        <v/>
      </c>
      <c r="G317" s="359"/>
      <c r="H317" s="359"/>
      <c r="I317" s="359"/>
      <c r="J317" s="81"/>
      <c r="L317" s="73" t="str">
        <f t="shared" si="26"/>
        <v/>
      </c>
      <c r="M317" s="73" t="str">
        <f t="shared" si="27"/>
        <v/>
      </c>
    </row>
    <row r="318" spans="1:13">
      <c r="A318" s="374" t="str">
        <f>IF(E318="","",VLOOKUP('OPĆI DIO'!$C$3,'OPĆI DIO'!$L$6:$U$138,10,FALSE))</f>
        <v/>
      </c>
      <c r="B318" s="370" t="str">
        <f>IF(E318="","",VLOOKUP('OPĆI DIO'!$C$3,'OPĆI DIO'!$L$6:$U$138,9,FALSE))</f>
        <v/>
      </c>
      <c r="C318" s="371" t="str">
        <f t="shared" si="28"/>
        <v/>
      </c>
      <c r="D318" s="372" t="str">
        <f t="shared" si="29"/>
        <v/>
      </c>
      <c r="E318" s="81"/>
      <c r="F318" s="373" t="str">
        <f t="shared" si="25"/>
        <v/>
      </c>
      <c r="G318" s="359"/>
      <c r="H318" s="359"/>
      <c r="I318" s="359"/>
      <c r="J318" s="81"/>
      <c r="L318" s="73" t="str">
        <f t="shared" si="26"/>
        <v/>
      </c>
      <c r="M318" s="73" t="str">
        <f t="shared" si="27"/>
        <v/>
      </c>
    </row>
    <row r="319" spans="1:13">
      <c r="A319" s="374" t="str">
        <f>IF(E319="","",VLOOKUP('OPĆI DIO'!$C$3,'OPĆI DIO'!$L$6:$U$138,10,FALSE))</f>
        <v/>
      </c>
      <c r="B319" s="370" t="str">
        <f>IF(E319="","",VLOOKUP('OPĆI DIO'!$C$3,'OPĆI DIO'!$L$6:$U$138,9,FALSE))</f>
        <v/>
      </c>
      <c r="C319" s="371" t="str">
        <f t="shared" si="28"/>
        <v/>
      </c>
      <c r="D319" s="372" t="str">
        <f t="shared" si="29"/>
        <v/>
      </c>
      <c r="E319" s="81"/>
      <c r="F319" s="373" t="str">
        <f t="shared" si="25"/>
        <v/>
      </c>
      <c r="G319" s="359"/>
      <c r="H319" s="359"/>
      <c r="I319" s="359"/>
      <c r="J319" s="81"/>
      <c r="L319" s="73" t="str">
        <f t="shared" si="26"/>
        <v/>
      </c>
      <c r="M319" s="73" t="str">
        <f t="shared" si="27"/>
        <v/>
      </c>
    </row>
    <row r="320" spans="1:13">
      <c r="A320" s="374" t="str">
        <f>IF(E320="","",VLOOKUP('OPĆI DIO'!$C$3,'OPĆI DIO'!$L$6:$U$138,10,FALSE))</f>
        <v/>
      </c>
      <c r="B320" s="370" t="str">
        <f>IF(E320="","",VLOOKUP('OPĆI DIO'!$C$3,'OPĆI DIO'!$L$6:$U$138,9,FALSE))</f>
        <v/>
      </c>
      <c r="C320" s="371" t="str">
        <f t="shared" si="28"/>
        <v/>
      </c>
      <c r="D320" s="372" t="str">
        <f t="shared" si="29"/>
        <v/>
      </c>
      <c r="E320" s="81"/>
      <c r="F320" s="373" t="str">
        <f t="shared" si="25"/>
        <v/>
      </c>
      <c r="G320" s="359"/>
      <c r="H320" s="359"/>
      <c r="I320" s="359"/>
      <c r="J320" s="81"/>
      <c r="L320" s="73" t="str">
        <f t="shared" si="26"/>
        <v/>
      </c>
      <c r="M320" s="73" t="str">
        <f t="shared" si="27"/>
        <v/>
      </c>
    </row>
    <row r="321" spans="1:13">
      <c r="A321" s="374" t="str">
        <f>IF(E321="","",VLOOKUP('OPĆI DIO'!$C$3,'OPĆI DIO'!$L$6:$U$138,10,FALSE))</f>
        <v/>
      </c>
      <c r="B321" s="370" t="str">
        <f>IF(E321="","",VLOOKUP('OPĆI DIO'!$C$3,'OPĆI DIO'!$L$6:$U$138,9,FALSE))</f>
        <v/>
      </c>
      <c r="C321" s="371" t="str">
        <f t="shared" si="28"/>
        <v/>
      </c>
      <c r="D321" s="372" t="str">
        <f t="shared" si="29"/>
        <v/>
      </c>
      <c r="E321" s="81"/>
      <c r="F321" s="373" t="str">
        <f t="shared" si="25"/>
        <v/>
      </c>
      <c r="G321" s="359"/>
      <c r="H321" s="359"/>
      <c r="I321" s="359"/>
      <c r="J321" s="81"/>
      <c r="L321" s="73" t="str">
        <f t="shared" si="26"/>
        <v/>
      </c>
      <c r="M321" s="73" t="str">
        <f t="shared" si="27"/>
        <v/>
      </c>
    </row>
    <row r="322" spans="1:13">
      <c r="A322" s="374" t="str">
        <f>IF(E322="","",VLOOKUP('OPĆI DIO'!$C$3,'OPĆI DIO'!$L$6:$U$138,10,FALSE))</f>
        <v/>
      </c>
      <c r="B322" s="370" t="str">
        <f>IF(E322="","",VLOOKUP('OPĆI DIO'!$C$3,'OPĆI DIO'!$L$6:$U$138,9,FALSE))</f>
        <v/>
      </c>
      <c r="C322" s="371" t="str">
        <f t="shared" si="28"/>
        <v/>
      </c>
      <c r="D322" s="372" t="str">
        <f t="shared" si="29"/>
        <v/>
      </c>
      <c r="E322" s="81"/>
      <c r="F322" s="373" t="str">
        <f t="shared" si="25"/>
        <v/>
      </c>
      <c r="G322" s="359"/>
      <c r="H322" s="359"/>
      <c r="I322" s="359"/>
      <c r="J322" s="81"/>
      <c r="L322" s="73" t="str">
        <f t="shared" si="26"/>
        <v/>
      </c>
      <c r="M322" s="73" t="str">
        <f t="shared" si="27"/>
        <v/>
      </c>
    </row>
    <row r="323" spans="1:13">
      <c r="A323" s="374" t="str">
        <f>IF(E323="","",VLOOKUP('OPĆI DIO'!$C$3,'OPĆI DIO'!$L$6:$U$138,10,FALSE))</f>
        <v/>
      </c>
      <c r="B323" s="370" t="str">
        <f>IF(E323="","",VLOOKUP('OPĆI DIO'!$C$3,'OPĆI DIO'!$L$6:$U$138,9,FALSE))</f>
        <v/>
      </c>
      <c r="C323" s="371" t="str">
        <f t="shared" si="28"/>
        <v/>
      </c>
      <c r="D323" s="372" t="str">
        <f t="shared" si="29"/>
        <v/>
      </c>
      <c r="E323" s="81"/>
      <c r="F323" s="373" t="str">
        <f t="shared" ref="F323:F386" si="30">IFERROR(VLOOKUP(E323,$R$6:$U$113,2,FALSE),"")</f>
        <v/>
      </c>
      <c r="G323" s="359"/>
      <c r="H323" s="359"/>
      <c r="I323" s="359"/>
      <c r="J323" s="81"/>
      <c r="L323" s="73" t="str">
        <f t="shared" si="26"/>
        <v/>
      </c>
      <c r="M323" s="73" t="str">
        <f t="shared" si="27"/>
        <v/>
      </c>
    </row>
    <row r="324" spans="1:13">
      <c r="A324" s="374" t="str">
        <f>IF(E324="","",VLOOKUP('OPĆI DIO'!$C$3,'OPĆI DIO'!$L$6:$U$138,10,FALSE))</f>
        <v/>
      </c>
      <c r="B324" s="370" t="str">
        <f>IF(E324="","",VLOOKUP('OPĆI DIO'!$C$3,'OPĆI DIO'!$L$6:$U$138,9,FALSE))</f>
        <v/>
      </c>
      <c r="C324" s="371" t="str">
        <f t="shared" si="28"/>
        <v/>
      </c>
      <c r="D324" s="372" t="str">
        <f t="shared" si="29"/>
        <v/>
      </c>
      <c r="E324" s="81"/>
      <c r="F324" s="373" t="str">
        <f t="shared" si="30"/>
        <v/>
      </c>
      <c r="G324" s="359"/>
      <c r="H324" s="359"/>
      <c r="I324" s="359"/>
      <c r="J324" s="81"/>
      <c r="L324" s="73" t="str">
        <f t="shared" ref="L324:L387" si="31">LEFT(E324,2)</f>
        <v/>
      </c>
      <c r="M324" s="73" t="str">
        <f t="shared" ref="M324:M387" si="32">LEFT(E324,3)</f>
        <v/>
      </c>
    </row>
    <row r="325" spans="1:13">
      <c r="A325" s="374" t="str">
        <f>IF(E325="","",VLOOKUP('OPĆI DIO'!$C$3,'OPĆI DIO'!$L$6:$U$138,10,FALSE))</f>
        <v/>
      </c>
      <c r="B325" s="370" t="str">
        <f>IF(E325="","",VLOOKUP('OPĆI DIO'!$C$3,'OPĆI DIO'!$L$6:$U$138,9,FALSE))</f>
        <v/>
      </c>
      <c r="C325" s="371" t="str">
        <f t="shared" si="28"/>
        <v/>
      </c>
      <c r="D325" s="372" t="str">
        <f t="shared" si="29"/>
        <v/>
      </c>
      <c r="E325" s="81"/>
      <c r="F325" s="373" t="str">
        <f t="shared" si="30"/>
        <v/>
      </c>
      <c r="G325" s="359"/>
      <c r="H325" s="359"/>
      <c r="I325" s="359"/>
      <c r="J325" s="81"/>
      <c r="L325" s="73" t="str">
        <f t="shared" si="31"/>
        <v/>
      </c>
      <c r="M325" s="73" t="str">
        <f t="shared" si="32"/>
        <v/>
      </c>
    </row>
    <row r="326" spans="1:13">
      <c r="A326" s="374" t="str">
        <f>IF(E326="","",VLOOKUP('OPĆI DIO'!$C$3,'OPĆI DIO'!$L$6:$U$138,10,FALSE))</f>
        <v/>
      </c>
      <c r="B326" s="370" t="str">
        <f>IF(E326="","",VLOOKUP('OPĆI DIO'!$C$3,'OPĆI DIO'!$L$6:$U$138,9,FALSE))</f>
        <v/>
      </c>
      <c r="C326" s="371" t="str">
        <f t="shared" si="28"/>
        <v/>
      </c>
      <c r="D326" s="372" t="str">
        <f t="shared" si="29"/>
        <v/>
      </c>
      <c r="E326" s="81"/>
      <c r="F326" s="373" t="str">
        <f t="shared" si="30"/>
        <v/>
      </c>
      <c r="G326" s="359"/>
      <c r="H326" s="359"/>
      <c r="I326" s="359"/>
      <c r="J326" s="81"/>
      <c r="L326" s="73" t="str">
        <f t="shared" si="31"/>
        <v/>
      </c>
      <c r="M326" s="73" t="str">
        <f t="shared" si="32"/>
        <v/>
      </c>
    </row>
    <row r="327" spans="1:13">
      <c r="A327" s="374" t="str">
        <f>IF(E327="","",VLOOKUP('OPĆI DIO'!$C$3,'OPĆI DIO'!$L$6:$U$138,10,FALSE))</f>
        <v/>
      </c>
      <c r="B327" s="370" t="str">
        <f>IF(E327="","",VLOOKUP('OPĆI DIO'!$C$3,'OPĆI DIO'!$L$6:$U$138,9,FALSE))</f>
        <v/>
      </c>
      <c r="C327" s="371" t="str">
        <f t="shared" si="28"/>
        <v/>
      </c>
      <c r="D327" s="372" t="str">
        <f t="shared" si="29"/>
        <v/>
      </c>
      <c r="E327" s="81"/>
      <c r="F327" s="373" t="str">
        <f t="shared" si="30"/>
        <v/>
      </c>
      <c r="G327" s="359"/>
      <c r="H327" s="359"/>
      <c r="I327" s="359"/>
      <c r="J327" s="81"/>
      <c r="L327" s="73" t="str">
        <f t="shared" si="31"/>
        <v/>
      </c>
      <c r="M327" s="73" t="str">
        <f t="shared" si="32"/>
        <v/>
      </c>
    </row>
    <row r="328" spans="1:13">
      <c r="A328" s="374" t="str">
        <f>IF(E328="","",VLOOKUP('OPĆI DIO'!$C$3,'OPĆI DIO'!$L$6:$U$138,10,FALSE))</f>
        <v/>
      </c>
      <c r="B328" s="370" t="str">
        <f>IF(E328="","",VLOOKUP('OPĆI DIO'!$C$3,'OPĆI DIO'!$L$6:$U$138,9,FALSE))</f>
        <v/>
      </c>
      <c r="C328" s="371" t="str">
        <f t="shared" si="28"/>
        <v/>
      </c>
      <c r="D328" s="372" t="str">
        <f t="shared" si="29"/>
        <v/>
      </c>
      <c r="E328" s="81"/>
      <c r="F328" s="373" t="str">
        <f t="shared" si="30"/>
        <v/>
      </c>
      <c r="G328" s="359"/>
      <c r="H328" s="359"/>
      <c r="I328" s="359"/>
      <c r="J328" s="81"/>
      <c r="L328" s="73" t="str">
        <f t="shared" si="31"/>
        <v/>
      </c>
      <c r="M328" s="73" t="str">
        <f t="shared" si="32"/>
        <v/>
      </c>
    </row>
    <row r="329" spans="1:13">
      <c r="A329" s="374" t="str">
        <f>IF(E329="","",VLOOKUP('OPĆI DIO'!$C$3,'OPĆI DIO'!$L$6:$U$138,10,FALSE))</f>
        <v/>
      </c>
      <c r="B329" s="370" t="str">
        <f>IF(E329="","",VLOOKUP('OPĆI DIO'!$C$3,'OPĆI DIO'!$L$6:$U$138,9,FALSE))</f>
        <v/>
      </c>
      <c r="C329" s="371" t="str">
        <f t="shared" si="28"/>
        <v/>
      </c>
      <c r="D329" s="372" t="str">
        <f t="shared" si="29"/>
        <v/>
      </c>
      <c r="E329" s="81"/>
      <c r="F329" s="373" t="str">
        <f t="shared" si="30"/>
        <v/>
      </c>
      <c r="G329" s="359"/>
      <c r="H329" s="359"/>
      <c r="I329" s="359"/>
      <c r="J329" s="81"/>
      <c r="L329" s="73" t="str">
        <f t="shared" si="31"/>
        <v/>
      </c>
      <c r="M329" s="73" t="str">
        <f t="shared" si="32"/>
        <v/>
      </c>
    </row>
    <row r="330" spans="1:13">
      <c r="A330" s="374" t="str">
        <f>IF(E330="","",VLOOKUP('OPĆI DIO'!$C$3,'OPĆI DIO'!$L$6:$U$138,10,FALSE))</f>
        <v/>
      </c>
      <c r="B330" s="370" t="str">
        <f>IF(E330="","",VLOOKUP('OPĆI DIO'!$C$3,'OPĆI DIO'!$L$6:$U$138,9,FALSE))</f>
        <v/>
      </c>
      <c r="C330" s="371" t="str">
        <f t="shared" ref="C330:C393" si="33">IFERROR(VLOOKUP(E330,$R$6:$U$113,3,FALSE),"")</f>
        <v/>
      </c>
      <c r="D330" s="372" t="str">
        <f t="shared" ref="D330:D393" si="34">IFERROR(VLOOKUP(E330,$R$6:$U$113,4,FALSE),"")</f>
        <v/>
      </c>
      <c r="E330" s="81"/>
      <c r="F330" s="373" t="str">
        <f t="shared" si="30"/>
        <v/>
      </c>
      <c r="G330" s="359"/>
      <c r="H330" s="359"/>
      <c r="I330" s="359"/>
      <c r="J330" s="81"/>
      <c r="L330" s="73" t="str">
        <f t="shared" si="31"/>
        <v/>
      </c>
      <c r="M330" s="73" t="str">
        <f t="shared" si="32"/>
        <v/>
      </c>
    </row>
    <row r="331" spans="1:13">
      <c r="A331" s="374" t="str">
        <f>IF(E331="","",VLOOKUP('OPĆI DIO'!$C$3,'OPĆI DIO'!$L$6:$U$138,10,FALSE))</f>
        <v/>
      </c>
      <c r="B331" s="370" t="str">
        <f>IF(E331="","",VLOOKUP('OPĆI DIO'!$C$3,'OPĆI DIO'!$L$6:$U$138,9,FALSE))</f>
        <v/>
      </c>
      <c r="C331" s="371" t="str">
        <f t="shared" si="33"/>
        <v/>
      </c>
      <c r="D331" s="372" t="str">
        <f t="shared" si="34"/>
        <v/>
      </c>
      <c r="E331" s="81"/>
      <c r="F331" s="373" t="str">
        <f t="shared" si="30"/>
        <v/>
      </c>
      <c r="G331" s="359"/>
      <c r="H331" s="359"/>
      <c r="I331" s="359"/>
      <c r="J331" s="81"/>
      <c r="L331" s="73" t="str">
        <f t="shared" si="31"/>
        <v/>
      </c>
      <c r="M331" s="73" t="str">
        <f t="shared" si="32"/>
        <v/>
      </c>
    </row>
    <row r="332" spans="1:13">
      <c r="A332" s="374" t="str">
        <f>IF(E332="","",VLOOKUP('OPĆI DIO'!$C$3,'OPĆI DIO'!$L$6:$U$138,10,FALSE))</f>
        <v/>
      </c>
      <c r="B332" s="370" t="str">
        <f>IF(E332="","",VLOOKUP('OPĆI DIO'!$C$3,'OPĆI DIO'!$L$6:$U$138,9,FALSE))</f>
        <v/>
      </c>
      <c r="C332" s="371" t="str">
        <f t="shared" si="33"/>
        <v/>
      </c>
      <c r="D332" s="372" t="str">
        <f t="shared" si="34"/>
        <v/>
      </c>
      <c r="E332" s="81"/>
      <c r="F332" s="373" t="str">
        <f t="shared" si="30"/>
        <v/>
      </c>
      <c r="G332" s="359"/>
      <c r="H332" s="359"/>
      <c r="I332" s="359"/>
      <c r="J332" s="81"/>
      <c r="L332" s="73" t="str">
        <f t="shared" si="31"/>
        <v/>
      </c>
      <c r="M332" s="73" t="str">
        <f t="shared" si="32"/>
        <v/>
      </c>
    </row>
    <row r="333" spans="1:13">
      <c r="A333" s="374" t="str">
        <f>IF(E333="","",VLOOKUP('OPĆI DIO'!$C$3,'OPĆI DIO'!$L$6:$U$138,10,FALSE))</f>
        <v/>
      </c>
      <c r="B333" s="370" t="str">
        <f>IF(E333="","",VLOOKUP('OPĆI DIO'!$C$3,'OPĆI DIO'!$L$6:$U$138,9,FALSE))</f>
        <v/>
      </c>
      <c r="C333" s="371" t="str">
        <f t="shared" si="33"/>
        <v/>
      </c>
      <c r="D333" s="372" t="str">
        <f t="shared" si="34"/>
        <v/>
      </c>
      <c r="E333" s="81"/>
      <c r="F333" s="373" t="str">
        <f t="shared" si="30"/>
        <v/>
      </c>
      <c r="G333" s="359"/>
      <c r="H333" s="359"/>
      <c r="I333" s="359"/>
      <c r="J333" s="81"/>
      <c r="L333" s="73" t="str">
        <f t="shared" si="31"/>
        <v/>
      </c>
      <c r="M333" s="73" t="str">
        <f t="shared" si="32"/>
        <v/>
      </c>
    </row>
    <row r="334" spans="1:13">
      <c r="A334" s="374" t="str">
        <f>IF(E334="","",VLOOKUP('OPĆI DIO'!$C$3,'OPĆI DIO'!$L$6:$U$138,10,FALSE))</f>
        <v/>
      </c>
      <c r="B334" s="370" t="str">
        <f>IF(E334="","",VLOOKUP('OPĆI DIO'!$C$3,'OPĆI DIO'!$L$6:$U$138,9,FALSE))</f>
        <v/>
      </c>
      <c r="C334" s="371" t="str">
        <f t="shared" si="33"/>
        <v/>
      </c>
      <c r="D334" s="372" t="str">
        <f t="shared" si="34"/>
        <v/>
      </c>
      <c r="E334" s="81"/>
      <c r="F334" s="373" t="str">
        <f t="shared" si="30"/>
        <v/>
      </c>
      <c r="G334" s="359"/>
      <c r="H334" s="359"/>
      <c r="I334" s="359"/>
      <c r="J334" s="81"/>
      <c r="L334" s="73" t="str">
        <f t="shared" si="31"/>
        <v/>
      </c>
      <c r="M334" s="73" t="str">
        <f t="shared" si="32"/>
        <v/>
      </c>
    </row>
    <row r="335" spans="1:13">
      <c r="A335" s="374" t="str">
        <f>IF(E335="","",VLOOKUP('OPĆI DIO'!$C$3,'OPĆI DIO'!$L$6:$U$138,10,FALSE))</f>
        <v/>
      </c>
      <c r="B335" s="370" t="str">
        <f>IF(E335="","",VLOOKUP('OPĆI DIO'!$C$3,'OPĆI DIO'!$L$6:$U$138,9,FALSE))</f>
        <v/>
      </c>
      <c r="C335" s="371" t="str">
        <f t="shared" si="33"/>
        <v/>
      </c>
      <c r="D335" s="372" t="str">
        <f t="shared" si="34"/>
        <v/>
      </c>
      <c r="E335" s="81"/>
      <c r="F335" s="373" t="str">
        <f t="shared" si="30"/>
        <v/>
      </c>
      <c r="G335" s="359"/>
      <c r="H335" s="359"/>
      <c r="I335" s="359"/>
      <c r="J335" s="81"/>
      <c r="L335" s="73" t="str">
        <f t="shared" si="31"/>
        <v/>
      </c>
      <c r="M335" s="73" t="str">
        <f t="shared" si="32"/>
        <v/>
      </c>
    </row>
    <row r="336" spans="1:13">
      <c r="A336" s="374" t="str">
        <f>IF(E336="","",VLOOKUP('OPĆI DIO'!$C$3,'OPĆI DIO'!$L$6:$U$138,10,FALSE))</f>
        <v/>
      </c>
      <c r="B336" s="370" t="str">
        <f>IF(E336="","",VLOOKUP('OPĆI DIO'!$C$3,'OPĆI DIO'!$L$6:$U$138,9,FALSE))</f>
        <v/>
      </c>
      <c r="C336" s="371" t="str">
        <f t="shared" si="33"/>
        <v/>
      </c>
      <c r="D336" s="372" t="str">
        <f t="shared" si="34"/>
        <v/>
      </c>
      <c r="E336" s="81"/>
      <c r="F336" s="373" t="str">
        <f t="shared" si="30"/>
        <v/>
      </c>
      <c r="G336" s="359"/>
      <c r="H336" s="359"/>
      <c r="I336" s="359"/>
      <c r="J336" s="81"/>
      <c r="L336" s="73" t="str">
        <f t="shared" si="31"/>
        <v/>
      </c>
      <c r="M336" s="73" t="str">
        <f t="shared" si="32"/>
        <v/>
      </c>
    </row>
    <row r="337" spans="1:13">
      <c r="A337" s="374" t="str">
        <f>IF(E337="","",VLOOKUP('OPĆI DIO'!$C$3,'OPĆI DIO'!$L$6:$U$138,10,FALSE))</f>
        <v/>
      </c>
      <c r="B337" s="370" t="str">
        <f>IF(E337="","",VLOOKUP('OPĆI DIO'!$C$3,'OPĆI DIO'!$L$6:$U$138,9,FALSE))</f>
        <v/>
      </c>
      <c r="C337" s="371" t="str">
        <f t="shared" si="33"/>
        <v/>
      </c>
      <c r="D337" s="372" t="str">
        <f t="shared" si="34"/>
        <v/>
      </c>
      <c r="E337" s="81"/>
      <c r="F337" s="373" t="str">
        <f t="shared" si="30"/>
        <v/>
      </c>
      <c r="G337" s="359"/>
      <c r="H337" s="359"/>
      <c r="I337" s="359"/>
      <c r="J337" s="81"/>
      <c r="L337" s="73" t="str">
        <f t="shared" si="31"/>
        <v/>
      </c>
      <c r="M337" s="73" t="str">
        <f t="shared" si="32"/>
        <v/>
      </c>
    </row>
    <row r="338" spans="1:13">
      <c r="A338" s="374" t="str">
        <f>IF(E338="","",VLOOKUP('OPĆI DIO'!$C$3,'OPĆI DIO'!$L$6:$U$138,10,FALSE))</f>
        <v/>
      </c>
      <c r="B338" s="370" t="str">
        <f>IF(E338="","",VLOOKUP('OPĆI DIO'!$C$3,'OPĆI DIO'!$L$6:$U$138,9,FALSE))</f>
        <v/>
      </c>
      <c r="C338" s="371" t="str">
        <f t="shared" si="33"/>
        <v/>
      </c>
      <c r="D338" s="372" t="str">
        <f t="shared" si="34"/>
        <v/>
      </c>
      <c r="E338" s="81"/>
      <c r="F338" s="373" t="str">
        <f t="shared" si="30"/>
        <v/>
      </c>
      <c r="G338" s="359"/>
      <c r="H338" s="359"/>
      <c r="I338" s="359"/>
      <c r="J338" s="81"/>
      <c r="L338" s="73" t="str">
        <f t="shared" si="31"/>
        <v/>
      </c>
      <c r="M338" s="73" t="str">
        <f t="shared" si="32"/>
        <v/>
      </c>
    </row>
    <row r="339" spans="1:13">
      <c r="A339" s="374" t="str">
        <f>IF(E339="","",VLOOKUP('OPĆI DIO'!$C$3,'OPĆI DIO'!$L$6:$U$138,10,FALSE))</f>
        <v/>
      </c>
      <c r="B339" s="370" t="str">
        <f>IF(E339="","",VLOOKUP('OPĆI DIO'!$C$3,'OPĆI DIO'!$L$6:$U$138,9,FALSE))</f>
        <v/>
      </c>
      <c r="C339" s="371" t="str">
        <f t="shared" si="33"/>
        <v/>
      </c>
      <c r="D339" s="372" t="str">
        <f t="shared" si="34"/>
        <v/>
      </c>
      <c r="E339" s="81"/>
      <c r="F339" s="373" t="str">
        <f t="shared" si="30"/>
        <v/>
      </c>
      <c r="G339" s="359"/>
      <c r="H339" s="359"/>
      <c r="I339" s="359"/>
      <c r="J339" s="81"/>
      <c r="L339" s="73" t="str">
        <f t="shared" si="31"/>
        <v/>
      </c>
      <c r="M339" s="73" t="str">
        <f t="shared" si="32"/>
        <v/>
      </c>
    </row>
    <row r="340" spans="1:13">
      <c r="A340" s="374" t="str">
        <f>IF(E340="","",VLOOKUP('OPĆI DIO'!$C$3,'OPĆI DIO'!$L$6:$U$138,10,FALSE))</f>
        <v/>
      </c>
      <c r="B340" s="370" t="str">
        <f>IF(E340="","",VLOOKUP('OPĆI DIO'!$C$3,'OPĆI DIO'!$L$6:$U$138,9,FALSE))</f>
        <v/>
      </c>
      <c r="C340" s="371" t="str">
        <f t="shared" si="33"/>
        <v/>
      </c>
      <c r="D340" s="372" t="str">
        <f t="shared" si="34"/>
        <v/>
      </c>
      <c r="E340" s="81"/>
      <c r="F340" s="373" t="str">
        <f t="shared" si="30"/>
        <v/>
      </c>
      <c r="G340" s="359"/>
      <c r="H340" s="359"/>
      <c r="I340" s="359"/>
      <c r="J340" s="81"/>
      <c r="L340" s="73" t="str">
        <f t="shared" si="31"/>
        <v/>
      </c>
      <c r="M340" s="73" t="str">
        <f t="shared" si="32"/>
        <v/>
      </c>
    </row>
    <row r="341" spans="1:13">
      <c r="A341" s="374" t="str">
        <f>IF(E341="","",VLOOKUP('OPĆI DIO'!$C$3,'OPĆI DIO'!$L$6:$U$138,10,FALSE))</f>
        <v/>
      </c>
      <c r="B341" s="370" t="str">
        <f>IF(E341="","",VLOOKUP('OPĆI DIO'!$C$3,'OPĆI DIO'!$L$6:$U$138,9,FALSE))</f>
        <v/>
      </c>
      <c r="C341" s="371" t="str">
        <f t="shared" si="33"/>
        <v/>
      </c>
      <c r="D341" s="372" t="str">
        <f t="shared" si="34"/>
        <v/>
      </c>
      <c r="E341" s="81"/>
      <c r="F341" s="373" t="str">
        <f t="shared" si="30"/>
        <v/>
      </c>
      <c r="G341" s="359"/>
      <c r="H341" s="359"/>
      <c r="I341" s="359"/>
      <c r="J341" s="81"/>
      <c r="L341" s="73" t="str">
        <f t="shared" si="31"/>
        <v/>
      </c>
      <c r="M341" s="73" t="str">
        <f t="shared" si="32"/>
        <v/>
      </c>
    </row>
    <row r="342" spans="1:13">
      <c r="A342" s="374" t="str">
        <f>IF(E342="","",VLOOKUP('OPĆI DIO'!$C$3,'OPĆI DIO'!$L$6:$U$138,10,FALSE))</f>
        <v/>
      </c>
      <c r="B342" s="370" t="str">
        <f>IF(E342="","",VLOOKUP('OPĆI DIO'!$C$3,'OPĆI DIO'!$L$6:$U$138,9,FALSE))</f>
        <v/>
      </c>
      <c r="C342" s="371" t="str">
        <f t="shared" si="33"/>
        <v/>
      </c>
      <c r="D342" s="372" t="str">
        <f t="shared" si="34"/>
        <v/>
      </c>
      <c r="E342" s="81"/>
      <c r="F342" s="373" t="str">
        <f t="shared" si="30"/>
        <v/>
      </c>
      <c r="G342" s="359"/>
      <c r="H342" s="359"/>
      <c r="I342" s="359"/>
      <c r="J342" s="81"/>
      <c r="L342" s="73" t="str">
        <f t="shared" si="31"/>
        <v/>
      </c>
      <c r="M342" s="73" t="str">
        <f t="shared" si="32"/>
        <v/>
      </c>
    </row>
    <row r="343" spans="1:13">
      <c r="A343" s="374" t="str">
        <f>IF(E343="","",VLOOKUP('OPĆI DIO'!$C$3,'OPĆI DIO'!$L$6:$U$138,10,FALSE))</f>
        <v/>
      </c>
      <c r="B343" s="370" t="str">
        <f>IF(E343="","",VLOOKUP('OPĆI DIO'!$C$3,'OPĆI DIO'!$L$6:$U$138,9,FALSE))</f>
        <v/>
      </c>
      <c r="C343" s="371" t="str">
        <f t="shared" si="33"/>
        <v/>
      </c>
      <c r="D343" s="372" t="str">
        <f t="shared" si="34"/>
        <v/>
      </c>
      <c r="E343" s="81"/>
      <c r="F343" s="373" t="str">
        <f t="shared" si="30"/>
        <v/>
      </c>
      <c r="G343" s="359"/>
      <c r="H343" s="359"/>
      <c r="I343" s="359"/>
      <c r="J343" s="81"/>
      <c r="L343" s="73" t="str">
        <f t="shared" si="31"/>
        <v/>
      </c>
      <c r="M343" s="73" t="str">
        <f t="shared" si="32"/>
        <v/>
      </c>
    </row>
    <row r="344" spans="1:13">
      <c r="A344" s="374" t="str">
        <f>IF(E344="","",VLOOKUP('OPĆI DIO'!$C$3,'OPĆI DIO'!$L$6:$U$138,10,FALSE))</f>
        <v/>
      </c>
      <c r="B344" s="370" t="str">
        <f>IF(E344="","",VLOOKUP('OPĆI DIO'!$C$3,'OPĆI DIO'!$L$6:$U$138,9,FALSE))</f>
        <v/>
      </c>
      <c r="C344" s="371" t="str">
        <f t="shared" si="33"/>
        <v/>
      </c>
      <c r="D344" s="372" t="str">
        <f t="shared" si="34"/>
        <v/>
      </c>
      <c r="E344" s="81"/>
      <c r="F344" s="373" t="str">
        <f t="shared" si="30"/>
        <v/>
      </c>
      <c r="G344" s="359"/>
      <c r="H344" s="359"/>
      <c r="I344" s="359"/>
      <c r="J344" s="81"/>
      <c r="L344" s="73" t="str">
        <f t="shared" si="31"/>
        <v/>
      </c>
      <c r="M344" s="73" t="str">
        <f t="shared" si="32"/>
        <v/>
      </c>
    </row>
    <row r="345" spans="1:13">
      <c r="A345" s="374" t="str">
        <f>IF(E345="","",VLOOKUP('OPĆI DIO'!$C$3,'OPĆI DIO'!$L$6:$U$138,10,FALSE))</f>
        <v/>
      </c>
      <c r="B345" s="370" t="str">
        <f>IF(E345="","",VLOOKUP('OPĆI DIO'!$C$3,'OPĆI DIO'!$L$6:$U$138,9,FALSE))</f>
        <v/>
      </c>
      <c r="C345" s="371" t="str">
        <f t="shared" si="33"/>
        <v/>
      </c>
      <c r="D345" s="372" t="str">
        <f t="shared" si="34"/>
        <v/>
      </c>
      <c r="E345" s="81"/>
      <c r="F345" s="373" t="str">
        <f t="shared" si="30"/>
        <v/>
      </c>
      <c r="G345" s="359"/>
      <c r="H345" s="359"/>
      <c r="I345" s="359"/>
      <c r="J345" s="81"/>
      <c r="L345" s="73" t="str">
        <f t="shared" si="31"/>
        <v/>
      </c>
      <c r="M345" s="73" t="str">
        <f t="shared" si="32"/>
        <v/>
      </c>
    </row>
    <row r="346" spans="1:13">
      <c r="A346" s="374" t="str">
        <f>IF(E346="","",VLOOKUP('OPĆI DIO'!$C$3,'OPĆI DIO'!$L$6:$U$138,10,FALSE))</f>
        <v/>
      </c>
      <c r="B346" s="370" t="str">
        <f>IF(E346="","",VLOOKUP('OPĆI DIO'!$C$3,'OPĆI DIO'!$L$6:$U$138,9,FALSE))</f>
        <v/>
      </c>
      <c r="C346" s="371" t="str">
        <f t="shared" si="33"/>
        <v/>
      </c>
      <c r="D346" s="372" t="str">
        <f t="shared" si="34"/>
        <v/>
      </c>
      <c r="E346" s="81"/>
      <c r="F346" s="373" t="str">
        <f t="shared" si="30"/>
        <v/>
      </c>
      <c r="G346" s="359"/>
      <c r="H346" s="359"/>
      <c r="I346" s="359"/>
      <c r="J346" s="81"/>
      <c r="L346" s="73" t="str">
        <f t="shared" si="31"/>
        <v/>
      </c>
      <c r="M346" s="73" t="str">
        <f t="shared" si="32"/>
        <v/>
      </c>
    </row>
    <row r="347" spans="1:13">
      <c r="A347" s="374" t="str">
        <f>IF(E347="","",VLOOKUP('OPĆI DIO'!$C$3,'OPĆI DIO'!$L$6:$U$138,10,FALSE))</f>
        <v/>
      </c>
      <c r="B347" s="370" t="str">
        <f>IF(E347="","",VLOOKUP('OPĆI DIO'!$C$3,'OPĆI DIO'!$L$6:$U$138,9,FALSE))</f>
        <v/>
      </c>
      <c r="C347" s="371" t="str">
        <f t="shared" si="33"/>
        <v/>
      </c>
      <c r="D347" s="372" t="str">
        <f t="shared" si="34"/>
        <v/>
      </c>
      <c r="E347" s="81"/>
      <c r="F347" s="373" t="str">
        <f t="shared" si="30"/>
        <v/>
      </c>
      <c r="G347" s="359"/>
      <c r="H347" s="359"/>
      <c r="I347" s="359"/>
      <c r="J347" s="81"/>
      <c r="L347" s="73" t="str">
        <f t="shared" si="31"/>
        <v/>
      </c>
      <c r="M347" s="73" t="str">
        <f t="shared" si="32"/>
        <v/>
      </c>
    </row>
    <row r="348" spans="1:13">
      <c r="A348" s="374" t="str">
        <f>IF(E348="","",VLOOKUP('OPĆI DIO'!$C$3,'OPĆI DIO'!$L$6:$U$138,10,FALSE))</f>
        <v/>
      </c>
      <c r="B348" s="370" t="str">
        <f>IF(E348="","",VLOOKUP('OPĆI DIO'!$C$3,'OPĆI DIO'!$L$6:$U$138,9,FALSE))</f>
        <v/>
      </c>
      <c r="C348" s="371" t="str">
        <f t="shared" si="33"/>
        <v/>
      </c>
      <c r="D348" s="372" t="str">
        <f t="shared" si="34"/>
        <v/>
      </c>
      <c r="E348" s="81"/>
      <c r="F348" s="373" t="str">
        <f t="shared" si="30"/>
        <v/>
      </c>
      <c r="G348" s="359"/>
      <c r="H348" s="359"/>
      <c r="I348" s="359"/>
      <c r="J348" s="81"/>
      <c r="L348" s="73" t="str">
        <f t="shared" si="31"/>
        <v/>
      </c>
      <c r="M348" s="73" t="str">
        <f t="shared" si="32"/>
        <v/>
      </c>
    </row>
    <row r="349" spans="1:13">
      <c r="A349" s="374" t="str">
        <f>IF(E349="","",VLOOKUP('OPĆI DIO'!$C$3,'OPĆI DIO'!$L$6:$U$138,10,FALSE))</f>
        <v/>
      </c>
      <c r="B349" s="370" t="str">
        <f>IF(E349="","",VLOOKUP('OPĆI DIO'!$C$3,'OPĆI DIO'!$L$6:$U$138,9,FALSE))</f>
        <v/>
      </c>
      <c r="C349" s="371" t="str">
        <f t="shared" si="33"/>
        <v/>
      </c>
      <c r="D349" s="372" t="str">
        <f t="shared" si="34"/>
        <v/>
      </c>
      <c r="E349" s="81"/>
      <c r="F349" s="373" t="str">
        <f t="shared" si="30"/>
        <v/>
      </c>
      <c r="G349" s="359"/>
      <c r="H349" s="359"/>
      <c r="I349" s="359"/>
      <c r="J349" s="81"/>
      <c r="L349" s="73" t="str">
        <f t="shared" si="31"/>
        <v/>
      </c>
      <c r="M349" s="73" t="str">
        <f t="shared" si="32"/>
        <v/>
      </c>
    </row>
    <row r="350" spans="1:13">
      <c r="A350" s="374" t="str">
        <f>IF(E350="","",VLOOKUP('OPĆI DIO'!$C$3,'OPĆI DIO'!$L$6:$U$138,10,FALSE))</f>
        <v/>
      </c>
      <c r="B350" s="370" t="str">
        <f>IF(E350="","",VLOOKUP('OPĆI DIO'!$C$3,'OPĆI DIO'!$L$6:$U$138,9,FALSE))</f>
        <v/>
      </c>
      <c r="C350" s="371" t="str">
        <f t="shared" si="33"/>
        <v/>
      </c>
      <c r="D350" s="372" t="str">
        <f t="shared" si="34"/>
        <v/>
      </c>
      <c r="E350" s="81"/>
      <c r="F350" s="373" t="str">
        <f t="shared" si="30"/>
        <v/>
      </c>
      <c r="G350" s="359"/>
      <c r="H350" s="359"/>
      <c r="I350" s="359"/>
      <c r="J350" s="81"/>
      <c r="L350" s="73" t="str">
        <f t="shared" si="31"/>
        <v/>
      </c>
      <c r="M350" s="73" t="str">
        <f t="shared" si="32"/>
        <v/>
      </c>
    </row>
    <row r="351" spans="1:13">
      <c r="A351" s="374" t="str">
        <f>IF(E351="","",VLOOKUP('OPĆI DIO'!$C$3,'OPĆI DIO'!$L$6:$U$138,10,FALSE))</f>
        <v/>
      </c>
      <c r="B351" s="370" t="str">
        <f>IF(E351="","",VLOOKUP('OPĆI DIO'!$C$3,'OPĆI DIO'!$L$6:$U$138,9,FALSE))</f>
        <v/>
      </c>
      <c r="C351" s="371" t="str">
        <f t="shared" si="33"/>
        <v/>
      </c>
      <c r="D351" s="372" t="str">
        <f t="shared" si="34"/>
        <v/>
      </c>
      <c r="E351" s="81"/>
      <c r="F351" s="373" t="str">
        <f t="shared" si="30"/>
        <v/>
      </c>
      <c r="G351" s="359"/>
      <c r="H351" s="359"/>
      <c r="I351" s="359"/>
      <c r="J351" s="81"/>
      <c r="L351" s="73" t="str">
        <f t="shared" si="31"/>
        <v/>
      </c>
      <c r="M351" s="73" t="str">
        <f t="shared" si="32"/>
        <v/>
      </c>
    </row>
    <row r="352" spans="1:13">
      <c r="A352" s="374" t="str">
        <f>IF(E352="","",VLOOKUP('OPĆI DIO'!$C$3,'OPĆI DIO'!$L$6:$U$138,10,FALSE))</f>
        <v/>
      </c>
      <c r="B352" s="370" t="str">
        <f>IF(E352="","",VLOOKUP('OPĆI DIO'!$C$3,'OPĆI DIO'!$L$6:$U$138,9,FALSE))</f>
        <v/>
      </c>
      <c r="C352" s="371" t="str">
        <f t="shared" si="33"/>
        <v/>
      </c>
      <c r="D352" s="372" t="str">
        <f t="shared" si="34"/>
        <v/>
      </c>
      <c r="E352" s="81"/>
      <c r="F352" s="373" t="str">
        <f t="shared" si="30"/>
        <v/>
      </c>
      <c r="G352" s="359"/>
      <c r="H352" s="359"/>
      <c r="I352" s="359"/>
      <c r="J352" s="81"/>
      <c r="L352" s="73" t="str">
        <f t="shared" si="31"/>
        <v/>
      </c>
      <c r="M352" s="73" t="str">
        <f t="shared" si="32"/>
        <v/>
      </c>
    </row>
    <row r="353" spans="1:13">
      <c r="A353" s="374" t="str">
        <f>IF(E353="","",VLOOKUP('OPĆI DIO'!$C$3,'OPĆI DIO'!$L$6:$U$138,10,FALSE))</f>
        <v/>
      </c>
      <c r="B353" s="370" t="str">
        <f>IF(E353="","",VLOOKUP('OPĆI DIO'!$C$3,'OPĆI DIO'!$L$6:$U$138,9,FALSE))</f>
        <v/>
      </c>
      <c r="C353" s="371" t="str">
        <f t="shared" si="33"/>
        <v/>
      </c>
      <c r="D353" s="372" t="str">
        <f t="shared" si="34"/>
        <v/>
      </c>
      <c r="E353" s="81"/>
      <c r="F353" s="373" t="str">
        <f t="shared" si="30"/>
        <v/>
      </c>
      <c r="G353" s="359"/>
      <c r="H353" s="359"/>
      <c r="I353" s="359"/>
      <c r="J353" s="81"/>
      <c r="L353" s="73" t="str">
        <f t="shared" si="31"/>
        <v/>
      </c>
      <c r="M353" s="73" t="str">
        <f t="shared" si="32"/>
        <v/>
      </c>
    </row>
    <row r="354" spans="1:13">
      <c r="A354" s="374" t="str">
        <f>IF(E354="","",VLOOKUP('OPĆI DIO'!$C$3,'OPĆI DIO'!$L$6:$U$138,10,FALSE))</f>
        <v/>
      </c>
      <c r="B354" s="370" t="str">
        <f>IF(E354="","",VLOOKUP('OPĆI DIO'!$C$3,'OPĆI DIO'!$L$6:$U$138,9,FALSE))</f>
        <v/>
      </c>
      <c r="C354" s="371" t="str">
        <f t="shared" si="33"/>
        <v/>
      </c>
      <c r="D354" s="372" t="str">
        <f t="shared" si="34"/>
        <v/>
      </c>
      <c r="E354" s="81"/>
      <c r="F354" s="373" t="str">
        <f t="shared" si="30"/>
        <v/>
      </c>
      <c r="G354" s="359"/>
      <c r="H354" s="359"/>
      <c r="I354" s="359"/>
      <c r="J354" s="81"/>
      <c r="L354" s="73" t="str">
        <f t="shared" si="31"/>
        <v/>
      </c>
      <c r="M354" s="73" t="str">
        <f t="shared" si="32"/>
        <v/>
      </c>
    </row>
    <row r="355" spans="1:13">
      <c r="A355" s="374" t="str">
        <f>IF(E355="","",VLOOKUP('OPĆI DIO'!$C$3,'OPĆI DIO'!$L$6:$U$138,10,FALSE))</f>
        <v/>
      </c>
      <c r="B355" s="370" t="str">
        <f>IF(E355="","",VLOOKUP('OPĆI DIO'!$C$3,'OPĆI DIO'!$L$6:$U$138,9,FALSE))</f>
        <v/>
      </c>
      <c r="C355" s="371" t="str">
        <f t="shared" si="33"/>
        <v/>
      </c>
      <c r="D355" s="372" t="str">
        <f t="shared" si="34"/>
        <v/>
      </c>
      <c r="E355" s="81"/>
      <c r="F355" s="373" t="str">
        <f t="shared" si="30"/>
        <v/>
      </c>
      <c r="G355" s="359"/>
      <c r="H355" s="359"/>
      <c r="I355" s="359"/>
      <c r="J355" s="81"/>
      <c r="L355" s="73" t="str">
        <f t="shared" si="31"/>
        <v/>
      </c>
      <c r="M355" s="73" t="str">
        <f t="shared" si="32"/>
        <v/>
      </c>
    </row>
    <row r="356" spans="1:13">
      <c r="A356" s="374" t="str">
        <f>IF(E356="","",VLOOKUP('OPĆI DIO'!$C$3,'OPĆI DIO'!$L$6:$U$138,10,FALSE))</f>
        <v/>
      </c>
      <c r="B356" s="370" t="str">
        <f>IF(E356="","",VLOOKUP('OPĆI DIO'!$C$3,'OPĆI DIO'!$L$6:$U$138,9,FALSE))</f>
        <v/>
      </c>
      <c r="C356" s="371" t="str">
        <f t="shared" si="33"/>
        <v/>
      </c>
      <c r="D356" s="372" t="str">
        <f t="shared" si="34"/>
        <v/>
      </c>
      <c r="E356" s="81"/>
      <c r="F356" s="373" t="str">
        <f t="shared" si="30"/>
        <v/>
      </c>
      <c r="G356" s="359"/>
      <c r="H356" s="359"/>
      <c r="I356" s="359"/>
      <c r="J356" s="81"/>
      <c r="L356" s="73" t="str">
        <f t="shared" si="31"/>
        <v/>
      </c>
      <c r="M356" s="73" t="str">
        <f t="shared" si="32"/>
        <v/>
      </c>
    </row>
    <row r="357" spans="1:13">
      <c r="A357" s="374" t="str">
        <f>IF(E357="","",VLOOKUP('OPĆI DIO'!$C$3,'OPĆI DIO'!$L$6:$U$138,10,FALSE))</f>
        <v/>
      </c>
      <c r="B357" s="370" t="str">
        <f>IF(E357="","",VLOOKUP('OPĆI DIO'!$C$3,'OPĆI DIO'!$L$6:$U$138,9,FALSE))</f>
        <v/>
      </c>
      <c r="C357" s="371" t="str">
        <f t="shared" si="33"/>
        <v/>
      </c>
      <c r="D357" s="372" t="str">
        <f t="shared" si="34"/>
        <v/>
      </c>
      <c r="E357" s="81"/>
      <c r="F357" s="373" t="str">
        <f t="shared" si="30"/>
        <v/>
      </c>
      <c r="G357" s="359"/>
      <c r="H357" s="359"/>
      <c r="I357" s="359"/>
      <c r="J357" s="81"/>
      <c r="L357" s="73" t="str">
        <f t="shared" si="31"/>
        <v/>
      </c>
      <c r="M357" s="73" t="str">
        <f t="shared" si="32"/>
        <v/>
      </c>
    </row>
    <row r="358" spans="1:13">
      <c r="A358" s="374" t="str">
        <f>IF(E358="","",VLOOKUP('OPĆI DIO'!$C$3,'OPĆI DIO'!$L$6:$U$138,10,FALSE))</f>
        <v/>
      </c>
      <c r="B358" s="370" t="str">
        <f>IF(E358="","",VLOOKUP('OPĆI DIO'!$C$3,'OPĆI DIO'!$L$6:$U$138,9,FALSE))</f>
        <v/>
      </c>
      <c r="C358" s="371" t="str">
        <f t="shared" si="33"/>
        <v/>
      </c>
      <c r="D358" s="372" t="str">
        <f t="shared" si="34"/>
        <v/>
      </c>
      <c r="E358" s="81"/>
      <c r="F358" s="373" t="str">
        <f t="shared" si="30"/>
        <v/>
      </c>
      <c r="G358" s="359"/>
      <c r="H358" s="359"/>
      <c r="I358" s="359"/>
      <c r="J358" s="81"/>
      <c r="L358" s="73" t="str">
        <f t="shared" si="31"/>
        <v/>
      </c>
      <c r="M358" s="73" t="str">
        <f t="shared" si="32"/>
        <v/>
      </c>
    </row>
    <row r="359" spans="1:13">
      <c r="A359" s="374" t="str">
        <f>IF(E359="","",VLOOKUP('OPĆI DIO'!$C$3,'OPĆI DIO'!$L$6:$U$138,10,FALSE))</f>
        <v/>
      </c>
      <c r="B359" s="370" t="str">
        <f>IF(E359="","",VLOOKUP('OPĆI DIO'!$C$3,'OPĆI DIO'!$L$6:$U$138,9,FALSE))</f>
        <v/>
      </c>
      <c r="C359" s="371" t="str">
        <f t="shared" si="33"/>
        <v/>
      </c>
      <c r="D359" s="372" t="str">
        <f t="shared" si="34"/>
        <v/>
      </c>
      <c r="E359" s="81"/>
      <c r="F359" s="373" t="str">
        <f t="shared" si="30"/>
        <v/>
      </c>
      <c r="G359" s="359"/>
      <c r="H359" s="359"/>
      <c r="I359" s="359"/>
      <c r="J359" s="81"/>
      <c r="L359" s="73" t="str">
        <f t="shared" si="31"/>
        <v/>
      </c>
      <c r="M359" s="73" t="str">
        <f t="shared" si="32"/>
        <v/>
      </c>
    </row>
    <row r="360" spans="1:13">
      <c r="A360" s="374" t="str">
        <f>IF(E360="","",VLOOKUP('OPĆI DIO'!$C$3,'OPĆI DIO'!$L$6:$U$138,10,FALSE))</f>
        <v/>
      </c>
      <c r="B360" s="370" t="str">
        <f>IF(E360="","",VLOOKUP('OPĆI DIO'!$C$3,'OPĆI DIO'!$L$6:$U$138,9,FALSE))</f>
        <v/>
      </c>
      <c r="C360" s="371" t="str">
        <f t="shared" si="33"/>
        <v/>
      </c>
      <c r="D360" s="372" t="str">
        <f t="shared" si="34"/>
        <v/>
      </c>
      <c r="E360" s="81"/>
      <c r="F360" s="373" t="str">
        <f t="shared" si="30"/>
        <v/>
      </c>
      <c r="G360" s="359"/>
      <c r="H360" s="359"/>
      <c r="I360" s="359"/>
      <c r="J360" s="81"/>
      <c r="L360" s="73" t="str">
        <f t="shared" si="31"/>
        <v/>
      </c>
      <c r="M360" s="73" t="str">
        <f t="shared" si="32"/>
        <v/>
      </c>
    </row>
    <row r="361" spans="1:13">
      <c r="A361" s="374" t="str">
        <f>IF(E361="","",VLOOKUP('OPĆI DIO'!$C$3,'OPĆI DIO'!$L$6:$U$138,10,FALSE))</f>
        <v/>
      </c>
      <c r="B361" s="370" t="str">
        <f>IF(E361="","",VLOOKUP('OPĆI DIO'!$C$3,'OPĆI DIO'!$L$6:$U$138,9,FALSE))</f>
        <v/>
      </c>
      <c r="C361" s="371" t="str">
        <f t="shared" si="33"/>
        <v/>
      </c>
      <c r="D361" s="372" t="str">
        <f t="shared" si="34"/>
        <v/>
      </c>
      <c r="E361" s="81"/>
      <c r="F361" s="373" t="str">
        <f t="shared" si="30"/>
        <v/>
      </c>
      <c r="G361" s="359"/>
      <c r="H361" s="359"/>
      <c r="I361" s="359"/>
      <c r="J361" s="81"/>
      <c r="L361" s="73" t="str">
        <f t="shared" si="31"/>
        <v/>
      </c>
      <c r="M361" s="73" t="str">
        <f t="shared" si="32"/>
        <v/>
      </c>
    </row>
    <row r="362" spans="1:13">
      <c r="A362" s="374" t="str">
        <f>IF(E362="","",VLOOKUP('OPĆI DIO'!$C$3,'OPĆI DIO'!$L$6:$U$138,10,FALSE))</f>
        <v/>
      </c>
      <c r="B362" s="370" t="str">
        <f>IF(E362="","",VLOOKUP('OPĆI DIO'!$C$3,'OPĆI DIO'!$L$6:$U$138,9,FALSE))</f>
        <v/>
      </c>
      <c r="C362" s="371" t="str">
        <f t="shared" si="33"/>
        <v/>
      </c>
      <c r="D362" s="372" t="str">
        <f t="shared" si="34"/>
        <v/>
      </c>
      <c r="E362" s="81"/>
      <c r="F362" s="373" t="str">
        <f t="shared" si="30"/>
        <v/>
      </c>
      <c r="G362" s="359"/>
      <c r="H362" s="359"/>
      <c r="I362" s="359"/>
      <c r="J362" s="81"/>
      <c r="L362" s="73" t="str">
        <f t="shared" si="31"/>
        <v/>
      </c>
      <c r="M362" s="73" t="str">
        <f t="shared" si="32"/>
        <v/>
      </c>
    </row>
    <row r="363" spans="1:13">
      <c r="A363" s="374" t="str">
        <f>IF(E363="","",VLOOKUP('OPĆI DIO'!$C$3,'OPĆI DIO'!$L$6:$U$138,10,FALSE))</f>
        <v/>
      </c>
      <c r="B363" s="370" t="str">
        <f>IF(E363="","",VLOOKUP('OPĆI DIO'!$C$3,'OPĆI DIO'!$L$6:$U$138,9,FALSE))</f>
        <v/>
      </c>
      <c r="C363" s="371" t="str">
        <f t="shared" si="33"/>
        <v/>
      </c>
      <c r="D363" s="372" t="str">
        <f t="shared" si="34"/>
        <v/>
      </c>
      <c r="E363" s="81"/>
      <c r="F363" s="373" t="str">
        <f t="shared" si="30"/>
        <v/>
      </c>
      <c r="G363" s="359"/>
      <c r="H363" s="359"/>
      <c r="I363" s="359"/>
      <c r="J363" s="81"/>
      <c r="L363" s="73" t="str">
        <f t="shared" si="31"/>
        <v/>
      </c>
      <c r="M363" s="73" t="str">
        <f t="shared" si="32"/>
        <v/>
      </c>
    </row>
    <row r="364" spans="1:13">
      <c r="A364" s="374" t="str">
        <f>IF(E364="","",VLOOKUP('OPĆI DIO'!$C$3,'OPĆI DIO'!$L$6:$U$138,10,FALSE))</f>
        <v/>
      </c>
      <c r="B364" s="370" t="str">
        <f>IF(E364="","",VLOOKUP('OPĆI DIO'!$C$3,'OPĆI DIO'!$L$6:$U$138,9,FALSE))</f>
        <v/>
      </c>
      <c r="C364" s="371" t="str">
        <f t="shared" si="33"/>
        <v/>
      </c>
      <c r="D364" s="372" t="str">
        <f t="shared" si="34"/>
        <v/>
      </c>
      <c r="E364" s="81"/>
      <c r="F364" s="373" t="str">
        <f t="shared" si="30"/>
        <v/>
      </c>
      <c r="G364" s="359"/>
      <c r="H364" s="359"/>
      <c r="I364" s="359"/>
      <c r="J364" s="81"/>
      <c r="L364" s="73" t="str">
        <f t="shared" si="31"/>
        <v/>
      </c>
      <c r="M364" s="73" t="str">
        <f t="shared" si="32"/>
        <v/>
      </c>
    </row>
    <row r="365" spans="1:13">
      <c r="A365" s="374" t="str">
        <f>IF(E365="","",VLOOKUP('OPĆI DIO'!$C$3,'OPĆI DIO'!$L$6:$U$138,10,FALSE))</f>
        <v/>
      </c>
      <c r="B365" s="370" t="str">
        <f>IF(E365="","",VLOOKUP('OPĆI DIO'!$C$3,'OPĆI DIO'!$L$6:$U$138,9,FALSE))</f>
        <v/>
      </c>
      <c r="C365" s="371" t="str">
        <f t="shared" si="33"/>
        <v/>
      </c>
      <c r="D365" s="372" t="str">
        <f t="shared" si="34"/>
        <v/>
      </c>
      <c r="E365" s="81"/>
      <c r="F365" s="373" t="str">
        <f t="shared" si="30"/>
        <v/>
      </c>
      <c r="G365" s="359"/>
      <c r="H365" s="359"/>
      <c r="I365" s="359"/>
      <c r="J365" s="81"/>
      <c r="L365" s="73" t="str">
        <f t="shared" si="31"/>
        <v/>
      </c>
      <c r="M365" s="73" t="str">
        <f t="shared" si="32"/>
        <v/>
      </c>
    </row>
    <row r="366" spans="1:13">
      <c r="A366" s="374" t="str">
        <f>IF(E366="","",VLOOKUP('OPĆI DIO'!$C$3,'OPĆI DIO'!$L$6:$U$138,10,FALSE))</f>
        <v/>
      </c>
      <c r="B366" s="370" t="str">
        <f>IF(E366="","",VLOOKUP('OPĆI DIO'!$C$3,'OPĆI DIO'!$L$6:$U$138,9,FALSE))</f>
        <v/>
      </c>
      <c r="C366" s="371" t="str">
        <f t="shared" si="33"/>
        <v/>
      </c>
      <c r="D366" s="372" t="str">
        <f t="shared" si="34"/>
        <v/>
      </c>
      <c r="E366" s="81"/>
      <c r="F366" s="373" t="str">
        <f t="shared" si="30"/>
        <v/>
      </c>
      <c r="G366" s="359"/>
      <c r="H366" s="359"/>
      <c r="I366" s="359"/>
      <c r="J366" s="81"/>
      <c r="L366" s="73" t="str">
        <f t="shared" si="31"/>
        <v/>
      </c>
      <c r="M366" s="73" t="str">
        <f t="shared" si="32"/>
        <v/>
      </c>
    </row>
    <row r="367" spans="1:13">
      <c r="A367" s="374" t="str">
        <f>IF(E367="","",VLOOKUP('OPĆI DIO'!$C$3,'OPĆI DIO'!$L$6:$U$138,10,FALSE))</f>
        <v/>
      </c>
      <c r="B367" s="370" t="str">
        <f>IF(E367="","",VLOOKUP('OPĆI DIO'!$C$3,'OPĆI DIO'!$L$6:$U$138,9,FALSE))</f>
        <v/>
      </c>
      <c r="C367" s="371" t="str">
        <f t="shared" si="33"/>
        <v/>
      </c>
      <c r="D367" s="372" t="str">
        <f t="shared" si="34"/>
        <v/>
      </c>
      <c r="E367" s="81"/>
      <c r="F367" s="373" t="str">
        <f t="shared" si="30"/>
        <v/>
      </c>
      <c r="G367" s="359"/>
      <c r="H367" s="359"/>
      <c r="I367" s="359"/>
      <c r="J367" s="81"/>
      <c r="L367" s="73" t="str">
        <f t="shared" si="31"/>
        <v/>
      </c>
      <c r="M367" s="73" t="str">
        <f t="shared" si="32"/>
        <v/>
      </c>
    </row>
    <row r="368" spans="1:13">
      <c r="A368" s="374" t="str">
        <f>IF(E368="","",VLOOKUP('OPĆI DIO'!$C$3,'OPĆI DIO'!$L$6:$U$138,10,FALSE))</f>
        <v/>
      </c>
      <c r="B368" s="370" t="str">
        <f>IF(E368="","",VLOOKUP('OPĆI DIO'!$C$3,'OPĆI DIO'!$L$6:$U$138,9,FALSE))</f>
        <v/>
      </c>
      <c r="C368" s="371" t="str">
        <f t="shared" si="33"/>
        <v/>
      </c>
      <c r="D368" s="372" t="str">
        <f t="shared" si="34"/>
        <v/>
      </c>
      <c r="E368" s="81"/>
      <c r="F368" s="373" t="str">
        <f t="shared" si="30"/>
        <v/>
      </c>
      <c r="G368" s="359"/>
      <c r="H368" s="359"/>
      <c r="I368" s="359"/>
      <c r="J368" s="81"/>
      <c r="L368" s="73" t="str">
        <f t="shared" si="31"/>
        <v/>
      </c>
      <c r="M368" s="73" t="str">
        <f t="shared" si="32"/>
        <v/>
      </c>
    </row>
    <row r="369" spans="1:13">
      <c r="A369" s="374" t="str">
        <f>IF(E369="","",VLOOKUP('OPĆI DIO'!$C$3,'OPĆI DIO'!$L$6:$U$138,10,FALSE))</f>
        <v/>
      </c>
      <c r="B369" s="370" t="str">
        <f>IF(E369="","",VLOOKUP('OPĆI DIO'!$C$3,'OPĆI DIO'!$L$6:$U$138,9,FALSE))</f>
        <v/>
      </c>
      <c r="C369" s="371" t="str">
        <f t="shared" si="33"/>
        <v/>
      </c>
      <c r="D369" s="372" t="str">
        <f t="shared" si="34"/>
        <v/>
      </c>
      <c r="E369" s="81"/>
      <c r="F369" s="373" t="str">
        <f t="shared" si="30"/>
        <v/>
      </c>
      <c r="G369" s="359"/>
      <c r="H369" s="359"/>
      <c r="I369" s="359"/>
      <c r="J369" s="81"/>
      <c r="L369" s="73" t="str">
        <f t="shared" si="31"/>
        <v/>
      </c>
      <c r="M369" s="73" t="str">
        <f t="shared" si="32"/>
        <v/>
      </c>
    </row>
    <row r="370" spans="1:13">
      <c r="A370" s="374" t="str">
        <f>IF(E370="","",VLOOKUP('OPĆI DIO'!$C$3,'OPĆI DIO'!$L$6:$U$138,10,FALSE))</f>
        <v/>
      </c>
      <c r="B370" s="370" t="str">
        <f>IF(E370="","",VLOOKUP('OPĆI DIO'!$C$3,'OPĆI DIO'!$L$6:$U$138,9,FALSE))</f>
        <v/>
      </c>
      <c r="C370" s="371" t="str">
        <f t="shared" si="33"/>
        <v/>
      </c>
      <c r="D370" s="372" t="str">
        <f t="shared" si="34"/>
        <v/>
      </c>
      <c r="E370" s="81"/>
      <c r="F370" s="373" t="str">
        <f t="shared" si="30"/>
        <v/>
      </c>
      <c r="G370" s="359"/>
      <c r="H370" s="359"/>
      <c r="I370" s="359"/>
      <c r="J370" s="81"/>
      <c r="L370" s="73" t="str">
        <f t="shared" si="31"/>
        <v/>
      </c>
      <c r="M370" s="73" t="str">
        <f t="shared" si="32"/>
        <v/>
      </c>
    </row>
    <row r="371" spans="1:13">
      <c r="A371" s="374" t="str">
        <f>IF(E371="","",VLOOKUP('OPĆI DIO'!$C$3,'OPĆI DIO'!$L$6:$U$138,10,FALSE))</f>
        <v/>
      </c>
      <c r="B371" s="370" t="str">
        <f>IF(E371="","",VLOOKUP('OPĆI DIO'!$C$3,'OPĆI DIO'!$L$6:$U$138,9,FALSE))</f>
        <v/>
      </c>
      <c r="C371" s="371" t="str">
        <f t="shared" si="33"/>
        <v/>
      </c>
      <c r="D371" s="372" t="str">
        <f t="shared" si="34"/>
        <v/>
      </c>
      <c r="E371" s="81"/>
      <c r="F371" s="373" t="str">
        <f t="shared" si="30"/>
        <v/>
      </c>
      <c r="G371" s="359"/>
      <c r="H371" s="359"/>
      <c r="I371" s="359"/>
      <c r="J371" s="81"/>
      <c r="L371" s="73" t="str">
        <f t="shared" si="31"/>
        <v/>
      </c>
      <c r="M371" s="73" t="str">
        <f t="shared" si="32"/>
        <v/>
      </c>
    </row>
    <row r="372" spans="1:13">
      <c r="A372" s="374" t="str">
        <f>IF(E372="","",VLOOKUP('OPĆI DIO'!$C$3,'OPĆI DIO'!$L$6:$U$138,10,FALSE))</f>
        <v/>
      </c>
      <c r="B372" s="370" t="str">
        <f>IF(E372="","",VLOOKUP('OPĆI DIO'!$C$3,'OPĆI DIO'!$L$6:$U$138,9,FALSE))</f>
        <v/>
      </c>
      <c r="C372" s="371" t="str">
        <f t="shared" si="33"/>
        <v/>
      </c>
      <c r="D372" s="372" t="str">
        <f t="shared" si="34"/>
        <v/>
      </c>
      <c r="E372" s="81"/>
      <c r="F372" s="373" t="str">
        <f t="shared" si="30"/>
        <v/>
      </c>
      <c r="G372" s="359"/>
      <c r="H372" s="359"/>
      <c r="I372" s="359"/>
      <c r="J372" s="81"/>
      <c r="L372" s="73" t="str">
        <f t="shared" si="31"/>
        <v/>
      </c>
      <c r="M372" s="73" t="str">
        <f t="shared" si="32"/>
        <v/>
      </c>
    </row>
    <row r="373" spans="1:13">
      <c r="A373" s="374" t="str">
        <f>IF(E373="","",VLOOKUP('OPĆI DIO'!$C$3,'OPĆI DIO'!$L$6:$U$138,10,FALSE))</f>
        <v/>
      </c>
      <c r="B373" s="370" t="str">
        <f>IF(E373="","",VLOOKUP('OPĆI DIO'!$C$3,'OPĆI DIO'!$L$6:$U$138,9,FALSE))</f>
        <v/>
      </c>
      <c r="C373" s="371" t="str">
        <f t="shared" si="33"/>
        <v/>
      </c>
      <c r="D373" s="372" t="str">
        <f t="shared" si="34"/>
        <v/>
      </c>
      <c r="E373" s="81"/>
      <c r="F373" s="373" t="str">
        <f t="shared" si="30"/>
        <v/>
      </c>
      <c r="G373" s="359"/>
      <c r="H373" s="359"/>
      <c r="I373" s="359"/>
      <c r="J373" s="81"/>
      <c r="L373" s="73" t="str">
        <f t="shared" si="31"/>
        <v/>
      </c>
      <c r="M373" s="73" t="str">
        <f t="shared" si="32"/>
        <v/>
      </c>
    </row>
    <row r="374" spans="1:13">
      <c r="A374" s="374" t="str">
        <f>IF(E374="","",VLOOKUP('OPĆI DIO'!$C$3,'OPĆI DIO'!$L$6:$U$138,10,FALSE))</f>
        <v/>
      </c>
      <c r="B374" s="370" t="str">
        <f>IF(E374="","",VLOOKUP('OPĆI DIO'!$C$3,'OPĆI DIO'!$L$6:$U$138,9,FALSE))</f>
        <v/>
      </c>
      <c r="C374" s="371" t="str">
        <f t="shared" si="33"/>
        <v/>
      </c>
      <c r="D374" s="372" t="str">
        <f t="shared" si="34"/>
        <v/>
      </c>
      <c r="E374" s="81"/>
      <c r="F374" s="373" t="str">
        <f t="shared" si="30"/>
        <v/>
      </c>
      <c r="G374" s="359"/>
      <c r="H374" s="359"/>
      <c r="I374" s="359"/>
      <c r="J374" s="81"/>
      <c r="L374" s="73" t="str">
        <f t="shared" si="31"/>
        <v/>
      </c>
      <c r="M374" s="73" t="str">
        <f t="shared" si="32"/>
        <v/>
      </c>
    </row>
    <row r="375" spans="1:13">
      <c r="A375" s="374" t="str">
        <f>IF(E375="","",VLOOKUP('OPĆI DIO'!$C$3,'OPĆI DIO'!$L$6:$U$138,10,FALSE))</f>
        <v/>
      </c>
      <c r="B375" s="370" t="str">
        <f>IF(E375="","",VLOOKUP('OPĆI DIO'!$C$3,'OPĆI DIO'!$L$6:$U$138,9,FALSE))</f>
        <v/>
      </c>
      <c r="C375" s="371" t="str">
        <f t="shared" si="33"/>
        <v/>
      </c>
      <c r="D375" s="372" t="str">
        <f t="shared" si="34"/>
        <v/>
      </c>
      <c r="E375" s="81"/>
      <c r="F375" s="373" t="str">
        <f t="shared" si="30"/>
        <v/>
      </c>
      <c r="G375" s="359"/>
      <c r="H375" s="359"/>
      <c r="I375" s="359"/>
      <c r="J375" s="81"/>
      <c r="L375" s="73" t="str">
        <f t="shared" si="31"/>
        <v/>
      </c>
      <c r="M375" s="73" t="str">
        <f t="shared" si="32"/>
        <v/>
      </c>
    </row>
    <row r="376" spans="1:13">
      <c r="A376" s="374" t="str">
        <f>IF(E376="","",VLOOKUP('OPĆI DIO'!$C$3,'OPĆI DIO'!$L$6:$U$138,10,FALSE))</f>
        <v/>
      </c>
      <c r="B376" s="370" t="str">
        <f>IF(E376="","",VLOOKUP('OPĆI DIO'!$C$3,'OPĆI DIO'!$L$6:$U$138,9,FALSE))</f>
        <v/>
      </c>
      <c r="C376" s="371" t="str">
        <f t="shared" si="33"/>
        <v/>
      </c>
      <c r="D376" s="372" t="str">
        <f t="shared" si="34"/>
        <v/>
      </c>
      <c r="E376" s="81"/>
      <c r="F376" s="373" t="str">
        <f t="shared" si="30"/>
        <v/>
      </c>
      <c r="G376" s="359"/>
      <c r="H376" s="359"/>
      <c r="I376" s="359"/>
      <c r="J376" s="81"/>
      <c r="L376" s="73" t="str">
        <f t="shared" si="31"/>
        <v/>
      </c>
      <c r="M376" s="73" t="str">
        <f t="shared" si="32"/>
        <v/>
      </c>
    </row>
    <row r="377" spans="1:13">
      <c r="A377" s="374" t="str">
        <f>IF(E377="","",VLOOKUP('OPĆI DIO'!$C$3,'OPĆI DIO'!$L$6:$U$138,10,FALSE))</f>
        <v/>
      </c>
      <c r="B377" s="370" t="str">
        <f>IF(E377="","",VLOOKUP('OPĆI DIO'!$C$3,'OPĆI DIO'!$L$6:$U$138,9,FALSE))</f>
        <v/>
      </c>
      <c r="C377" s="371" t="str">
        <f t="shared" si="33"/>
        <v/>
      </c>
      <c r="D377" s="372" t="str">
        <f t="shared" si="34"/>
        <v/>
      </c>
      <c r="E377" s="81"/>
      <c r="F377" s="373" t="str">
        <f t="shared" si="30"/>
        <v/>
      </c>
      <c r="G377" s="359"/>
      <c r="H377" s="359"/>
      <c r="I377" s="359"/>
      <c r="J377" s="81"/>
      <c r="L377" s="73" t="str">
        <f t="shared" si="31"/>
        <v/>
      </c>
      <c r="M377" s="73" t="str">
        <f t="shared" si="32"/>
        <v/>
      </c>
    </row>
    <row r="378" spans="1:13">
      <c r="A378" s="374" t="str">
        <f>IF(E378="","",VLOOKUP('OPĆI DIO'!$C$3,'OPĆI DIO'!$L$6:$U$138,10,FALSE))</f>
        <v/>
      </c>
      <c r="B378" s="370" t="str">
        <f>IF(E378="","",VLOOKUP('OPĆI DIO'!$C$3,'OPĆI DIO'!$L$6:$U$138,9,FALSE))</f>
        <v/>
      </c>
      <c r="C378" s="371" t="str">
        <f t="shared" si="33"/>
        <v/>
      </c>
      <c r="D378" s="372" t="str">
        <f t="shared" si="34"/>
        <v/>
      </c>
      <c r="E378" s="81"/>
      <c r="F378" s="373" t="str">
        <f t="shared" si="30"/>
        <v/>
      </c>
      <c r="G378" s="359"/>
      <c r="H378" s="359"/>
      <c r="I378" s="359"/>
      <c r="J378" s="81"/>
      <c r="L378" s="73" t="str">
        <f t="shared" si="31"/>
        <v/>
      </c>
      <c r="M378" s="73" t="str">
        <f t="shared" si="32"/>
        <v/>
      </c>
    </row>
    <row r="379" spans="1:13">
      <c r="A379" s="374" t="str">
        <f>IF(E379="","",VLOOKUP('OPĆI DIO'!$C$3,'OPĆI DIO'!$L$6:$U$138,10,FALSE))</f>
        <v/>
      </c>
      <c r="B379" s="370" t="str">
        <f>IF(E379="","",VLOOKUP('OPĆI DIO'!$C$3,'OPĆI DIO'!$L$6:$U$138,9,FALSE))</f>
        <v/>
      </c>
      <c r="C379" s="371" t="str">
        <f t="shared" si="33"/>
        <v/>
      </c>
      <c r="D379" s="372" t="str">
        <f t="shared" si="34"/>
        <v/>
      </c>
      <c r="E379" s="81"/>
      <c r="F379" s="373" t="str">
        <f t="shared" si="30"/>
        <v/>
      </c>
      <c r="G379" s="359"/>
      <c r="H379" s="359"/>
      <c r="I379" s="359"/>
      <c r="J379" s="81"/>
      <c r="L379" s="73" t="str">
        <f t="shared" si="31"/>
        <v/>
      </c>
      <c r="M379" s="73" t="str">
        <f t="shared" si="32"/>
        <v/>
      </c>
    </row>
    <row r="380" spans="1:13">
      <c r="A380" s="374" t="str">
        <f>IF(E380="","",VLOOKUP('OPĆI DIO'!$C$3,'OPĆI DIO'!$L$6:$U$138,10,FALSE))</f>
        <v/>
      </c>
      <c r="B380" s="370" t="str">
        <f>IF(E380="","",VLOOKUP('OPĆI DIO'!$C$3,'OPĆI DIO'!$L$6:$U$138,9,FALSE))</f>
        <v/>
      </c>
      <c r="C380" s="371" t="str">
        <f t="shared" si="33"/>
        <v/>
      </c>
      <c r="D380" s="372" t="str">
        <f t="shared" si="34"/>
        <v/>
      </c>
      <c r="E380" s="81"/>
      <c r="F380" s="373" t="str">
        <f t="shared" si="30"/>
        <v/>
      </c>
      <c r="G380" s="359"/>
      <c r="H380" s="359"/>
      <c r="I380" s="359"/>
      <c r="J380" s="81"/>
      <c r="L380" s="73" t="str">
        <f t="shared" si="31"/>
        <v/>
      </c>
      <c r="M380" s="73" t="str">
        <f t="shared" si="32"/>
        <v/>
      </c>
    </row>
    <row r="381" spans="1:13">
      <c r="A381" s="374" t="str">
        <f>IF(E381="","",VLOOKUP('OPĆI DIO'!$C$3,'OPĆI DIO'!$L$6:$U$138,10,FALSE))</f>
        <v/>
      </c>
      <c r="B381" s="370" t="str">
        <f>IF(E381="","",VLOOKUP('OPĆI DIO'!$C$3,'OPĆI DIO'!$L$6:$U$138,9,FALSE))</f>
        <v/>
      </c>
      <c r="C381" s="371" t="str">
        <f t="shared" si="33"/>
        <v/>
      </c>
      <c r="D381" s="372" t="str">
        <f t="shared" si="34"/>
        <v/>
      </c>
      <c r="E381" s="81"/>
      <c r="F381" s="373" t="str">
        <f t="shared" si="30"/>
        <v/>
      </c>
      <c r="G381" s="359"/>
      <c r="H381" s="359"/>
      <c r="I381" s="359"/>
      <c r="J381" s="81"/>
      <c r="L381" s="73" t="str">
        <f t="shared" si="31"/>
        <v/>
      </c>
      <c r="M381" s="73" t="str">
        <f t="shared" si="32"/>
        <v/>
      </c>
    </row>
    <row r="382" spans="1:13">
      <c r="A382" s="374" t="str">
        <f>IF(E382="","",VLOOKUP('OPĆI DIO'!$C$3,'OPĆI DIO'!$L$6:$U$138,10,FALSE))</f>
        <v/>
      </c>
      <c r="B382" s="370" t="str">
        <f>IF(E382="","",VLOOKUP('OPĆI DIO'!$C$3,'OPĆI DIO'!$L$6:$U$138,9,FALSE))</f>
        <v/>
      </c>
      <c r="C382" s="371" t="str">
        <f t="shared" si="33"/>
        <v/>
      </c>
      <c r="D382" s="372" t="str">
        <f t="shared" si="34"/>
        <v/>
      </c>
      <c r="E382" s="81"/>
      <c r="F382" s="373" t="str">
        <f t="shared" si="30"/>
        <v/>
      </c>
      <c r="G382" s="359"/>
      <c r="H382" s="359"/>
      <c r="I382" s="359"/>
      <c r="J382" s="81"/>
      <c r="L382" s="73" t="str">
        <f t="shared" si="31"/>
        <v/>
      </c>
      <c r="M382" s="73" t="str">
        <f t="shared" si="32"/>
        <v/>
      </c>
    </row>
    <row r="383" spans="1:13">
      <c r="A383" s="374" t="str">
        <f>IF(E383="","",VLOOKUP('OPĆI DIO'!$C$3,'OPĆI DIO'!$L$6:$U$138,10,FALSE))</f>
        <v/>
      </c>
      <c r="B383" s="370" t="str">
        <f>IF(E383="","",VLOOKUP('OPĆI DIO'!$C$3,'OPĆI DIO'!$L$6:$U$138,9,FALSE))</f>
        <v/>
      </c>
      <c r="C383" s="371" t="str">
        <f t="shared" si="33"/>
        <v/>
      </c>
      <c r="D383" s="372" t="str">
        <f t="shared" si="34"/>
        <v/>
      </c>
      <c r="E383" s="81"/>
      <c r="F383" s="373" t="str">
        <f t="shared" si="30"/>
        <v/>
      </c>
      <c r="G383" s="359"/>
      <c r="H383" s="359"/>
      <c r="I383" s="359"/>
      <c r="J383" s="81"/>
      <c r="L383" s="73" t="str">
        <f t="shared" si="31"/>
        <v/>
      </c>
      <c r="M383" s="73" t="str">
        <f t="shared" si="32"/>
        <v/>
      </c>
    </row>
    <row r="384" spans="1:13">
      <c r="A384" s="374" t="str">
        <f>IF(E384="","",VLOOKUP('OPĆI DIO'!$C$3,'OPĆI DIO'!$L$6:$U$138,10,FALSE))</f>
        <v/>
      </c>
      <c r="B384" s="370" t="str">
        <f>IF(E384="","",VLOOKUP('OPĆI DIO'!$C$3,'OPĆI DIO'!$L$6:$U$138,9,FALSE))</f>
        <v/>
      </c>
      <c r="C384" s="371" t="str">
        <f t="shared" si="33"/>
        <v/>
      </c>
      <c r="D384" s="372" t="str">
        <f t="shared" si="34"/>
        <v/>
      </c>
      <c r="E384" s="81"/>
      <c r="F384" s="373" t="str">
        <f t="shared" si="30"/>
        <v/>
      </c>
      <c r="G384" s="359"/>
      <c r="H384" s="359"/>
      <c r="I384" s="359"/>
      <c r="J384" s="81"/>
      <c r="L384" s="73" t="str">
        <f t="shared" si="31"/>
        <v/>
      </c>
      <c r="M384" s="73" t="str">
        <f t="shared" si="32"/>
        <v/>
      </c>
    </row>
    <row r="385" spans="1:13">
      <c r="A385" s="374" t="str">
        <f>IF(E385="","",VLOOKUP('OPĆI DIO'!$C$3,'OPĆI DIO'!$L$6:$U$138,10,FALSE))</f>
        <v/>
      </c>
      <c r="B385" s="370" t="str">
        <f>IF(E385="","",VLOOKUP('OPĆI DIO'!$C$3,'OPĆI DIO'!$L$6:$U$138,9,FALSE))</f>
        <v/>
      </c>
      <c r="C385" s="371" t="str">
        <f t="shared" si="33"/>
        <v/>
      </c>
      <c r="D385" s="372" t="str">
        <f t="shared" si="34"/>
        <v/>
      </c>
      <c r="E385" s="81"/>
      <c r="F385" s="373" t="str">
        <f t="shared" si="30"/>
        <v/>
      </c>
      <c r="G385" s="359"/>
      <c r="H385" s="359"/>
      <c r="I385" s="359"/>
      <c r="J385" s="81"/>
      <c r="L385" s="73" t="str">
        <f t="shared" si="31"/>
        <v/>
      </c>
      <c r="M385" s="73" t="str">
        <f t="shared" si="32"/>
        <v/>
      </c>
    </row>
    <row r="386" spans="1:13">
      <c r="A386" s="374" t="str">
        <f>IF(E386="","",VLOOKUP('OPĆI DIO'!$C$3,'OPĆI DIO'!$L$6:$U$138,10,FALSE))</f>
        <v/>
      </c>
      <c r="B386" s="370" t="str">
        <f>IF(E386="","",VLOOKUP('OPĆI DIO'!$C$3,'OPĆI DIO'!$L$6:$U$138,9,FALSE))</f>
        <v/>
      </c>
      <c r="C386" s="371" t="str">
        <f t="shared" si="33"/>
        <v/>
      </c>
      <c r="D386" s="372" t="str">
        <f t="shared" si="34"/>
        <v/>
      </c>
      <c r="E386" s="81"/>
      <c r="F386" s="373" t="str">
        <f t="shared" si="30"/>
        <v/>
      </c>
      <c r="G386" s="359"/>
      <c r="H386" s="359"/>
      <c r="I386" s="359"/>
      <c r="J386" s="81"/>
      <c r="L386" s="73" t="str">
        <f t="shared" si="31"/>
        <v/>
      </c>
      <c r="M386" s="73" t="str">
        <f t="shared" si="32"/>
        <v/>
      </c>
    </row>
    <row r="387" spans="1:13">
      <c r="A387" s="374" t="str">
        <f>IF(E387="","",VLOOKUP('OPĆI DIO'!$C$3,'OPĆI DIO'!$L$6:$U$138,10,FALSE))</f>
        <v/>
      </c>
      <c r="B387" s="370" t="str">
        <f>IF(E387="","",VLOOKUP('OPĆI DIO'!$C$3,'OPĆI DIO'!$L$6:$U$138,9,FALSE))</f>
        <v/>
      </c>
      <c r="C387" s="371" t="str">
        <f t="shared" si="33"/>
        <v/>
      </c>
      <c r="D387" s="372" t="str">
        <f t="shared" si="34"/>
        <v/>
      </c>
      <c r="E387" s="81"/>
      <c r="F387" s="373" t="str">
        <f t="shared" ref="F387:F450" si="35">IFERROR(VLOOKUP(E387,$R$6:$U$113,2,FALSE),"")</f>
        <v/>
      </c>
      <c r="G387" s="359"/>
      <c r="H387" s="359"/>
      <c r="I387" s="359"/>
      <c r="J387" s="81"/>
      <c r="L387" s="73" t="str">
        <f t="shared" si="31"/>
        <v/>
      </c>
      <c r="M387" s="73" t="str">
        <f t="shared" si="32"/>
        <v/>
      </c>
    </row>
    <row r="388" spans="1:13">
      <c r="A388" s="374" t="str">
        <f>IF(E388="","",VLOOKUP('OPĆI DIO'!$C$3,'OPĆI DIO'!$L$6:$U$138,10,FALSE))</f>
        <v/>
      </c>
      <c r="B388" s="370" t="str">
        <f>IF(E388="","",VLOOKUP('OPĆI DIO'!$C$3,'OPĆI DIO'!$L$6:$U$138,9,FALSE))</f>
        <v/>
      </c>
      <c r="C388" s="371" t="str">
        <f t="shared" si="33"/>
        <v/>
      </c>
      <c r="D388" s="372" t="str">
        <f t="shared" si="34"/>
        <v/>
      </c>
      <c r="E388" s="81"/>
      <c r="F388" s="373" t="str">
        <f t="shared" si="35"/>
        <v/>
      </c>
      <c r="G388" s="359"/>
      <c r="H388" s="359"/>
      <c r="I388" s="359"/>
      <c r="J388" s="81"/>
      <c r="L388" s="73" t="str">
        <f t="shared" ref="L388:L451" si="36">LEFT(E388,2)</f>
        <v/>
      </c>
      <c r="M388" s="73" t="str">
        <f t="shared" ref="M388:M451" si="37">LEFT(E388,3)</f>
        <v/>
      </c>
    </row>
    <row r="389" spans="1:13">
      <c r="A389" s="374" t="str">
        <f>IF(E389="","",VLOOKUP('OPĆI DIO'!$C$3,'OPĆI DIO'!$L$6:$U$138,10,FALSE))</f>
        <v/>
      </c>
      <c r="B389" s="370" t="str">
        <f>IF(E389="","",VLOOKUP('OPĆI DIO'!$C$3,'OPĆI DIO'!$L$6:$U$138,9,FALSE))</f>
        <v/>
      </c>
      <c r="C389" s="371" t="str">
        <f t="shared" si="33"/>
        <v/>
      </c>
      <c r="D389" s="372" t="str">
        <f t="shared" si="34"/>
        <v/>
      </c>
      <c r="E389" s="81"/>
      <c r="F389" s="373" t="str">
        <f t="shared" si="35"/>
        <v/>
      </c>
      <c r="G389" s="359"/>
      <c r="H389" s="359"/>
      <c r="I389" s="359"/>
      <c r="J389" s="81"/>
      <c r="L389" s="73" t="str">
        <f t="shared" si="36"/>
        <v/>
      </c>
      <c r="M389" s="73" t="str">
        <f t="shared" si="37"/>
        <v/>
      </c>
    </row>
    <row r="390" spans="1:13">
      <c r="A390" s="374" t="str">
        <f>IF(E390="","",VLOOKUP('OPĆI DIO'!$C$3,'OPĆI DIO'!$L$6:$U$138,10,FALSE))</f>
        <v/>
      </c>
      <c r="B390" s="370" t="str">
        <f>IF(E390="","",VLOOKUP('OPĆI DIO'!$C$3,'OPĆI DIO'!$L$6:$U$138,9,FALSE))</f>
        <v/>
      </c>
      <c r="C390" s="371" t="str">
        <f t="shared" si="33"/>
        <v/>
      </c>
      <c r="D390" s="372" t="str">
        <f t="shared" si="34"/>
        <v/>
      </c>
      <c r="E390" s="81"/>
      <c r="F390" s="373" t="str">
        <f t="shared" si="35"/>
        <v/>
      </c>
      <c r="G390" s="359"/>
      <c r="H390" s="359"/>
      <c r="I390" s="359"/>
      <c r="J390" s="81"/>
      <c r="L390" s="73" t="str">
        <f t="shared" si="36"/>
        <v/>
      </c>
      <c r="M390" s="73" t="str">
        <f t="shared" si="37"/>
        <v/>
      </c>
    </row>
    <row r="391" spans="1:13">
      <c r="A391" s="374" t="str">
        <f>IF(E391="","",VLOOKUP('OPĆI DIO'!$C$3,'OPĆI DIO'!$L$6:$U$138,10,FALSE))</f>
        <v/>
      </c>
      <c r="B391" s="370" t="str">
        <f>IF(E391="","",VLOOKUP('OPĆI DIO'!$C$3,'OPĆI DIO'!$L$6:$U$138,9,FALSE))</f>
        <v/>
      </c>
      <c r="C391" s="371" t="str">
        <f t="shared" si="33"/>
        <v/>
      </c>
      <c r="D391" s="372" t="str">
        <f t="shared" si="34"/>
        <v/>
      </c>
      <c r="E391" s="81"/>
      <c r="F391" s="373" t="str">
        <f t="shared" si="35"/>
        <v/>
      </c>
      <c r="G391" s="359"/>
      <c r="H391" s="359"/>
      <c r="I391" s="359"/>
      <c r="J391" s="81"/>
      <c r="L391" s="73" t="str">
        <f t="shared" si="36"/>
        <v/>
      </c>
      <c r="M391" s="73" t="str">
        <f t="shared" si="37"/>
        <v/>
      </c>
    </row>
    <row r="392" spans="1:13">
      <c r="A392" s="374" t="str">
        <f>IF(E392="","",VLOOKUP('OPĆI DIO'!$C$3,'OPĆI DIO'!$L$6:$U$138,10,FALSE))</f>
        <v/>
      </c>
      <c r="B392" s="370" t="str">
        <f>IF(E392="","",VLOOKUP('OPĆI DIO'!$C$3,'OPĆI DIO'!$L$6:$U$138,9,FALSE))</f>
        <v/>
      </c>
      <c r="C392" s="371" t="str">
        <f t="shared" si="33"/>
        <v/>
      </c>
      <c r="D392" s="372" t="str">
        <f t="shared" si="34"/>
        <v/>
      </c>
      <c r="E392" s="81"/>
      <c r="F392" s="373" t="str">
        <f t="shared" si="35"/>
        <v/>
      </c>
      <c r="G392" s="359"/>
      <c r="H392" s="359"/>
      <c r="I392" s="359"/>
      <c r="J392" s="81"/>
      <c r="L392" s="73" t="str">
        <f t="shared" si="36"/>
        <v/>
      </c>
      <c r="M392" s="73" t="str">
        <f t="shared" si="37"/>
        <v/>
      </c>
    </row>
    <row r="393" spans="1:13">
      <c r="A393" s="374" t="str">
        <f>IF(E393="","",VLOOKUP('OPĆI DIO'!$C$3,'OPĆI DIO'!$L$6:$U$138,10,FALSE))</f>
        <v/>
      </c>
      <c r="B393" s="370" t="str">
        <f>IF(E393="","",VLOOKUP('OPĆI DIO'!$C$3,'OPĆI DIO'!$L$6:$U$138,9,FALSE))</f>
        <v/>
      </c>
      <c r="C393" s="371" t="str">
        <f t="shared" si="33"/>
        <v/>
      </c>
      <c r="D393" s="372" t="str">
        <f t="shared" si="34"/>
        <v/>
      </c>
      <c r="E393" s="81"/>
      <c r="F393" s="373" t="str">
        <f t="shared" si="35"/>
        <v/>
      </c>
      <c r="G393" s="359"/>
      <c r="H393" s="359"/>
      <c r="I393" s="359"/>
      <c r="J393" s="81"/>
      <c r="L393" s="73" t="str">
        <f t="shared" si="36"/>
        <v/>
      </c>
      <c r="M393" s="73" t="str">
        <f t="shared" si="37"/>
        <v/>
      </c>
    </row>
    <row r="394" spans="1:13">
      <c r="A394" s="374" t="str">
        <f>IF(E394="","",VLOOKUP('OPĆI DIO'!$C$3,'OPĆI DIO'!$L$6:$U$138,10,FALSE))</f>
        <v/>
      </c>
      <c r="B394" s="370" t="str">
        <f>IF(E394="","",VLOOKUP('OPĆI DIO'!$C$3,'OPĆI DIO'!$L$6:$U$138,9,FALSE))</f>
        <v/>
      </c>
      <c r="C394" s="371" t="str">
        <f t="shared" ref="C394:C457" si="38">IFERROR(VLOOKUP(E394,$R$6:$U$113,3,FALSE),"")</f>
        <v/>
      </c>
      <c r="D394" s="372" t="str">
        <f t="shared" ref="D394:D457" si="39">IFERROR(VLOOKUP(E394,$R$6:$U$113,4,FALSE),"")</f>
        <v/>
      </c>
      <c r="E394" s="81"/>
      <c r="F394" s="373" t="str">
        <f t="shared" si="35"/>
        <v/>
      </c>
      <c r="G394" s="359"/>
      <c r="H394" s="359"/>
      <c r="I394" s="359"/>
      <c r="J394" s="81"/>
      <c r="L394" s="73" t="str">
        <f t="shared" si="36"/>
        <v/>
      </c>
      <c r="M394" s="73" t="str">
        <f t="shared" si="37"/>
        <v/>
      </c>
    </row>
    <row r="395" spans="1:13">
      <c r="A395" s="374" t="str">
        <f>IF(E395="","",VLOOKUP('OPĆI DIO'!$C$3,'OPĆI DIO'!$L$6:$U$138,10,FALSE))</f>
        <v/>
      </c>
      <c r="B395" s="370" t="str">
        <f>IF(E395="","",VLOOKUP('OPĆI DIO'!$C$3,'OPĆI DIO'!$L$6:$U$138,9,FALSE))</f>
        <v/>
      </c>
      <c r="C395" s="371" t="str">
        <f t="shared" si="38"/>
        <v/>
      </c>
      <c r="D395" s="372" t="str">
        <f t="shared" si="39"/>
        <v/>
      </c>
      <c r="E395" s="81"/>
      <c r="F395" s="373" t="str">
        <f t="shared" si="35"/>
        <v/>
      </c>
      <c r="G395" s="359"/>
      <c r="H395" s="359"/>
      <c r="I395" s="359"/>
      <c r="J395" s="81"/>
      <c r="L395" s="73" t="str">
        <f t="shared" si="36"/>
        <v/>
      </c>
      <c r="M395" s="73" t="str">
        <f t="shared" si="37"/>
        <v/>
      </c>
    </row>
    <row r="396" spans="1:13">
      <c r="A396" s="374" t="str">
        <f>IF(E396="","",VLOOKUP('OPĆI DIO'!$C$3,'OPĆI DIO'!$L$6:$U$138,10,FALSE))</f>
        <v/>
      </c>
      <c r="B396" s="370" t="str">
        <f>IF(E396="","",VLOOKUP('OPĆI DIO'!$C$3,'OPĆI DIO'!$L$6:$U$138,9,FALSE))</f>
        <v/>
      </c>
      <c r="C396" s="371" t="str">
        <f t="shared" si="38"/>
        <v/>
      </c>
      <c r="D396" s="372" t="str">
        <f t="shared" si="39"/>
        <v/>
      </c>
      <c r="E396" s="81"/>
      <c r="F396" s="373" t="str">
        <f t="shared" si="35"/>
        <v/>
      </c>
      <c r="G396" s="359"/>
      <c r="H396" s="359"/>
      <c r="I396" s="359"/>
      <c r="J396" s="81"/>
      <c r="L396" s="73" t="str">
        <f t="shared" si="36"/>
        <v/>
      </c>
      <c r="M396" s="73" t="str">
        <f t="shared" si="37"/>
        <v/>
      </c>
    </row>
    <row r="397" spans="1:13">
      <c r="A397" s="374" t="str">
        <f>IF(E397="","",VLOOKUP('OPĆI DIO'!$C$3,'OPĆI DIO'!$L$6:$U$138,10,FALSE))</f>
        <v/>
      </c>
      <c r="B397" s="370" t="str">
        <f>IF(E397="","",VLOOKUP('OPĆI DIO'!$C$3,'OPĆI DIO'!$L$6:$U$138,9,FALSE))</f>
        <v/>
      </c>
      <c r="C397" s="371" t="str">
        <f t="shared" si="38"/>
        <v/>
      </c>
      <c r="D397" s="372" t="str">
        <f t="shared" si="39"/>
        <v/>
      </c>
      <c r="E397" s="81"/>
      <c r="F397" s="373" t="str">
        <f t="shared" si="35"/>
        <v/>
      </c>
      <c r="G397" s="359"/>
      <c r="H397" s="359"/>
      <c r="I397" s="359"/>
      <c r="J397" s="81"/>
      <c r="L397" s="73" t="str">
        <f t="shared" si="36"/>
        <v/>
      </c>
      <c r="M397" s="73" t="str">
        <f t="shared" si="37"/>
        <v/>
      </c>
    </row>
    <row r="398" spans="1:13">
      <c r="A398" s="374" t="str">
        <f>IF(E398="","",VLOOKUP('OPĆI DIO'!$C$3,'OPĆI DIO'!$L$6:$U$138,10,FALSE))</f>
        <v/>
      </c>
      <c r="B398" s="370" t="str">
        <f>IF(E398="","",VLOOKUP('OPĆI DIO'!$C$3,'OPĆI DIO'!$L$6:$U$138,9,FALSE))</f>
        <v/>
      </c>
      <c r="C398" s="371" t="str">
        <f t="shared" si="38"/>
        <v/>
      </c>
      <c r="D398" s="372" t="str">
        <f t="shared" si="39"/>
        <v/>
      </c>
      <c r="E398" s="81"/>
      <c r="F398" s="373" t="str">
        <f t="shared" si="35"/>
        <v/>
      </c>
      <c r="G398" s="359"/>
      <c r="H398" s="359"/>
      <c r="I398" s="359"/>
      <c r="J398" s="81"/>
      <c r="L398" s="73" t="str">
        <f t="shared" si="36"/>
        <v/>
      </c>
      <c r="M398" s="73" t="str">
        <f t="shared" si="37"/>
        <v/>
      </c>
    </row>
    <row r="399" spans="1:13">
      <c r="A399" s="374" t="str">
        <f>IF(E399="","",VLOOKUP('OPĆI DIO'!$C$3,'OPĆI DIO'!$L$6:$U$138,10,FALSE))</f>
        <v/>
      </c>
      <c r="B399" s="370" t="str">
        <f>IF(E399="","",VLOOKUP('OPĆI DIO'!$C$3,'OPĆI DIO'!$L$6:$U$138,9,FALSE))</f>
        <v/>
      </c>
      <c r="C399" s="371" t="str">
        <f t="shared" si="38"/>
        <v/>
      </c>
      <c r="D399" s="372" t="str">
        <f t="shared" si="39"/>
        <v/>
      </c>
      <c r="E399" s="81"/>
      <c r="F399" s="373" t="str">
        <f t="shared" si="35"/>
        <v/>
      </c>
      <c r="G399" s="359"/>
      <c r="H399" s="359"/>
      <c r="I399" s="359"/>
      <c r="J399" s="81"/>
      <c r="L399" s="73" t="str">
        <f t="shared" si="36"/>
        <v/>
      </c>
      <c r="M399" s="73" t="str">
        <f t="shared" si="37"/>
        <v/>
      </c>
    </row>
    <row r="400" spans="1:13">
      <c r="A400" s="374" t="str">
        <f>IF(E400="","",VLOOKUP('OPĆI DIO'!$C$3,'OPĆI DIO'!$L$6:$U$138,10,FALSE))</f>
        <v/>
      </c>
      <c r="B400" s="370" t="str">
        <f>IF(E400="","",VLOOKUP('OPĆI DIO'!$C$3,'OPĆI DIO'!$L$6:$U$138,9,FALSE))</f>
        <v/>
      </c>
      <c r="C400" s="371" t="str">
        <f t="shared" si="38"/>
        <v/>
      </c>
      <c r="D400" s="372" t="str">
        <f t="shared" si="39"/>
        <v/>
      </c>
      <c r="E400" s="81"/>
      <c r="F400" s="373" t="str">
        <f t="shared" si="35"/>
        <v/>
      </c>
      <c r="G400" s="359"/>
      <c r="H400" s="359"/>
      <c r="I400" s="359"/>
      <c r="J400" s="81"/>
      <c r="L400" s="73" t="str">
        <f t="shared" si="36"/>
        <v/>
      </c>
      <c r="M400" s="73" t="str">
        <f t="shared" si="37"/>
        <v/>
      </c>
    </row>
    <row r="401" spans="1:13">
      <c r="A401" s="374" t="str">
        <f>IF(E401="","",VLOOKUP('OPĆI DIO'!$C$3,'OPĆI DIO'!$L$6:$U$138,10,FALSE))</f>
        <v/>
      </c>
      <c r="B401" s="370" t="str">
        <f>IF(E401="","",VLOOKUP('OPĆI DIO'!$C$3,'OPĆI DIO'!$L$6:$U$138,9,FALSE))</f>
        <v/>
      </c>
      <c r="C401" s="371" t="str">
        <f t="shared" si="38"/>
        <v/>
      </c>
      <c r="D401" s="372" t="str">
        <f t="shared" si="39"/>
        <v/>
      </c>
      <c r="E401" s="81"/>
      <c r="F401" s="373" t="str">
        <f t="shared" si="35"/>
        <v/>
      </c>
      <c r="G401" s="359"/>
      <c r="H401" s="359"/>
      <c r="I401" s="359"/>
      <c r="J401" s="81"/>
      <c r="L401" s="73" t="str">
        <f t="shared" si="36"/>
        <v/>
      </c>
      <c r="M401" s="73" t="str">
        <f t="shared" si="37"/>
        <v/>
      </c>
    </row>
    <row r="402" spans="1:13">
      <c r="A402" s="374" t="str">
        <f>IF(E402="","",VLOOKUP('OPĆI DIO'!$C$3,'OPĆI DIO'!$L$6:$U$138,10,FALSE))</f>
        <v/>
      </c>
      <c r="B402" s="370" t="str">
        <f>IF(E402="","",VLOOKUP('OPĆI DIO'!$C$3,'OPĆI DIO'!$L$6:$U$138,9,FALSE))</f>
        <v/>
      </c>
      <c r="C402" s="371" t="str">
        <f t="shared" si="38"/>
        <v/>
      </c>
      <c r="D402" s="372" t="str">
        <f t="shared" si="39"/>
        <v/>
      </c>
      <c r="E402" s="81"/>
      <c r="F402" s="373" t="str">
        <f t="shared" si="35"/>
        <v/>
      </c>
      <c r="G402" s="359"/>
      <c r="H402" s="359"/>
      <c r="I402" s="359"/>
      <c r="J402" s="81"/>
      <c r="L402" s="73" t="str">
        <f t="shared" si="36"/>
        <v/>
      </c>
      <c r="M402" s="73" t="str">
        <f t="shared" si="37"/>
        <v/>
      </c>
    </row>
    <row r="403" spans="1:13">
      <c r="A403" s="374" t="str">
        <f>IF(E403="","",VLOOKUP('OPĆI DIO'!$C$3,'OPĆI DIO'!$L$6:$U$138,10,FALSE))</f>
        <v/>
      </c>
      <c r="B403" s="370" t="str">
        <f>IF(E403="","",VLOOKUP('OPĆI DIO'!$C$3,'OPĆI DIO'!$L$6:$U$138,9,FALSE))</f>
        <v/>
      </c>
      <c r="C403" s="371" t="str">
        <f t="shared" si="38"/>
        <v/>
      </c>
      <c r="D403" s="372" t="str">
        <f t="shared" si="39"/>
        <v/>
      </c>
      <c r="E403" s="81"/>
      <c r="F403" s="373" t="str">
        <f t="shared" si="35"/>
        <v/>
      </c>
      <c r="G403" s="359"/>
      <c r="H403" s="359"/>
      <c r="I403" s="359"/>
      <c r="J403" s="81"/>
      <c r="L403" s="73" t="str">
        <f t="shared" si="36"/>
        <v/>
      </c>
      <c r="M403" s="73" t="str">
        <f t="shared" si="37"/>
        <v/>
      </c>
    </row>
    <row r="404" spans="1:13">
      <c r="A404" s="374" t="str">
        <f>IF(E404="","",VLOOKUP('OPĆI DIO'!$C$3,'OPĆI DIO'!$L$6:$U$138,10,FALSE))</f>
        <v/>
      </c>
      <c r="B404" s="370" t="str">
        <f>IF(E404="","",VLOOKUP('OPĆI DIO'!$C$3,'OPĆI DIO'!$L$6:$U$138,9,FALSE))</f>
        <v/>
      </c>
      <c r="C404" s="371" t="str">
        <f t="shared" si="38"/>
        <v/>
      </c>
      <c r="D404" s="372" t="str">
        <f t="shared" si="39"/>
        <v/>
      </c>
      <c r="E404" s="81"/>
      <c r="F404" s="373" t="str">
        <f t="shared" si="35"/>
        <v/>
      </c>
      <c r="G404" s="359"/>
      <c r="H404" s="359"/>
      <c r="I404" s="359"/>
      <c r="J404" s="81"/>
      <c r="L404" s="73" t="str">
        <f t="shared" si="36"/>
        <v/>
      </c>
      <c r="M404" s="73" t="str">
        <f t="shared" si="37"/>
        <v/>
      </c>
    </row>
    <row r="405" spans="1:13">
      <c r="A405" s="374" t="str">
        <f>IF(E405="","",VLOOKUP('OPĆI DIO'!$C$3,'OPĆI DIO'!$L$6:$U$138,10,FALSE))</f>
        <v/>
      </c>
      <c r="B405" s="370" t="str">
        <f>IF(E405="","",VLOOKUP('OPĆI DIO'!$C$3,'OPĆI DIO'!$L$6:$U$138,9,FALSE))</f>
        <v/>
      </c>
      <c r="C405" s="371" t="str">
        <f t="shared" si="38"/>
        <v/>
      </c>
      <c r="D405" s="372" t="str">
        <f t="shared" si="39"/>
        <v/>
      </c>
      <c r="E405" s="81"/>
      <c r="F405" s="373" t="str">
        <f t="shared" si="35"/>
        <v/>
      </c>
      <c r="G405" s="359"/>
      <c r="H405" s="359"/>
      <c r="I405" s="359"/>
      <c r="J405" s="81"/>
      <c r="L405" s="73" t="str">
        <f t="shared" si="36"/>
        <v/>
      </c>
      <c r="M405" s="73" t="str">
        <f t="shared" si="37"/>
        <v/>
      </c>
    </row>
    <row r="406" spans="1:13">
      <c r="A406" s="374" t="str">
        <f>IF(E406="","",VLOOKUP('OPĆI DIO'!$C$3,'OPĆI DIO'!$L$6:$U$138,10,FALSE))</f>
        <v/>
      </c>
      <c r="B406" s="370" t="str">
        <f>IF(E406="","",VLOOKUP('OPĆI DIO'!$C$3,'OPĆI DIO'!$L$6:$U$138,9,FALSE))</f>
        <v/>
      </c>
      <c r="C406" s="371" t="str">
        <f t="shared" si="38"/>
        <v/>
      </c>
      <c r="D406" s="372" t="str">
        <f t="shared" si="39"/>
        <v/>
      </c>
      <c r="E406" s="81"/>
      <c r="F406" s="373" t="str">
        <f t="shared" si="35"/>
        <v/>
      </c>
      <c r="G406" s="359"/>
      <c r="H406" s="359"/>
      <c r="I406" s="359"/>
      <c r="J406" s="81"/>
      <c r="L406" s="73" t="str">
        <f t="shared" si="36"/>
        <v/>
      </c>
      <c r="M406" s="73" t="str">
        <f t="shared" si="37"/>
        <v/>
      </c>
    </row>
    <row r="407" spans="1:13">
      <c r="A407" s="374" t="str">
        <f>IF(E407="","",VLOOKUP('OPĆI DIO'!$C$3,'OPĆI DIO'!$L$6:$U$138,10,FALSE))</f>
        <v/>
      </c>
      <c r="B407" s="370" t="str">
        <f>IF(E407="","",VLOOKUP('OPĆI DIO'!$C$3,'OPĆI DIO'!$L$6:$U$138,9,FALSE))</f>
        <v/>
      </c>
      <c r="C407" s="371" t="str">
        <f t="shared" si="38"/>
        <v/>
      </c>
      <c r="D407" s="372" t="str">
        <f t="shared" si="39"/>
        <v/>
      </c>
      <c r="E407" s="81"/>
      <c r="F407" s="373" t="str">
        <f t="shared" si="35"/>
        <v/>
      </c>
      <c r="G407" s="359"/>
      <c r="H407" s="359"/>
      <c r="I407" s="359"/>
      <c r="J407" s="81"/>
      <c r="L407" s="73" t="str">
        <f t="shared" si="36"/>
        <v/>
      </c>
      <c r="M407" s="73" t="str">
        <f t="shared" si="37"/>
        <v/>
      </c>
    </row>
    <row r="408" spans="1:13">
      <c r="A408" s="374" t="str">
        <f>IF(E408="","",VLOOKUP('OPĆI DIO'!$C$3,'OPĆI DIO'!$L$6:$U$138,10,FALSE))</f>
        <v/>
      </c>
      <c r="B408" s="370" t="str">
        <f>IF(E408="","",VLOOKUP('OPĆI DIO'!$C$3,'OPĆI DIO'!$L$6:$U$138,9,FALSE))</f>
        <v/>
      </c>
      <c r="C408" s="371" t="str">
        <f t="shared" si="38"/>
        <v/>
      </c>
      <c r="D408" s="372" t="str">
        <f t="shared" si="39"/>
        <v/>
      </c>
      <c r="E408" s="81"/>
      <c r="F408" s="373" t="str">
        <f t="shared" si="35"/>
        <v/>
      </c>
      <c r="G408" s="359"/>
      <c r="H408" s="359"/>
      <c r="I408" s="359"/>
      <c r="J408" s="81"/>
      <c r="L408" s="73" t="str">
        <f t="shared" si="36"/>
        <v/>
      </c>
      <c r="M408" s="73" t="str">
        <f t="shared" si="37"/>
        <v/>
      </c>
    </row>
    <row r="409" spans="1:13">
      <c r="A409" s="374" t="str">
        <f>IF(E409="","",VLOOKUP('OPĆI DIO'!$C$3,'OPĆI DIO'!$L$6:$U$138,10,FALSE))</f>
        <v/>
      </c>
      <c r="B409" s="370" t="str">
        <f>IF(E409="","",VLOOKUP('OPĆI DIO'!$C$3,'OPĆI DIO'!$L$6:$U$138,9,FALSE))</f>
        <v/>
      </c>
      <c r="C409" s="371" t="str">
        <f t="shared" si="38"/>
        <v/>
      </c>
      <c r="D409" s="372" t="str">
        <f t="shared" si="39"/>
        <v/>
      </c>
      <c r="E409" s="81"/>
      <c r="F409" s="373" t="str">
        <f t="shared" si="35"/>
        <v/>
      </c>
      <c r="G409" s="359"/>
      <c r="H409" s="359"/>
      <c r="I409" s="359"/>
      <c r="J409" s="81"/>
      <c r="L409" s="73" t="str">
        <f t="shared" si="36"/>
        <v/>
      </c>
      <c r="M409" s="73" t="str">
        <f t="shared" si="37"/>
        <v/>
      </c>
    </row>
    <row r="410" spans="1:13">
      <c r="A410" s="374" t="str">
        <f>IF(E410="","",VLOOKUP('OPĆI DIO'!$C$3,'OPĆI DIO'!$L$6:$U$138,10,FALSE))</f>
        <v/>
      </c>
      <c r="B410" s="370" t="str">
        <f>IF(E410="","",VLOOKUP('OPĆI DIO'!$C$3,'OPĆI DIO'!$L$6:$U$138,9,FALSE))</f>
        <v/>
      </c>
      <c r="C410" s="371" t="str">
        <f t="shared" si="38"/>
        <v/>
      </c>
      <c r="D410" s="372" t="str">
        <f t="shared" si="39"/>
        <v/>
      </c>
      <c r="E410" s="81"/>
      <c r="F410" s="373" t="str">
        <f t="shared" si="35"/>
        <v/>
      </c>
      <c r="G410" s="359"/>
      <c r="H410" s="359"/>
      <c r="I410" s="359"/>
      <c r="J410" s="81"/>
      <c r="L410" s="73" t="str">
        <f t="shared" si="36"/>
        <v/>
      </c>
      <c r="M410" s="73" t="str">
        <f t="shared" si="37"/>
        <v/>
      </c>
    </row>
    <row r="411" spans="1:13">
      <c r="A411" s="374" t="str">
        <f>IF(E411="","",VLOOKUP('OPĆI DIO'!$C$3,'OPĆI DIO'!$L$6:$U$138,10,FALSE))</f>
        <v/>
      </c>
      <c r="B411" s="370" t="str">
        <f>IF(E411="","",VLOOKUP('OPĆI DIO'!$C$3,'OPĆI DIO'!$L$6:$U$138,9,FALSE))</f>
        <v/>
      </c>
      <c r="C411" s="371" t="str">
        <f t="shared" si="38"/>
        <v/>
      </c>
      <c r="D411" s="372" t="str">
        <f t="shared" si="39"/>
        <v/>
      </c>
      <c r="E411" s="81"/>
      <c r="F411" s="373" t="str">
        <f t="shared" si="35"/>
        <v/>
      </c>
      <c r="G411" s="359"/>
      <c r="H411" s="359"/>
      <c r="I411" s="359"/>
      <c r="J411" s="81"/>
      <c r="L411" s="73" t="str">
        <f t="shared" si="36"/>
        <v/>
      </c>
      <c r="M411" s="73" t="str">
        <f t="shared" si="37"/>
        <v/>
      </c>
    </row>
    <row r="412" spans="1:13">
      <c r="A412" s="374" t="str">
        <f>IF(E412="","",VLOOKUP('OPĆI DIO'!$C$3,'OPĆI DIO'!$L$6:$U$138,10,FALSE))</f>
        <v/>
      </c>
      <c r="B412" s="370" t="str">
        <f>IF(E412="","",VLOOKUP('OPĆI DIO'!$C$3,'OPĆI DIO'!$L$6:$U$138,9,FALSE))</f>
        <v/>
      </c>
      <c r="C412" s="371" t="str">
        <f t="shared" si="38"/>
        <v/>
      </c>
      <c r="D412" s="372" t="str">
        <f t="shared" si="39"/>
        <v/>
      </c>
      <c r="E412" s="81"/>
      <c r="F412" s="373" t="str">
        <f t="shared" si="35"/>
        <v/>
      </c>
      <c r="G412" s="359"/>
      <c r="H412" s="359"/>
      <c r="I412" s="359"/>
      <c r="J412" s="81"/>
      <c r="L412" s="73" t="str">
        <f t="shared" si="36"/>
        <v/>
      </c>
      <c r="M412" s="73" t="str">
        <f t="shared" si="37"/>
        <v/>
      </c>
    </row>
    <row r="413" spans="1:13">
      <c r="A413" s="374" t="str">
        <f>IF(E413="","",VLOOKUP('OPĆI DIO'!$C$3,'OPĆI DIO'!$L$6:$U$138,10,FALSE))</f>
        <v/>
      </c>
      <c r="B413" s="370" t="str">
        <f>IF(E413="","",VLOOKUP('OPĆI DIO'!$C$3,'OPĆI DIO'!$L$6:$U$138,9,FALSE))</f>
        <v/>
      </c>
      <c r="C413" s="371" t="str">
        <f t="shared" si="38"/>
        <v/>
      </c>
      <c r="D413" s="372" t="str">
        <f t="shared" si="39"/>
        <v/>
      </c>
      <c r="E413" s="81"/>
      <c r="F413" s="373" t="str">
        <f t="shared" si="35"/>
        <v/>
      </c>
      <c r="G413" s="359"/>
      <c r="H413" s="359"/>
      <c r="I413" s="359"/>
      <c r="J413" s="81"/>
      <c r="L413" s="73" t="str">
        <f t="shared" si="36"/>
        <v/>
      </c>
      <c r="M413" s="73" t="str">
        <f t="shared" si="37"/>
        <v/>
      </c>
    </row>
    <row r="414" spans="1:13">
      <c r="A414" s="374" t="str">
        <f>IF(E414="","",VLOOKUP('OPĆI DIO'!$C$3,'OPĆI DIO'!$L$6:$U$138,10,FALSE))</f>
        <v/>
      </c>
      <c r="B414" s="370" t="str">
        <f>IF(E414="","",VLOOKUP('OPĆI DIO'!$C$3,'OPĆI DIO'!$L$6:$U$138,9,FALSE))</f>
        <v/>
      </c>
      <c r="C414" s="371" t="str">
        <f t="shared" si="38"/>
        <v/>
      </c>
      <c r="D414" s="372" t="str">
        <f t="shared" si="39"/>
        <v/>
      </c>
      <c r="E414" s="81"/>
      <c r="F414" s="373" t="str">
        <f t="shared" si="35"/>
        <v/>
      </c>
      <c r="G414" s="359"/>
      <c r="H414" s="359"/>
      <c r="I414" s="359"/>
      <c r="J414" s="81"/>
      <c r="L414" s="73" t="str">
        <f t="shared" si="36"/>
        <v/>
      </c>
      <c r="M414" s="73" t="str">
        <f t="shared" si="37"/>
        <v/>
      </c>
    </row>
    <row r="415" spans="1:13">
      <c r="A415" s="374" t="str">
        <f>IF(E415="","",VLOOKUP('OPĆI DIO'!$C$3,'OPĆI DIO'!$L$6:$U$138,10,FALSE))</f>
        <v/>
      </c>
      <c r="B415" s="370" t="str">
        <f>IF(E415="","",VLOOKUP('OPĆI DIO'!$C$3,'OPĆI DIO'!$L$6:$U$138,9,FALSE))</f>
        <v/>
      </c>
      <c r="C415" s="371" t="str">
        <f t="shared" si="38"/>
        <v/>
      </c>
      <c r="D415" s="372" t="str">
        <f t="shared" si="39"/>
        <v/>
      </c>
      <c r="E415" s="81"/>
      <c r="F415" s="373" t="str">
        <f t="shared" si="35"/>
        <v/>
      </c>
      <c r="G415" s="359"/>
      <c r="H415" s="359"/>
      <c r="I415" s="359"/>
      <c r="J415" s="81"/>
      <c r="L415" s="73" t="str">
        <f t="shared" si="36"/>
        <v/>
      </c>
      <c r="M415" s="73" t="str">
        <f t="shared" si="37"/>
        <v/>
      </c>
    </row>
    <row r="416" spans="1:13">
      <c r="A416" s="374" t="str">
        <f>IF(E416="","",VLOOKUP('OPĆI DIO'!$C$3,'OPĆI DIO'!$L$6:$U$138,10,FALSE))</f>
        <v/>
      </c>
      <c r="B416" s="370" t="str">
        <f>IF(E416="","",VLOOKUP('OPĆI DIO'!$C$3,'OPĆI DIO'!$L$6:$U$138,9,FALSE))</f>
        <v/>
      </c>
      <c r="C416" s="371" t="str">
        <f t="shared" si="38"/>
        <v/>
      </c>
      <c r="D416" s="372" t="str">
        <f t="shared" si="39"/>
        <v/>
      </c>
      <c r="E416" s="81"/>
      <c r="F416" s="373" t="str">
        <f t="shared" si="35"/>
        <v/>
      </c>
      <c r="G416" s="359"/>
      <c r="H416" s="359"/>
      <c r="I416" s="359"/>
      <c r="J416" s="81"/>
      <c r="L416" s="73" t="str">
        <f t="shared" si="36"/>
        <v/>
      </c>
      <c r="M416" s="73" t="str">
        <f t="shared" si="37"/>
        <v/>
      </c>
    </row>
    <row r="417" spans="1:13">
      <c r="A417" s="374" t="str">
        <f>IF(E417="","",VLOOKUP('OPĆI DIO'!$C$3,'OPĆI DIO'!$L$6:$U$138,10,FALSE))</f>
        <v/>
      </c>
      <c r="B417" s="370" t="str">
        <f>IF(E417="","",VLOOKUP('OPĆI DIO'!$C$3,'OPĆI DIO'!$L$6:$U$138,9,FALSE))</f>
        <v/>
      </c>
      <c r="C417" s="371" t="str">
        <f t="shared" si="38"/>
        <v/>
      </c>
      <c r="D417" s="372" t="str">
        <f t="shared" si="39"/>
        <v/>
      </c>
      <c r="E417" s="81"/>
      <c r="F417" s="373" t="str">
        <f t="shared" si="35"/>
        <v/>
      </c>
      <c r="G417" s="359"/>
      <c r="H417" s="359"/>
      <c r="I417" s="359"/>
      <c r="J417" s="81"/>
      <c r="L417" s="73" t="str">
        <f t="shared" si="36"/>
        <v/>
      </c>
      <c r="M417" s="73" t="str">
        <f t="shared" si="37"/>
        <v/>
      </c>
    </row>
    <row r="418" spans="1:13">
      <c r="A418" s="374" t="str">
        <f>IF(E418="","",VLOOKUP('OPĆI DIO'!$C$3,'OPĆI DIO'!$L$6:$U$138,10,FALSE))</f>
        <v/>
      </c>
      <c r="B418" s="370" t="str">
        <f>IF(E418="","",VLOOKUP('OPĆI DIO'!$C$3,'OPĆI DIO'!$L$6:$U$138,9,FALSE))</f>
        <v/>
      </c>
      <c r="C418" s="371" t="str">
        <f t="shared" si="38"/>
        <v/>
      </c>
      <c r="D418" s="372" t="str">
        <f t="shared" si="39"/>
        <v/>
      </c>
      <c r="E418" s="81"/>
      <c r="F418" s="373" t="str">
        <f t="shared" si="35"/>
        <v/>
      </c>
      <c r="G418" s="359"/>
      <c r="H418" s="359"/>
      <c r="I418" s="359"/>
      <c r="J418" s="81"/>
      <c r="L418" s="73" t="str">
        <f t="shared" si="36"/>
        <v/>
      </c>
      <c r="M418" s="73" t="str">
        <f t="shared" si="37"/>
        <v/>
      </c>
    </row>
    <row r="419" spans="1:13">
      <c r="A419" s="374" t="str">
        <f>IF(E419="","",VLOOKUP('OPĆI DIO'!$C$3,'OPĆI DIO'!$L$6:$U$138,10,FALSE))</f>
        <v/>
      </c>
      <c r="B419" s="370" t="str">
        <f>IF(E419="","",VLOOKUP('OPĆI DIO'!$C$3,'OPĆI DIO'!$L$6:$U$138,9,FALSE))</f>
        <v/>
      </c>
      <c r="C419" s="371" t="str">
        <f t="shared" si="38"/>
        <v/>
      </c>
      <c r="D419" s="372" t="str">
        <f t="shared" si="39"/>
        <v/>
      </c>
      <c r="E419" s="81"/>
      <c r="F419" s="373" t="str">
        <f t="shared" si="35"/>
        <v/>
      </c>
      <c r="G419" s="359"/>
      <c r="H419" s="359"/>
      <c r="I419" s="359"/>
      <c r="J419" s="81"/>
      <c r="L419" s="73" t="str">
        <f t="shared" si="36"/>
        <v/>
      </c>
      <c r="M419" s="73" t="str">
        <f t="shared" si="37"/>
        <v/>
      </c>
    </row>
    <row r="420" spans="1:13">
      <c r="A420" s="374" t="str">
        <f>IF(E420="","",VLOOKUP('OPĆI DIO'!$C$3,'OPĆI DIO'!$L$6:$U$138,10,FALSE))</f>
        <v/>
      </c>
      <c r="B420" s="370" t="str">
        <f>IF(E420="","",VLOOKUP('OPĆI DIO'!$C$3,'OPĆI DIO'!$L$6:$U$138,9,FALSE))</f>
        <v/>
      </c>
      <c r="C420" s="371" t="str">
        <f t="shared" si="38"/>
        <v/>
      </c>
      <c r="D420" s="372" t="str">
        <f t="shared" si="39"/>
        <v/>
      </c>
      <c r="E420" s="81"/>
      <c r="F420" s="373" t="str">
        <f t="shared" si="35"/>
        <v/>
      </c>
      <c r="G420" s="359"/>
      <c r="H420" s="359"/>
      <c r="I420" s="359"/>
      <c r="J420" s="81"/>
      <c r="L420" s="73" t="str">
        <f t="shared" si="36"/>
        <v/>
      </c>
      <c r="M420" s="73" t="str">
        <f t="shared" si="37"/>
        <v/>
      </c>
    </row>
    <row r="421" spans="1:13">
      <c r="A421" s="374" t="str">
        <f>IF(E421="","",VLOOKUP('OPĆI DIO'!$C$3,'OPĆI DIO'!$L$6:$U$138,10,FALSE))</f>
        <v/>
      </c>
      <c r="B421" s="370" t="str">
        <f>IF(E421="","",VLOOKUP('OPĆI DIO'!$C$3,'OPĆI DIO'!$L$6:$U$138,9,FALSE))</f>
        <v/>
      </c>
      <c r="C421" s="371" t="str">
        <f t="shared" si="38"/>
        <v/>
      </c>
      <c r="D421" s="372" t="str">
        <f t="shared" si="39"/>
        <v/>
      </c>
      <c r="E421" s="81"/>
      <c r="F421" s="373" t="str">
        <f t="shared" si="35"/>
        <v/>
      </c>
      <c r="G421" s="359"/>
      <c r="H421" s="359"/>
      <c r="I421" s="359"/>
      <c r="J421" s="81"/>
      <c r="L421" s="73" t="str">
        <f t="shared" si="36"/>
        <v/>
      </c>
      <c r="M421" s="73" t="str">
        <f t="shared" si="37"/>
        <v/>
      </c>
    </row>
    <row r="422" spans="1:13">
      <c r="A422" s="374" t="str">
        <f>IF(E422="","",VLOOKUP('OPĆI DIO'!$C$3,'OPĆI DIO'!$L$6:$U$138,10,FALSE))</f>
        <v/>
      </c>
      <c r="B422" s="370" t="str">
        <f>IF(E422="","",VLOOKUP('OPĆI DIO'!$C$3,'OPĆI DIO'!$L$6:$U$138,9,FALSE))</f>
        <v/>
      </c>
      <c r="C422" s="371" t="str">
        <f t="shared" si="38"/>
        <v/>
      </c>
      <c r="D422" s="372" t="str">
        <f t="shared" si="39"/>
        <v/>
      </c>
      <c r="E422" s="81"/>
      <c r="F422" s="373" t="str">
        <f t="shared" si="35"/>
        <v/>
      </c>
      <c r="G422" s="359"/>
      <c r="H422" s="359"/>
      <c r="I422" s="359"/>
      <c r="J422" s="81"/>
      <c r="L422" s="73" t="str">
        <f t="shared" si="36"/>
        <v/>
      </c>
      <c r="M422" s="73" t="str">
        <f t="shared" si="37"/>
        <v/>
      </c>
    </row>
    <row r="423" spans="1:13">
      <c r="A423" s="374" t="str">
        <f>IF(E423="","",VLOOKUP('OPĆI DIO'!$C$3,'OPĆI DIO'!$L$6:$U$138,10,FALSE))</f>
        <v/>
      </c>
      <c r="B423" s="370" t="str">
        <f>IF(E423="","",VLOOKUP('OPĆI DIO'!$C$3,'OPĆI DIO'!$L$6:$U$138,9,FALSE))</f>
        <v/>
      </c>
      <c r="C423" s="371" t="str">
        <f t="shared" si="38"/>
        <v/>
      </c>
      <c r="D423" s="372" t="str">
        <f t="shared" si="39"/>
        <v/>
      </c>
      <c r="E423" s="81"/>
      <c r="F423" s="373" t="str">
        <f t="shared" si="35"/>
        <v/>
      </c>
      <c r="G423" s="359"/>
      <c r="H423" s="359"/>
      <c r="I423" s="359"/>
      <c r="J423" s="81"/>
      <c r="L423" s="73" t="str">
        <f t="shared" si="36"/>
        <v/>
      </c>
      <c r="M423" s="73" t="str">
        <f t="shared" si="37"/>
        <v/>
      </c>
    </row>
    <row r="424" spans="1:13">
      <c r="A424" s="374" t="str">
        <f>IF(E424="","",VLOOKUP('OPĆI DIO'!$C$3,'OPĆI DIO'!$L$6:$U$138,10,FALSE))</f>
        <v/>
      </c>
      <c r="B424" s="370" t="str">
        <f>IF(E424="","",VLOOKUP('OPĆI DIO'!$C$3,'OPĆI DIO'!$L$6:$U$138,9,FALSE))</f>
        <v/>
      </c>
      <c r="C424" s="371" t="str">
        <f t="shared" si="38"/>
        <v/>
      </c>
      <c r="D424" s="372" t="str">
        <f t="shared" si="39"/>
        <v/>
      </c>
      <c r="E424" s="81"/>
      <c r="F424" s="373" t="str">
        <f t="shared" si="35"/>
        <v/>
      </c>
      <c r="G424" s="359"/>
      <c r="H424" s="359"/>
      <c r="I424" s="359"/>
      <c r="J424" s="81"/>
      <c r="L424" s="73" t="str">
        <f t="shared" si="36"/>
        <v/>
      </c>
      <c r="M424" s="73" t="str">
        <f t="shared" si="37"/>
        <v/>
      </c>
    </row>
    <row r="425" spans="1:13">
      <c r="A425" s="374" t="str">
        <f>IF(E425="","",VLOOKUP('OPĆI DIO'!$C$3,'OPĆI DIO'!$L$6:$U$138,10,FALSE))</f>
        <v/>
      </c>
      <c r="B425" s="370" t="str">
        <f>IF(E425="","",VLOOKUP('OPĆI DIO'!$C$3,'OPĆI DIO'!$L$6:$U$138,9,FALSE))</f>
        <v/>
      </c>
      <c r="C425" s="371" t="str">
        <f t="shared" si="38"/>
        <v/>
      </c>
      <c r="D425" s="372" t="str">
        <f t="shared" si="39"/>
        <v/>
      </c>
      <c r="E425" s="81"/>
      <c r="F425" s="373" t="str">
        <f t="shared" si="35"/>
        <v/>
      </c>
      <c r="G425" s="359"/>
      <c r="H425" s="359"/>
      <c r="I425" s="359"/>
      <c r="J425" s="81"/>
      <c r="L425" s="73" t="str">
        <f t="shared" si="36"/>
        <v/>
      </c>
      <c r="M425" s="73" t="str">
        <f t="shared" si="37"/>
        <v/>
      </c>
    </row>
    <row r="426" spans="1:13">
      <c r="A426" s="374" t="str">
        <f>IF(E426="","",VLOOKUP('OPĆI DIO'!$C$3,'OPĆI DIO'!$L$6:$U$138,10,FALSE))</f>
        <v/>
      </c>
      <c r="B426" s="370" t="str">
        <f>IF(E426="","",VLOOKUP('OPĆI DIO'!$C$3,'OPĆI DIO'!$L$6:$U$138,9,FALSE))</f>
        <v/>
      </c>
      <c r="C426" s="371" t="str">
        <f t="shared" si="38"/>
        <v/>
      </c>
      <c r="D426" s="372" t="str">
        <f t="shared" si="39"/>
        <v/>
      </c>
      <c r="E426" s="81"/>
      <c r="F426" s="373" t="str">
        <f t="shared" si="35"/>
        <v/>
      </c>
      <c r="G426" s="359"/>
      <c r="H426" s="359"/>
      <c r="I426" s="359"/>
      <c r="J426" s="81"/>
      <c r="L426" s="73" t="str">
        <f t="shared" si="36"/>
        <v/>
      </c>
      <c r="M426" s="73" t="str">
        <f t="shared" si="37"/>
        <v/>
      </c>
    </row>
    <row r="427" spans="1:13">
      <c r="A427" s="374" t="str">
        <f>IF(E427="","",VLOOKUP('OPĆI DIO'!$C$3,'OPĆI DIO'!$L$6:$U$138,10,FALSE))</f>
        <v/>
      </c>
      <c r="B427" s="370" t="str">
        <f>IF(E427="","",VLOOKUP('OPĆI DIO'!$C$3,'OPĆI DIO'!$L$6:$U$138,9,FALSE))</f>
        <v/>
      </c>
      <c r="C427" s="371" t="str">
        <f t="shared" si="38"/>
        <v/>
      </c>
      <c r="D427" s="372" t="str">
        <f t="shared" si="39"/>
        <v/>
      </c>
      <c r="E427" s="81"/>
      <c r="F427" s="373" t="str">
        <f t="shared" si="35"/>
        <v/>
      </c>
      <c r="G427" s="359"/>
      <c r="H427" s="359"/>
      <c r="I427" s="359"/>
      <c r="J427" s="81"/>
      <c r="L427" s="73" t="str">
        <f t="shared" si="36"/>
        <v/>
      </c>
      <c r="M427" s="73" t="str">
        <f t="shared" si="37"/>
        <v/>
      </c>
    </row>
    <row r="428" spans="1:13">
      <c r="A428" s="374" t="str">
        <f>IF(E428="","",VLOOKUP('OPĆI DIO'!$C$3,'OPĆI DIO'!$L$6:$U$138,10,FALSE))</f>
        <v/>
      </c>
      <c r="B428" s="370" t="str">
        <f>IF(E428="","",VLOOKUP('OPĆI DIO'!$C$3,'OPĆI DIO'!$L$6:$U$138,9,FALSE))</f>
        <v/>
      </c>
      <c r="C428" s="371" t="str">
        <f t="shared" si="38"/>
        <v/>
      </c>
      <c r="D428" s="372" t="str">
        <f t="shared" si="39"/>
        <v/>
      </c>
      <c r="E428" s="81"/>
      <c r="F428" s="373" t="str">
        <f t="shared" si="35"/>
        <v/>
      </c>
      <c r="G428" s="359"/>
      <c r="H428" s="359"/>
      <c r="I428" s="359"/>
      <c r="J428" s="81"/>
      <c r="L428" s="73" t="str">
        <f t="shared" si="36"/>
        <v/>
      </c>
      <c r="M428" s="73" t="str">
        <f t="shared" si="37"/>
        <v/>
      </c>
    </row>
    <row r="429" spans="1:13">
      <c r="A429" s="374" t="str">
        <f>IF(E429="","",VLOOKUP('OPĆI DIO'!$C$3,'OPĆI DIO'!$L$6:$U$138,10,FALSE))</f>
        <v/>
      </c>
      <c r="B429" s="370" t="str">
        <f>IF(E429="","",VLOOKUP('OPĆI DIO'!$C$3,'OPĆI DIO'!$L$6:$U$138,9,FALSE))</f>
        <v/>
      </c>
      <c r="C429" s="371" t="str">
        <f t="shared" si="38"/>
        <v/>
      </c>
      <c r="D429" s="372" t="str">
        <f t="shared" si="39"/>
        <v/>
      </c>
      <c r="E429" s="81"/>
      <c r="F429" s="373" t="str">
        <f t="shared" si="35"/>
        <v/>
      </c>
      <c r="G429" s="359"/>
      <c r="H429" s="359"/>
      <c r="I429" s="359"/>
      <c r="J429" s="81"/>
      <c r="L429" s="73" t="str">
        <f t="shared" si="36"/>
        <v/>
      </c>
      <c r="M429" s="73" t="str">
        <f t="shared" si="37"/>
        <v/>
      </c>
    </row>
    <row r="430" spans="1:13">
      <c r="A430" s="374" t="str">
        <f>IF(E430="","",VLOOKUP('OPĆI DIO'!$C$3,'OPĆI DIO'!$L$6:$U$138,10,FALSE))</f>
        <v/>
      </c>
      <c r="B430" s="370" t="str">
        <f>IF(E430="","",VLOOKUP('OPĆI DIO'!$C$3,'OPĆI DIO'!$L$6:$U$138,9,FALSE))</f>
        <v/>
      </c>
      <c r="C430" s="371" t="str">
        <f t="shared" si="38"/>
        <v/>
      </c>
      <c r="D430" s="372" t="str">
        <f t="shared" si="39"/>
        <v/>
      </c>
      <c r="E430" s="81"/>
      <c r="F430" s="373" t="str">
        <f t="shared" si="35"/>
        <v/>
      </c>
      <c r="G430" s="359"/>
      <c r="H430" s="359"/>
      <c r="I430" s="359"/>
      <c r="J430" s="81"/>
      <c r="L430" s="73" t="str">
        <f t="shared" si="36"/>
        <v/>
      </c>
      <c r="M430" s="73" t="str">
        <f t="shared" si="37"/>
        <v/>
      </c>
    </row>
    <row r="431" spans="1:13">
      <c r="A431" s="374" t="str">
        <f>IF(E431="","",VLOOKUP('OPĆI DIO'!$C$3,'OPĆI DIO'!$L$6:$U$138,10,FALSE))</f>
        <v/>
      </c>
      <c r="B431" s="370" t="str">
        <f>IF(E431="","",VLOOKUP('OPĆI DIO'!$C$3,'OPĆI DIO'!$L$6:$U$138,9,FALSE))</f>
        <v/>
      </c>
      <c r="C431" s="371" t="str">
        <f t="shared" si="38"/>
        <v/>
      </c>
      <c r="D431" s="372" t="str">
        <f t="shared" si="39"/>
        <v/>
      </c>
      <c r="E431" s="81"/>
      <c r="F431" s="373" t="str">
        <f t="shared" si="35"/>
        <v/>
      </c>
      <c r="G431" s="359"/>
      <c r="H431" s="359"/>
      <c r="I431" s="359"/>
      <c r="J431" s="81"/>
      <c r="L431" s="73" t="str">
        <f t="shared" si="36"/>
        <v/>
      </c>
      <c r="M431" s="73" t="str">
        <f t="shared" si="37"/>
        <v/>
      </c>
    </row>
    <row r="432" spans="1:13">
      <c r="A432" s="374" t="str">
        <f>IF(E432="","",VLOOKUP('OPĆI DIO'!$C$3,'OPĆI DIO'!$L$6:$U$138,10,FALSE))</f>
        <v/>
      </c>
      <c r="B432" s="370" t="str">
        <f>IF(E432="","",VLOOKUP('OPĆI DIO'!$C$3,'OPĆI DIO'!$L$6:$U$138,9,FALSE))</f>
        <v/>
      </c>
      <c r="C432" s="371" t="str">
        <f t="shared" si="38"/>
        <v/>
      </c>
      <c r="D432" s="372" t="str">
        <f t="shared" si="39"/>
        <v/>
      </c>
      <c r="E432" s="81"/>
      <c r="F432" s="373" t="str">
        <f t="shared" si="35"/>
        <v/>
      </c>
      <c r="G432" s="359"/>
      <c r="H432" s="359"/>
      <c r="I432" s="359"/>
      <c r="J432" s="81"/>
      <c r="L432" s="73" t="str">
        <f t="shared" si="36"/>
        <v/>
      </c>
      <c r="M432" s="73" t="str">
        <f t="shared" si="37"/>
        <v/>
      </c>
    </row>
    <row r="433" spans="1:13">
      <c r="A433" s="374" t="str">
        <f>IF(E433="","",VLOOKUP('OPĆI DIO'!$C$3,'OPĆI DIO'!$L$6:$U$138,10,FALSE))</f>
        <v/>
      </c>
      <c r="B433" s="370" t="str">
        <f>IF(E433="","",VLOOKUP('OPĆI DIO'!$C$3,'OPĆI DIO'!$L$6:$U$138,9,FALSE))</f>
        <v/>
      </c>
      <c r="C433" s="371" t="str">
        <f t="shared" si="38"/>
        <v/>
      </c>
      <c r="D433" s="372" t="str">
        <f t="shared" si="39"/>
        <v/>
      </c>
      <c r="E433" s="81"/>
      <c r="F433" s="373" t="str">
        <f t="shared" si="35"/>
        <v/>
      </c>
      <c r="G433" s="359"/>
      <c r="H433" s="359"/>
      <c r="I433" s="359"/>
      <c r="J433" s="81"/>
      <c r="L433" s="73" t="str">
        <f t="shared" si="36"/>
        <v/>
      </c>
      <c r="M433" s="73" t="str">
        <f t="shared" si="37"/>
        <v/>
      </c>
    </row>
    <row r="434" spans="1:13">
      <c r="A434" s="374" t="str">
        <f>IF(E434="","",VLOOKUP('OPĆI DIO'!$C$3,'OPĆI DIO'!$L$6:$U$138,10,FALSE))</f>
        <v/>
      </c>
      <c r="B434" s="370" t="str">
        <f>IF(E434="","",VLOOKUP('OPĆI DIO'!$C$3,'OPĆI DIO'!$L$6:$U$138,9,FALSE))</f>
        <v/>
      </c>
      <c r="C434" s="371" t="str">
        <f t="shared" si="38"/>
        <v/>
      </c>
      <c r="D434" s="372" t="str">
        <f t="shared" si="39"/>
        <v/>
      </c>
      <c r="E434" s="81"/>
      <c r="F434" s="373" t="str">
        <f t="shared" si="35"/>
        <v/>
      </c>
      <c r="G434" s="359"/>
      <c r="H434" s="359"/>
      <c r="I434" s="359"/>
      <c r="J434" s="81"/>
      <c r="L434" s="73" t="str">
        <f t="shared" si="36"/>
        <v/>
      </c>
      <c r="M434" s="73" t="str">
        <f t="shared" si="37"/>
        <v/>
      </c>
    </row>
    <row r="435" spans="1:13">
      <c r="A435" s="374" t="str">
        <f>IF(E435="","",VLOOKUP('OPĆI DIO'!$C$3,'OPĆI DIO'!$L$6:$U$138,10,FALSE))</f>
        <v/>
      </c>
      <c r="B435" s="370" t="str">
        <f>IF(E435="","",VLOOKUP('OPĆI DIO'!$C$3,'OPĆI DIO'!$L$6:$U$138,9,FALSE))</f>
        <v/>
      </c>
      <c r="C435" s="371" t="str">
        <f t="shared" si="38"/>
        <v/>
      </c>
      <c r="D435" s="372" t="str">
        <f t="shared" si="39"/>
        <v/>
      </c>
      <c r="E435" s="81"/>
      <c r="F435" s="373" t="str">
        <f t="shared" si="35"/>
        <v/>
      </c>
      <c r="G435" s="359"/>
      <c r="H435" s="359"/>
      <c r="I435" s="359"/>
      <c r="J435" s="81"/>
      <c r="L435" s="73" t="str">
        <f t="shared" si="36"/>
        <v/>
      </c>
      <c r="M435" s="73" t="str">
        <f t="shared" si="37"/>
        <v/>
      </c>
    </row>
    <row r="436" spans="1:13">
      <c r="A436" s="374" t="str">
        <f>IF(E436="","",VLOOKUP('OPĆI DIO'!$C$3,'OPĆI DIO'!$L$6:$U$138,10,FALSE))</f>
        <v/>
      </c>
      <c r="B436" s="370" t="str">
        <f>IF(E436="","",VLOOKUP('OPĆI DIO'!$C$3,'OPĆI DIO'!$L$6:$U$138,9,FALSE))</f>
        <v/>
      </c>
      <c r="C436" s="371" t="str">
        <f t="shared" si="38"/>
        <v/>
      </c>
      <c r="D436" s="372" t="str">
        <f t="shared" si="39"/>
        <v/>
      </c>
      <c r="E436" s="81"/>
      <c r="F436" s="373" t="str">
        <f t="shared" si="35"/>
        <v/>
      </c>
      <c r="G436" s="359"/>
      <c r="H436" s="359"/>
      <c r="I436" s="359"/>
      <c r="J436" s="81"/>
      <c r="L436" s="73" t="str">
        <f t="shared" si="36"/>
        <v/>
      </c>
      <c r="M436" s="73" t="str">
        <f t="shared" si="37"/>
        <v/>
      </c>
    </row>
    <row r="437" spans="1:13">
      <c r="A437" s="374" t="str">
        <f>IF(E437="","",VLOOKUP('OPĆI DIO'!$C$3,'OPĆI DIO'!$L$6:$U$138,10,FALSE))</f>
        <v/>
      </c>
      <c r="B437" s="370" t="str">
        <f>IF(E437="","",VLOOKUP('OPĆI DIO'!$C$3,'OPĆI DIO'!$L$6:$U$138,9,FALSE))</f>
        <v/>
      </c>
      <c r="C437" s="371" t="str">
        <f t="shared" si="38"/>
        <v/>
      </c>
      <c r="D437" s="372" t="str">
        <f t="shared" si="39"/>
        <v/>
      </c>
      <c r="E437" s="81"/>
      <c r="F437" s="373" t="str">
        <f t="shared" si="35"/>
        <v/>
      </c>
      <c r="G437" s="359"/>
      <c r="H437" s="359"/>
      <c r="I437" s="359"/>
      <c r="J437" s="81"/>
      <c r="L437" s="73" t="str">
        <f t="shared" si="36"/>
        <v/>
      </c>
      <c r="M437" s="73" t="str">
        <f t="shared" si="37"/>
        <v/>
      </c>
    </row>
    <row r="438" spans="1:13">
      <c r="A438" s="374" t="str">
        <f>IF(E438="","",VLOOKUP('OPĆI DIO'!$C$3,'OPĆI DIO'!$L$6:$U$138,10,FALSE))</f>
        <v/>
      </c>
      <c r="B438" s="370" t="str">
        <f>IF(E438="","",VLOOKUP('OPĆI DIO'!$C$3,'OPĆI DIO'!$L$6:$U$138,9,FALSE))</f>
        <v/>
      </c>
      <c r="C438" s="371" t="str">
        <f t="shared" si="38"/>
        <v/>
      </c>
      <c r="D438" s="372" t="str">
        <f t="shared" si="39"/>
        <v/>
      </c>
      <c r="E438" s="81"/>
      <c r="F438" s="373" t="str">
        <f t="shared" si="35"/>
        <v/>
      </c>
      <c r="G438" s="359"/>
      <c r="H438" s="359"/>
      <c r="I438" s="359"/>
      <c r="J438" s="81"/>
      <c r="L438" s="73" t="str">
        <f t="shared" si="36"/>
        <v/>
      </c>
      <c r="M438" s="73" t="str">
        <f t="shared" si="37"/>
        <v/>
      </c>
    </row>
    <row r="439" spans="1:13">
      <c r="A439" s="374" t="str">
        <f>IF(E439="","",VLOOKUP('OPĆI DIO'!$C$3,'OPĆI DIO'!$L$6:$U$138,10,FALSE))</f>
        <v/>
      </c>
      <c r="B439" s="370" t="str">
        <f>IF(E439="","",VLOOKUP('OPĆI DIO'!$C$3,'OPĆI DIO'!$L$6:$U$138,9,FALSE))</f>
        <v/>
      </c>
      <c r="C439" s="371" t="str">
        <f t="shared" si="38"/>
        <v/>
      </c>
      <c r="D439" s="372" t="str">
        <f t="shared" si="39"/>
        <v/>
      </c>
      <c r="E439" s="81"/>
      <c r="F439" s="373" t="str">
        <f t="shared" si="35"/>
        <v/>
      </c>
      <c r="G439" s="359"/>
      <c r="H439" s="359"/>
      <c r="I439" s="359"/>
      <c r="J439" s="81"/>
      <c r="L439" s="73" t="str">
        <f t="shared" si="36"/>
        <v/>
      </c>
      <c r="M439" s="73" t="str">
        <f t="shared" si="37"/>
        <v/>
      </c>
    </row>
    <row r="440" spans="1:13">
      <c r="A440" s="374" t="str">
        <f>IF(E440="","",VLOOKUP('OPĆI DIO'!$C$3,'OPĆI DIO'!$L$6:$U$138,10,FALSE))</f>
        <v/>
      </c>
      <c r="B440" s="370" t="str">
        <f>IF(E440="","",VLOOKUP('OPĆI DIO'!$C$3,'OPĆI DIO'!$L$6:$U$138,9,FALSE))</f>
        <v/>
      </c>
      <c r="C440" s="371" t="str">
        <f t="shared" si="38"/>
        <v/>
      </c>
      <c r="D440" s="372" t="str">
        <f t="shared" si="39"/>
        <v/>
      </c>
      <c r="E440" s="81"/>
      <c r="F440" s="373" t="str">
        <f t="shared" si="35"/>
        <v/>
      </c>
      <c r="G440" s="359"/>
      <c r="H440" s="359"/>
      <c r="I440" s="359"/>
      <c r="J440" s="81"/>
      <c r="L440" s="73" t="str">
        <f t="shared" si="36"/>
        <v/>
      </c>
      <c r="M440" s="73" t="str">
        <f t="shared" si="37"/>
        <v/>
      </c>
    </row>
    <row r="441" spans="1:13">
      <c r="A441" s="374" t="str">
        <f>IF(E441="","",VLOOKUP('OPĆI DIO'!$C$3,'OPĆI DIO'!$L$6:$U$138,10,FALSE))</f>
        <v/>
      </c>
      <c r="B441" s="370" t="str">
        <f>IF(E441="","",VLOOKUP('OPĆI DIO'!$C$3,'OPĆI DIO'!$L$6:$U$138,9,FALSE))</f>
        <v/>
      </c>
      <c r="C441" s="371" t="str">
        <f t="shared" si="38"/>
        <v/>
      </c>
      <c r="D441" s="372" t="str">
        <f t="shared" si="39"/>
        <v/>
      </c>
      <c r="E441" s="81"/>
      <c r="F441" s="373" t="str">
        <f t="shared" si="35"/>
        <v/>
      </c>
      <c r="G441" s="359"/>
      <c r="H441" s="359"/>
      <c r="I441" s="359"/>
      <c r="J441" s="81"/>
      <c r="L441" s="73" t="str">
        <f t="shared" si="36"/>
        <v/>
      </c>
      <c r="M441" s="73" t="str">
        <f t="shared" si="37"/>
        <v/>
      </c>
    </row>
    <row r="442" spans="1:13">
      <c r="A442" s="374" t="str">
        <f>IF(E442="","",VLOOKUP('OPĆI DIO'!$C$3,'OPĆI DIO'!$L$6:$U$138,10,FALSE))</f>
        <v/>
      </c>
      <c r="B442" s="370" t="str">
        <f>IF(E442="","",VLOOKUP('OPĆI DIO'!$C$3,'OPĆI DIO'!$L$6:$U$138,9,FALSE))</f>
        <v/>
      </c>
      <c r="C442" s="371" t="str">
        <f t="shared" si="38"/>
        <v/>
      </c>
      <c r="D442" s="372" t="str">
        <f t="shared" si="39"/>
        <v/>
      </c>
      <c r="E442" s="81"/>
      <c r="F442" s="373" t="str">
        <f t="shared" si="35"/>
        <v/>
      </c>
      <c r="G442" s="359"/>
      <c r="H442" s="359"/>
      <c r="I442" s="359"/>
      <c r="J442" s="81"/>
      <c r="L442" s="73" t="str">
        <f t="shared" si="36"/>
        <v/>
      </c>
      <c r="M442" s="73" t="str">
        <f t="shared" si="37"/>
        <v/>
      </c>
    </row>
    <row r="443" spans="1:13">
      <c r="A443" s="374" t="str">
        <f>IF(E443="","",VLOOKUP('OPĆI DIO'!$C$3,'OPĆI DIO'!$L$6:$U$138,10,FALSE))</f>
        <v/>
      </c>
      <c r="B443" s="370" t="str">
        <f>IF(E443="","",VLOOKUP('OPĆI DIO'!$C$3,'OPĆI DIO'!$L$6:$U$138,9,FALSE))</f>
        <v/>
      </c>
      <c r="C443" s="371" t="str">
        <f t="shared" si="38"/>
        <v/>
      </c>
      <c r="D443" s="372" t="str">
        <f t="shared" si="39"/>
        <v/>
      </c>
      <c r="E443" s="81"/>
      <c r="F443" s="373" t="str">
        <f t="shared" si="35"/>
        <v/>
      </c>
      <c r="G443" s="359"/>
      <c r="H443" s="359"/>
      <c r="I443" s="359"/>
      <c r="J443" s="81"/>
      <c r="L443" s="73" t="str">
        <f t="shared" si="36"/>
        <v/>
      </c>
      <c r="M443" s="73" t="str">
        <f t="shared" si="37"/>
        <v/>
      </c>
    </row>
    <row r="444" spans="1:13">
      <c r="A444" s="374" t="str">
        <f>IF(E444="","",VLOOKUP('OPĆI DIO'!$C$3,'OPĆI DIO'!$L$6:$U$138,10,FALSE))</f>
        <v/>
      </c>
      <c r="B444" s="370" t="str">
        <f>IF(E444="","",VLOOKUP('OPĆI DIO'!$C$3,'OPĆI DIO'!$L$6:$U$138,9,FALSE))</f>
        <v/>
      </c>
      <c r="C444" s="371" t="str">
        <f t="shared" si="38"/>
        <v/>
      </c>
      <c r="D444" s="372" t="str">
        <f t="shared" si="39"/>
        <v/>
      </c>
      <c r="E444" s="81"/>
      <c r="F444" s="373" t="str">
        <f t="shared" si="35"/>
        <v/>
      </c>
      <c r="G444" s="359"/>
      <c r="H444" s="359"/>
      <c r="I444" s="359"/>
      <c r="J444" s="81"/>
      <c r="L444" s="73" t="str">
        <f t="shared" si="36"/>
        <v/>
      </c>
      <c r="M444" s="73" t="str">
        <f t="shared" si="37"/>
        <v/>
      </c>
    </row>
    <row r="445" spans="1:13">
      <c r="A445" s="374" t="str">
        <f>IF(E445="","",VLOOKUP('OPĆI DIO'!$C$3,'OPĆI DIO'!$L$6:$U$138,10,FALSE))</f>
        <v/>
      </c>
      <c r="B445" s="370" t="str">
        <f>IF(E445="","",VLOOKUP('OPĆI DIO'!$C$3,'OPĆI DIO'!$L$6:$U$138,9,FALSE))</f>
        <v/>
      </c>
      <c r="C445" s="371" t="str">
        <f t="shared" si="38"/>
        <v/>
      </c>
      <c r="D445" s="372" t="str">
        <f t="shared" si="39"/>
        <v/>
      </c>
      <c r="E445" s="81"/>
      <c r="F445" s="373" t="str">
        <f t="shared" si="35"/>
        <v/>
      </c>
      <c r="G445" s="359"/>
      <c r="H445" s="359"/>
      <c r="I445" s="359"/>
      <c r="J445" s="81"/>
      <c r="L445" s="73" t="str">
        <f t="shared" si="36"/>
        <v/>
      </c>
      <c r="M445" s="73" t="str">
        <f t="shared" si="37"/>
        <v/>
      </c>
    </row>
    <row r="446" spans="1:13">
      <c r="A446" s="374" t="str">
        <f>IF(E446="","",VLOOKUP('OPĆI DIO'!$C$3,'OPĆI DIO'!$L$6:$U$138,10,FALSE))</f>
        <v/>
      </c>
      <c r="B446" s="370" t="str">
        <f>IF(E446="","",VLOOKUP('OPĆI DIO'!$C$3,'OPĆI DIO'!$L$6:$U$138,9,FALSE))</f>
        <v/>
      </c>
      <c r="C446" s="371" t="str">
        <f t="shared" si="38"/>
        <v/>
      </c>
      <c r="D446" s="372" t="str">
        <f t="shared" si="39"/>
        <v/>
      </c>
      <c r="E446" s="81"/>
      <c r="F446" s="373" t="str">
        <f t="shared" si="35"/>
        <v/>
      </c>
      <c r="G446" s="359"/>
      <c r="H446" s="359"/>
      <c r="I446" s="359"/>
      <c r="J446" s="81"/>
      <c r="L446" s="73" t="str">
        <f t="shared" si="36"/>
        <v/>
      </c>
      <c r="M446" s="73" t="str">
        <f t="shared" si="37"/>
        <v/>
      </c>
    </row>
    <row r="447" spans="1:13">
      <c r="A447" s="374" t="str">
        <f>IF(E447="","",VLOOKUP('OPĆI DIO'!$C$3,'OPĆI DIO'!$L$6:$U$138,10,FALSE))</f>
        <v/>
      </c>
      <c r="B447" s="370" t="str">
        <f>IF(E447="","",VLOOKUP('OPĆI DIO'!$C$3,'OPĆI DIO'!$L$6:$U$138,9,FALSE))</f>
        <v/>
      </c>
      <c r="C447" s="371" t="str">
        <f t="shared" si="38"/>
        <v/>
      </c>
      <c r="D447" s="372" t="str">
        <f t="shared" si="39"/>
        <v/>
      </c>
      <c r="E447" s="81"/>
      <c r="F447" s="373" t="str">
        <f t="shared" si="35"/>
        <v/>
      </c>
      <c r="G447" s="359"/>
      <c r="H447" s="359"/>
      <c r="I447" s="359"/>
      <c r="J447" s="81"/>
      <c r="L447" s="73" t="str">
        <f t="shared" si="36"/>
        <v/>
      </c>
      <c r="M447" s="73" t="str">
        <f t="shared" si="37"/>
        <v/>
      </c>
    </row>
    <row r="448" spans="1:13">
      <c r="A448" s="374" t="str">
        <f>IF(E448="","",VLOOKUP('OPĆI DIO'!$C$3,'OPĆI DIO'!$L$6:$U$138,10,FALSE))</f>
        <v/>
      </c>
      <c r="B448" s="370" t="str">
        <f>IF(E448="","",VLOOKUP('OPĆI DIO'!$C$3,'OPĆI DIO'!$L$6:$U$138,9,FALSE))</f>
        <v/>
      </c>
      <c r="C448" s="371" t="str">
        <f t="shared" si="38"/>
        <v/>
      </c>
      <c r="D448" s="372" t="str">
        <f t="shared" si="39"/>
        <v/>
      </c>
      <c r="E448" s="81"/>
      <c r="F448" s="373" t="str">
        <f t="shared" si="35"/>
        <v/>
      </c>
      <c r="G448" s="359"/>
      <c r="H448" s="359"/>
      <c r="I448" s="359"/>
      <c r="J448" s="81"/>
      <c r="L448" s="73" t="str">
        <f t="shared" si="36"/>
        <v/>
      </c>
      <c r="M448" s="73" t="str">
        <f t="shared" si="37"/>
        <v/>
      </c>
    </row>
    <row r="449" spans="1:13">
      <c r="A449" s="374" t="str">
        <f>IF(E449="","",VLOOKUP('OPĆI DIO'!$C$3,'OPĆI DIO'!$L$6:$U$138,10,FALSE))</f>
        <v/>
      </c>
      <c r="B449" s="370" t="str">
        <f>IF(E449="","",VLOOKUP('OPĆI DIO'!$C$3,'OPĆI DIO'!$L$6:$U$138,9,FALSE))</f>
        <v/>
      </c>
      <c r="C449" s="371" t="str">
        <f t="shared" si="38"/>
        <v/>
      </c>
      <c r="D449" s="372" t="str">
        <f t="shared" si="39"/>
        <v/>
      </c>
      <c r="E449" s="81"/>
      <c r="F449" s="373" t="str">
        <f t="shared" si="35"/>
        <v/>
      </c>
      <c r="G449" s="359"/>
      <c r="H449" s="359"/>
      <c r="I449" s="359"/>
      <c r="J449" s="81"/>
      <c r="L449" s="73" t="str">
        <f t="shared" si="36"/>
        <v/>
      </c>
      <c r="M449" s="73" t="str">
        <f t="shared" si="37"/>
        <v/>
      </c>
    </row>
    <row r="450" spans="1:13">
      <c r="A450" s="374" t="str">
        <f>IF(E450="","",VLOOKUP('OPĆI DIO'!$C$3,'OPĆI DIO'!$L$6:$U$138,10,FALSE))</f>
        <v/>
      </c>
      <c r="B450" s="370" t="str">
        <f>IF(E450="","",VLOOKUP('OPĆI DIO'!$C$3,'OPĆI DIO'!$L$6:$U$138,9,FALSE))</f>
        <v/>
      </c>
      <c r="C450" s="371" t="str">
        <f t="shared" si="38"/>
        <v/>
      </c>
      <c r="D450" s="372" t="str">
        <f t="shared" si="39"/>
        <v/>
      </c>
      <c r="E450" s="81"/>
      <c r="F450" s="373" t="str">
        <f t="shared" si="35"/>
        <v/>
      </c>
      <c r="G450" s="359"/>
      <c r="H450" s="359"/>
      <c r="I450" s="359"/>
      <c r="J450" s="81"/>
      <c r="L450" s="73" t="str">
        <f t="shared" si="36"/>
        <v/>
      </c>
      <c r="M450" s="73" t="str">
        <f t="shared" si="37"/>
        <v/>
      </c>
    </row>
    <row r="451" spans="1:13">
      <c r="A451" s="374" t="str">
        <f>IF(E451="","",VLOOKUP('OPĆI DIO'!$C$3,'OPĆI DIO'!$L$6:$U$138,10,FALSE))</f>
        <v/>
      </c>
      <c r="B451" s="370" t="str">
        <f>IF(E451="","",VLOOKUP('OPĆI DIO'!$C$3,'OPĆI DIO'!$L$6:$U$138,9,FALSE))</f>
        <v/>
      </c>
      <c r="C451" s="371" t="str">
        <f t="shared" si="38"/>
        <v/>
      </c>
      <c r="D451" s="372" t="str">
        <f t="shared" si="39"/>
        <v/>
      </c>
      <c r="E451" s="81"/>
      <c r="F451" s="373" t="str">
        <f t="shared" ref="F451:F501" si="40">IFERROR(VLOOKUP(E451,$R$6:$U$113,2,FALSE),"")</f>
        <v/>
      </c>
      <c r="G451" s="359"/>
      <c r="H451" s="359"/>
      <c r="I451" s="359"/>
      <c r="J451" s="81"/>
      <c r="L451" s="73" t="str">
        <f t="shared" si="36"/>
        <v/>
      </c>
      <c r="M451" s="73" t="str">
        <f t="shared" si="37"/>
        <v/>
      </c>
    </row>
    <row r="452" spans="1:13">
      <c r="A452" s="374" t="str">
        <f>IF(E452="","",VLOOKUP('OPĆI DIO'!$C$3,'OPĆI DIO'!$L$6:$U$138,10,FALSE))</f>
        <v/>
      </c>
      <c r="B452" s="370" t="str">
        <f>IF(E452="","",VLOOKUP('OPĆI DIO'!$C$3,'OPĆI DIO'!$L$6:$U$138,9,FALSE))</f>
        <v/>
      </c>
      <c r="C452" s="371" t="str">
        <f t="shared" si="38"/>
        <v/>
      </c>
      <c r="D452" s="372" t="str">
        <f t="shared" si="39"/>
        <v/>
      </c>
      <c r="E452" s="81"/>
      <c r="F452" s="373" t="str">
        <f t="shared" si="40"/>
        <v/>
      </c>
      <c r="G452" s="359"/>
      <c r="H452" s="359"/>
      <c r="I452" s="359"/>
      <c r="J452" s="81"/>
      <c r="L452" s="73" t="str">
        <f t="shared" ref="L452:L501" si="41">LEFT(E452,2)</f>
        <v/>
      </c>
      <c r="M452" s="73" t="str">
        <f t="shared" ref="M452:M501" si="42">LEFT(E452,3)</f>
        <v/>
      </c>
    </row>
    <row r="453" spans="1:13">
      <c r="A453" s="374" t="str">
        <f>IF(E453="","",VLOOKUP('OPĆI DIO'!$C$3,'OPĆI DIO'!$L$6:$U$138,10,FALSE))</f>
        <v/>
      </c>
      <c r="B453" s="370" t="str">
        <f>IF(E453="","",VLOOKUP('OPĆI DIO'!$C$3,'OPĆI DIO'!$L$6:$U$138,9,FALSE))</f>
        <v/>
      </c>
      <c r="C453" s="371" t="str">
        <f t="shared" si="38"/>
        <v/>
      </c>
      <c r="D453" s="372" t="str">
        <f t="shared" si="39"/>
        <v/>
      </c>
      <c r="E453" s="81"/>
      <c r="F453" s="373" t="str">
        <f t="shared" si="40"/>
        <v/>
      </c>
      <c r="G453" s="359"/>
      <c r="H453" s="359"/>
      <c r="I453" s="359"/>
      <c r="J453" s="81"/>
      <c r="L453" s="73" t="str">
        <f t="shared" si="41"/>
        <v/>
      </c>
      <c r="M453" s="73" t="str">
        <f t="shared" si="42"/>
        <v/>
      </c>
    </row>
    <row r="454" spans="1:13">
      <c r="A454" s="374" t="str">
        <f>IF(E454="","",VLOOKUP('OPĆI DIO'!$C$3,'OPĆI DIO'!$L$6:$U$138,10,FALSE))</f>
        <v/>
      </c>
      <c r="B454" s="370" t="str">
        <f>IF(E454="","",VLOOKUP('OPĆI DIO'!$C$3,'OPĆI DIO'!$L$6:$U$138,9,FALSE))</f>
        <v/>
      </c>
      <c r="C454" s="371" t="str">
        <f t="shared" si="38"/>
        <v/>
      </c>
      <c r="D454" s="372" t="str">
        <f t="shared" si="39"/>
        <v/>
      </c>
      <c r="E454" s="81"/>
      <c r="F454" s="373" t="str">
        <f t="shared" si="40"/>
        <v/>
      </c>
      <c r="G454" s="359"/>
      <c r="H454" s="359"/>
      <c r="I454" s="359"/>
      <c r="J454" s="81"/>
      <c r="L454" s="73" t="str">
        <f t="shared" si="41"/>
        <v/>
      </c>
      <c r="M454" s="73" t="str">
        <f t="shared" si="42"/>
        <v/>
      </c>
    </row>
    <row r="455" spans="1:13">
      <c r="A455" s="374" t="str">
        <f>IF(E455="","",VLOOKUP('OPĆI DIO'!$C$3,'OPĆI DIO'!$L$6:$U$138,10,FALSE))</f>
        <v/>
      </c>
      <c r="B455" s="370" t="str">
        <f>IF(E455="","",VLOOKUP('OPĆI DIO'!$C$3,'OPĆI DIO'!$L$6:$U$138,9,FALSE))</f>
        <v/>
      </c>
      <c r="C455" s="371" t="str">
        <f t="shared" si="38"/>
        <v/>
      </c>
      <c r="D455" s="372" t="str">
        <f t="shared" si="39"/>
        <v/>
      </c>
      <c r="E455" s="81"/>
      <c r="F455" s="373" t="str">
        <f t="shared" si="40"/>
        <v/>
      </c>
      <c r="G455" s="359"/>
      <c r="H455" s="359"/>
      <c r="I455" s="359"/>
      <c r="J455" s="81"/>
      <c r="L455" s="73" t="str">
        <f t="shared" si="41"/>
        <v/>
      </c>
      <c r="M455" s="73" t="str">
        <f t="shared" si="42"/>
        <v/>
      </c>
    </row>
    <row r="456" spans="1:13">
      <c r="A456" s="374" t="str">
        <f>IF(E456="","",VLOOKUP('OPĆI DIO'!$C$3,'OPĆI DIO'!$L$6:$U$138,10,FALSE))</f>
        <v/>
      </c>
      <c r="B456" s="370" t="str">
        <f>IF(E456="","",VLOOKUP('OPĆI DIO'!$C$3,'OPĆI DIO'!$L$6:$U$138,9,FALSE))</f>
        <v/>
      </c>
      <c r="C456" s="371" t="str">
        <f t="shared" si="38"/>
        <v/>
      </c>
      <c r="D456" s="372" t="str">
        <f t="shared" si="39"/>
        <v/>
      </c>
      <c r="E456" s="81"/>
      <c r="F456" s="373" t="str">
        <f t="shared" si="40"/>
        <v/>
      </c>
      <c r="G456" s="359"/>
      <c r="H456" s="359"/>
      <c r="I456" s="359"/>
      <c r="J456" s="81"/>
      <c r="L456" s="73" t="str">
        <f t="shared" si="41"/>
        <v/>
      </c>
      <c r="M456" s="73" t="str">
        <f t="shared" si="42"/>
        <v/>
      </c>
    </row>
    <row r="457" spans="1:13">
      <c r="A457" s="374" t="str">
        <f>IF(E457="","",VLOOKUP('OPĆI DIO'!$C$3,'OPĆI DIO'!$L$6:$U$138,10,FALSE))</f>
        <v/>
      </c>
      <c r="B457" s="370" t="str">
        <f>IF(E457="","",VLOOKUP('OPĆI DIO'!$C$3,'OPĆI DIO'!$L$6:$U$138,9,FALSE))</f>
        <v/>
      </c>
      <c r="C457" s="371" t="str">
        <f t="shared" si="38"/>
        <v/>
      </c>
      <c r="D457" s="372" t="str">
        <f t="shared" si="39"/>
        <v/>
      </c>
      <c r="E457" s="81"/>
      <c r="F457" s="373" t="str">
        <f t="shared" si="40"/>
        <v/>
      </c>
      <c r="G457" s="359"/>
      <c r="H457" s="359"/>
      <c r="I457" s="359"/>
      <c r="J457" s="81"/>
      <c r="L457" s="73" t="str">
        <f t="shared" si="41"/>
        <v/>
      </c>
      <c r="M457" s="73" t="str">
        <f t="shared" si="42"/>
        <v/>
      </c>
    </row>
    <row r="458" spans="1:13">
      <c r="A458" s="374" t="str">
        <f>IF(E458="","",VLOOKUP('OPĆI DIO'!$C$3,'OPĆI DIO'!$L$6:$U$138,10,FALSE))</f>
        <v/>
      </c>
      <c r="B458" s="370" t="str">
        <f>IF(E458="","",VLOOKUP('OPĆI DIO'!$C$3,'OPĆI DIO'!$L$6:$U$138,9,FALSE))</f>
        <v/>
      </c>
      <c r="C458" s="371" t="str">
        <f t="shared" ref="C458:C501" si="43">IFERROR(VLOOKUP(E458,$R$6:$U$113,3,FALSE),"")</f>
        <v/>
      </c>
      <c r="D458" s="372" t="str">
        <f t="shared" ref="D458:D501" si="44">IFERROR(VLOOKUP(E458,$R$6:$U$113,4,FALSE),"")</f>
        <v/>
      </c>
      <c r="E458" s="81"/>
      <c r="F458" s="373" t="str">
        <f t="shared" si="40"/>
        <v/>
      </c>
      <c r="G458" s="359"/>
      <c r="H458" s="359"/>
      <c r="I458" s="359"/>
      <c r="J458" s="81"/>
      <c r="L458" s="73" t="str">
        <f t="shared" si="41"/>
        <v/>
      </c>
      <c r="M458" s="73" t="str">
        <f t="shared" si="42"/>
        <v/>
      </c>
    </row>
    <row r="459" spans="1:13">
      <c r="A459" s="374" t="str">
        <f>IF(E459="","",VLOOKUP('OPĆI DIO'!$C$3,'OPĆI DIO'!$L$6:$U$138,10,FALSE))</f>
        <v/>
      </c>
      <c r="B459" s="370" t="str">
        <f>IF(E459="","",VLOOKUP('OPĆI DIO'!$C$3,'OPĆI DIO'!$L$6:$U$138,9,FALSE))</f>
        <v/>
      </c>
      <c r="C459" s="371" t="str">
        <f t="shared" si="43"/>
        <v/>
      </c>
      <c r="D459" s="372" t="str">
        <f t="shared" si="44"/>
        <v/>
      </c>
      <c r="E459" s="81"/>
      <c r="F459" s="373" t="str">
        <f t="shared" si="40"/>
        <v/>
      </c>
      <c r="G459" s="359"/>
      <c r="H459" s="359"/>
      <c r="I459" s="359"/>
      <c r="J459" s="81"/>
      <c r="L459" s="73" t="str">
        <f t="shared" si="41"/>
        <v/>
      </c>
      <c r="M459" s="73" t="str">
        <f t="shared" si="42"/>
        <v/>
      </c>
    </row>
    <row r="460" spans="1:13">
      <c r="A460" s="374" t="str">
        <f>IF(E460="","",VLOOKUP('OPĆI DIO'!$C$3,'OPĆI DIO'!$L$6:$U$138,10,FALSE))</f>
        <v/>
      </c>
      <c r="B460" s="370" t="str">
        <f>IF(E460="","",VLOOKUP('OPĆI DIO'!$C$3,'OPĆI DIO'!$L$6:$U$138,9,FALSE))</f>
        <v/>
      </c>
      <c r="C460" s="371" t="str">
        <f t="shared" si="43"/>
        <v/>
      </c>
      <c r="D460" s="372" t="str">
        <f t="shared" si="44"/>
        <v/>
      </c>
      <c r="E460" s="81"/>
      <c r="F460" s="373" t="str">
        <f t="shared" si="40"/>
        <v/>
      </c>
      <c r="G460" s="359"/>
      <c r="H460" s="359"/>
      <c r="I460" s="359"/>
      <c r="J460" s="81"/>
      <c r="L460" s="73" t="str">
        <f t="shared" si="41"/>
        <v/>
      </c>
      <c r="M460" s="73" t="str">
        <f t="shared" si="42"/>
        <v/>
      </c>
    </row>
    <row r="461" spans="1:13">
      <c r="A461" s="374" t="str">
        <f>IF(E461="","",VLOOKUP('OPĆI DIO'!$C$3,'OPĆI DIO'!$L$6:$U$138,10,FALSE))</f>
        <v/>
      </c>
      <c r="B461" s="370" t="str">
        <f>IF(E461="","",VLOOKUP('OPĆI DIO'!$C$3,'OPĆI DIO'!$L$6:$U$138,9,FALSE))</f>
        <v/>
      </c>
      <c r="C461" s="371" t="str">
        <f t="shared" si="43"/>
        <v/>
      </c>
      <c r="D461" s="372" t="str">
        <f t="shared" si="44"/>
        <v/>
      </c>
      <c r="E461" s="81"/>
      <c r="F461" s="373" t="str">
        <f t="shared" si="40"/>
        <v/>
      </c>
      <c r="G461" s="359"/>
      <c r="H461" s="359"/>
      <c r="I461" s="359"/>
      <c r="J461" s="81"/>
      <c r="L461" s="73" t="str">
        <f t="shared" si="41"/>
        <v/>
      </c>
      <c r="M461" s="73" t="str">
        <f t="shared" si="42"/>
        <v/>
      </c>
    </row>
    <row r="462" spans="1:13">
      <c r="A462" s="374" t="str">
        <f>IF(E462="","",VLOOKUP('OPĆI DIO'!$C$3,'OPĆI DIO'!$L$6:$U$138,10,FALSE))</f>
        <v/>
      </c>
      <c r="B462" s="370" t="str">
        <f>IF(E462="","",VLOOKUP('OPĆI DIO'!$C$3,'OPĆI DIO'!$L$6:$U$138,9,FALSE))</f>
        <v/>
      </c>
      <c r="C462" s="371" t="str">
        <f t="shared" si="43"/>
        <v/>
      </c>
      <c r="D462" s="372" t="str">
        <f t="shared" si="44"/>
        <v/>
      </c>
      <c r="E462" s="81"/>
      <c r="F462" s="373" t="str">
        <f t="shared" si="40"/>
        <v/>
      </c>
      <c r="G462" s="359"/>
      <c r="H462" s="359"/>
      <c r="I462" s="359"/>
      <c r="J462" s="81"/>
      <c r="L462" s="73" t="str">
        <f t="shared" si="41"/>
        <v/>
      </c>
      <c r="M462" s="73" t="str">
        <f t="shared" si="42"/>
        <v/>
      </c>
    </row>
    <row r="463" spans="1:13">
      <c r="A463" s="374" t="str">
        <f>IF(E463="","",VLOOKUP('OPĆI DIO'!$C$3,'OPĆI DIO'!$L$6:$U$138,10,FALSE))</f>
        <v/>
      </c>
      <c r="B463" s="370" t="str">
        <f>IF(E463="","",VLOOKUP('OPĆI DIO'!$C$3,'OPĆI DIO'!$L$6:$U$138,9,FALSE))</f>
        <v/>
      </c>
      <c r="C463" s="371" t="str">
        <f t="shared" si="43"/>
        <v/>
      </c>
      <c r="D463" s="372" t="str">
        <f t="shared" si="44"/>
        <v/>
      </c>
      <c r="E463" s="81"/>
      <c r="F463" s="373" t="str">
        <f t="shared" si="40"/>
        <v/>
      </c>
      <c r="G463" s="359"/>
      <c r="H463" s="359"/>
      <c r="I463" s="359"/>
      <c r="J463" s="81"/>
      <c r="L463" s="73" t="str">
        <f t="shared" si="41"/>
        <v/>
      </c>
      <c r="M463" s="73" t="str">
        <f t="shared" si="42"/>
        <v/>
      </c>
    </row>
    <row r="464" spans="1:13">
      <c r="A464" s="374" t="str">
        <f>IF(E464="","",VLOOKUP('OPĆI DIO'!$C$3,'OPĆI DIO'!$L$6:$U$138,10,FALSE))</f>
        <v/>
      </c>
      <c r="B464" s="370" t="str">
        <f>IF(E464="","",VLOOKUP('OPĆI DIO'!$C$3,'OPĆI DIO'!$L$6:$U$138,9,FALSE))</f>
        <v/>
      </c>
      <c r="C464" s="371" t="str">
        <f t="shared" si="43"/>
        <v/>
      </c>
      <c r="D464" s="372" t="str">
        <f t="shared" si="44"/>
        <v/>
      </c>
      <c r="E464" s="81"/>
      <c r="F464" s="373" t="str">
        <f t="shared" si="40"/>
        <v/>
      </c>
      <c r="G464" s="359"/>
      <c r="H464" s="359"/>
      <c r="I464" s="359"/>
      <c r="J464" s="81"/>
      <c r="L464" s="73" t="str">
        <f t="shared" si="41"/>
        <v/>
      </c>
      <c r="M464" s="73" t="str">
        <f t="shared" si="42"/>
        <v/>
      </c>
    </row>
    <row r="465" spans="1:13">
      <c r="A465" s="374" t="str">
        <f>IF(E465="","",VLOOKUP('OPĆI DIO'!$C$3,'OPĆI DIO'!$L$6:$U$138,10,FALSE))</f>
        <v/>
      </c>
      <c r="B465" s="370" t="str">
        <f>IF(E465="","",VLOOKUP('OPĆI DIO'!$C$3,'OPĆI DIO'!$L$6:$U$138,9,FALSE))</f>
        <v/>
      </c>
      <c r="C465" s="371" t="str">
        <f t="shared" si="43"/>
        <v/>
      </c>
      <c r="D465" s="372" t="str">
        <f t="shared" si="44"/>
        <v/>
      </c>
      <c r="E465" s="81"/>
      <c r="F465" s="373" t="str">
        <f t="shared" si="40"/>
        <v/>
      </c>
      <c r="G465" s="359"/>
      <c r="H465" s="359"/>
      <c r="I465" s="359"/>
      <c r="J465" s="81"/>
      <c r="L465" s="73" t="str">
        <f t="shared" si="41"/>
        <v/>
      </c>
      <c r="M465" s="73" t="str">
        <f t="shared" si="42"/>
        <v/>
      </c>
    </row>
    <row r="466" spans="1:13">
      <c r="A466" s="374" t="str">
        <f>IF(E466="","",VLOOKUP('OPĆI DIO'!$C$3,'OPĆI DIO'!$L$6:$U$138,10,FALSE))</f>
        <v/>
      </c>
      <c r="B466" s="370" t="str">
        <f>IF(E466="","",VLOOKUP('OPĆI DIO'!$C$3,'OPĆI DIO'!$L$6:$U$138,9,FALSE))</f>
        <v/>
      </c>
      <c r="C466" s="371" t="str">
        <f t="shared" si="43"/>
        <v/>
      </c>
      <c r="D466" s="372" t="str">
        <f t="shared" si="44"/>
        <v/>
      </c>
      <c r="E466" s="81"/>
      <c r="F466" s="373" t="str">
        <f t="shared" si="40"/>
        <v/>
      </c>
      <c r="G466" s="359"/>
      <c r="H466" s="359"/>
      <c r="I466" s="359"/>
      <c r="J466" s="81"/>
      <c r="L466" s="73" t="str">
        <f t="shared" si="41"/>
        <v/>
      </c>
      <c r="M466" s="73" t="str">
        <f t="shared" si="42"/>
        <v/>
      </c>
    </row>
    <row r="467" spans="1:13">
      <c r="A467" s="374" t="str">
        <f>IF(E467="","",VLOOKUP('OPĆI DIO'!$C$3,'OPĆI DIO'!$L$6:$U$138,10,FALSE))</f>
        <v/>
      </c>
      <c r="B467" s="370" t="str">
        <f>IF(E467="","",VLOOKUP('OPĆI DIO'!$C$3,'OPĆI DIO'!$L$6:$U$138,9,FALSE))</f>
        <v/>
      </c>
      <c r="C467" s="371" t="str">
        <f t="shared" si="43"/>
        <v/>
      </c>
      <c r="D467" s="372" t="str">
        <f t="shared" si="44"/>
        <v/>
      </c>
      <c r="E467" s="81"/>
      <c r="F467" s="373" t="str">
        <f t="shared" si="40"/>
        <v/>
      </c>
      <c r="G467" s="359"/>
      <c r="H467" s="359"/>
      <c r="I467" s="359"/>
      <c r="J467" s="81"/>
      <c r="L467" s="73" t="str">
        <f t="shared" si="41"/>
        <v/>
      </c>
      <c r="M467" s="73" t="str">
        <f t="shared" si="42"/>
        <v/>
      </c>
    </row>
    <row r="468" spans="1:13">
      <c r="A468" s="374" t="str">
        <f>IF(E468="","",VLOOKUP('OPĆI DIO'!$C$3,'OPĆI DIO'!$L$6:$U$138,10,FALSE))</f>
        <v/>
      </c>
      <c r="B468" s="370" t="str">
        <f>IF(E468="","",VLOOKUP('OPĆI DIO'!$C$3,'OPĆI DIO'!$L$6:$U$138,9,FALSE))</f>
        <v/>
      </c>
      <c r="C468" s="371" t="str">
        <f t="shared" si="43"/>
        <v/>
      </c>
      <c r="D468" s="372" t="str">
        <f t="shared" si="44"/>
        <v/>
      </c>
      <c r="E468" s="81"/>
      <c r="F468" s="373" t="str">
        <f t="shared" si="40"/>
        <v/>
      </c>
      <c r="G468" s="359"/>
      <c r="H468" s="359"/>
      <c r="I468" s="359"/>
      <c r="J468" s="81"/>
      <c r="L468" s="73" t="str">
        <f t="shared" si="41"/>
        <v/>
      </c>
      <c r="M468" s="73" t="str">
        <f t="shared" si="42"/>
        <v/>
      </c>
    </row>
    <row r="469" spans="1:13">
      <c r="A469" s="374" t="str">
        <f>IF(E469="","",VLOOKUP('OPĆI DIO'!$C$3,'OPĆI DIO'!$L$6:$U$138,10,FALSE))</f>
        <v/>
      </c>
      <c r="B469" s="370" t="str">
        <f>IF(E469="","",VLOOKUP('OPĆI DIO'!$C$3,'OPĆI DIO'!$L$6:$U$138,9,FALSE))</f>
        <v/>
      </c>
      <c r="C469" s="371" t="str">
        <f t="shared" si="43"/>
        <v/>
      </c>
      <c r="D469" s="372" t="str">
        <f t="shared" si="44"/>
        <v/>
      </c>
      <c r="E469" s="81"/>
      <c r="F469" s="373" t="str">
        <f t="shared" si="40"/>
        <v/>
      </c>
      <c r="G469" s="359"/>
      <c r="H469" s="359"/>
      <c r="I469" s="359"/>
      <c r="J469" s="81"/>
      <c r="L469" s="73" t="str">
        <f t="shared" si="41"/>
        <v/>
      </c>
      <c r="M469" s="73" t="str">
        <f t="shared" si="42"/>
        <v/>
      </c>
    </row>
    <row r="470" spans="1:13">
      <c r="A470" s="374" t="str">
        <f>IF(E470="","",VLOOKUP('OPĆI DIO'!$C$3,'OPĆI DIO'!$L$6:$U$138,10,FALSE))</f>
        <v/>
      </c>
      <c r="B470" s="370" t="str">
        <f>IF(E470="","",VLOOKUP('OPĆI DIO'!$C$3,'OPĆI DIO'!$L$6:$U$138,9,FALSE))</f>
        <v/>
      </c>
      <c r="C470" s="371" t="str">
        <f t="shared" si="43"/>
        <v/>
      </c>
      <c r="D470" s="372" t="str">
        <f t="shared" si="44"/>
        <v/>
      </c>
      <c r="E470" s="81"/>
      <c r="F470" s="373" t="str">
        <f t="shared" si="40"/>
        <v/>
      </c>
      <c r="G470" s="359"/>
      <c r="H470" s="359"/>
      <c r="I470" s="359"/>
      <c r="J470" s="81"/>
      <c r="L470" s="73" t="str">
        <f t="shared" si="41"/>
        <v/>
      </c>
      <c r="M470" s="73" t="str">
        <f t="shared" si="42"/>
        <v/>
      </c>
    </row>
    <row r="471" spans="1:13">
      <c r="A471" s="374" t="str">
        <f>IF(E471="","",VLOOKUP('OPĆI DIO'!$C$3,'OPĆI DIO'!$L$6:$U$138,10,FALSE))</f>
        <v/>
      </c>
      <c r="B471" s="370" t="str">
        <f>IF(E471="","",VLOOKUP('OPĆI DIO'!$C$3,'OPĆI DIO'!$L$6:$U$138,9,FALSE))</f>
        <v/>
      </c>
      <c r="C471" s="371" t="str">
        <f t="shared" si="43"/>
        <v/>
      </c>
      <c r="D471" s="372" t="str">
        <f t="shared" si="44"/>
        <v/>
      </c>
      <c r="E471" s="81"/>
      <c r="F471" s="373" t="str">
        <f t="shared" si="40"/>
        <v/>
      </c>
      <c r="G471" s="359"/>
      <c r="H471" s="359"/>
      <c r="I471" s="359"/>
      <c r="J471" s="81"/>
      <c r="L471" s="73" t="str">
        <f t="shared" si="41"/>
        <v/>
      </c>
      <c r="M471" s="73" t="str">
        <f t="shared" si="42"/>
        <v/>
      </c>
    </row>
    <row r="472" spans="1:13">
      <c r="A472" s="374" t="str">
        <f>IF(E472="","",VLOOKUP('OPĆI DIO'!$C$3,'OPĆI DIO'!$L$6:$U$138,10,FALSE))</f>
        <v/>
      </c>
      <c r="B472" s="370" t="str">
        <f>IF(E472="","",VLOOKUP('OPĆI DIO'!$C$3,'OPĆI DIO'!$L$6:$U$138,9,FALSE))</f>
        <v/>
      </c>
      <c r="C472" s="371" t="str">
        <f t="shared" si="43"/>
        <v/>
      </c>
      <c r="D472" s="372" t="str">
        <f t="shared" si="44"/>
        <v/>
      </c>
      <c r="E472" s="81"/>
      <c r="F472" s="373" t="str">
        <f t="shared" si="40"/>
        <v/>
      </c>
      <c r="G472" s="359"/>
      <c r="H472" s="359"/>
      <c r="I472" s="359"/>
      <c r="J472" s="81"/>
      <c r="L472" s="73" t="str">
        <f t="shared" si="41"/>
        <v/>
      </c>
      <c r="M472" s="73" t="str">
        <f t="shared" si="42"/>
        <v/>
      </c>
    </row>
    <row r="473" spans="1:13">
      <c r="A473" s="374" t="str">
        <f>IF(E473="","",VLOOKUP('OPĆI DIO'!$C$3,'OPĆI DIO'!$L$6:$U$138,10,FALSE))</f>
        <v/>
      </c>
      <c r="B473" s="370" t="str">
        <f>IF(E473="","",VLOOKUP('OPĆI DIO'!$C$3,'OPĆI DIO'!$L$6:$U$138,9,FALSE))</f>
        <v/>
      </c>
      <c r="C473" s="371" t="str">
        <f t="shared" si="43"/>
        <v/>
      </c>
      <c r="D473" s="372" t="str">
        <f t="shared" si="44"/>
        <v/>
      </c>
      <c r="E473" s="81"/>
      <c r="F473" s="373" t="str">
        <f t="shared" si="40"/>
        <v/>
      </c>
      <c r="G473" s="359"/>
      <c r="H473" s="359"/>
      <c r="I473" s="359"/>
      <c r="J473" s="81"/>
      <c r="L473" s="73" t="str">
        <f t="shared" si="41"/>
        <v/>
      </c>
      <c r="M473" s="73" t="str">
        <f t="shared" si="42"/>
        <v/>
      </c>
    </row>
    <row r="474" spans="1:13">
      <c r="A474" s="374" t="str">
        <f>IF(E474="","",VLOOKUP('OPĆI DIO'!$C$3,'OPĆI DIO'!$L$6:$U$138,10,FALSE))</f>
        <v/>
      </c>
      <c r="B474" s="370" t="str">
        <f>IF(E474="","",VLOOKUP('OPĆI DIO'!$C$3,'OPĆI DIO'!$L$6:$U$138,9,FALSE))</f>
        <v/>
      </c>
      <c r="C474" s="371" t="str">
        <f t="shared" si="43"/>
        <v/>
      </c>
      <c r="D474" s="372" t="str">
        <f t="shared" si="44"/>
        <v/>
      </c>
      <c r="E474" s="81"/>
      <c r="F474" s="373" t="str">
        <f t="shared" si="40"/>
        <v/>
      </c>
      <c r="G474" s="359"/>
      <c r="H474" s="359"/>
      <c r="I474" s="359"/>
      <c r="J474" s="81"/>
      <c r="L474" s="73" t="str">
        <f t="shared" si="41"/>
        <v/>
      </c>
      <c r="M474" s="73" t="str">
        <f t="shared" si="42"/>
        <v/>
      </c>
    </row>
    <row r="475" spans="1:13">
      <c r="A475" s="374" t="str">
        <f>IF(E475="","",VLOOKUP('OPĆI DIO'!$C$3,'OPĆI DIO'!$L$6:$U$138,10,FALSE))</f>
        <v/>
      </c>
      <c r="B475" s="370" t="str">
        <f>IF(E475="","",VLOOKUP('OPĆI DIO'!$C$3,'OPĆI DIO'!$L$6:$U$138,9,FALSE))</f>
        <v/>
      </c>
      <c r="C475" s="371" t="str">
        <f t="shared" si="43"/>
        <v/>
      </c>
      <c r="D475" s="372" t="str">
        <f t="shared" si="44"/>
        <v/>
      </c>
      <c r="E475" s="81"/>
      <c r="F475" s="373" t="str">
        <f t="shared" si="40"/>
        <v/>
      </c>
      <c r="G475" s="359"/>
      <c r="H475" s="359"/>
      <c r="I475" s="359"/>
      <c r="J475" s="81"/>
      <c r="L475" s="73" t="str">
        <f t="shared" si="41"/>
        <v/>
      </c>
      <c r="M475" s="73" t="str">
        <f t="shared" si="42"/>
        <v/>
      </c>
    </row>
    <row r="476" spans="1:13">
      <c r="A476" s="374" t="str">
        <f>IF(E476="","",VLOOKUP('OPĆI DIO'!$C$3,'OPĆI DIO'!$L$6:$U$138,10,FALSE))</f>
        <v/>
      </c>
      <c r="B476" s="370" t="str">
        <f>IF(E476="","",VLOOKUP('OPĆI DIO'!$C$3,'OPĆI DIO'!$L$6:$U$138,9,FALSE))</f>
        <v/>
      </c>
      <c r="C476" s="371" t="str">
        <f t="shared" si="43"/>
        <v/>
      </c>
      <c r="D476" s="372" t="str">
        <f t="shared" si="44"/>
        <v/>
      </c>
      <c r="E476" s="81"/>
      <c r="F476" s="373" t="str">
        <f t="shared" si="40"/>
        <v/>
      </c>
      <c r="G476" s="359"/>
      <c r="H476" s="359"/>
      <c r="I476" s="359"/>
      <c r="J476" s="81"/>
      <c r="L476" s="73" t="str">
        <f t="shared" si="41"/>
        <v/>
      </c>
      <c r="M476" s="73" t="str">
        <f t="shared" si="42"/>
        <v/>
      </c>
    </row>
    <row r="477" spans="1:13">
      <c r="A477" s="374" t="str">
        <f>IF(E477="","",VLOOKUP('OPĆI DIO'!$C$3,'OPĆI DIO'!$L$6:$U$138,10,FALSE))</f>
        <v/>
      </c>
      <c r="B477" s="370" t="str">
        <f>IF(E477="","",VLOOKUP('OPĆI DIO'!$C$3,'OPĆI DIO'!$L$6:$U$138,9,FALSE))</f>
        <v/>
      </c>
      <c r="C477" s="371" t="str">
        <f t="shared" si="43"/>
        <v/>
      </c>
      <c r="D477" s="372" t="str">
        <f t="shared" si="44"/>
        <v/>
      </c>
      <c r="E477" s="81"/>
      <c r="F477" s="373" t="str">
        <f t="shared" si="40"/>
        <v/>
      </c>
      <c r="G477" s="359"/>
      <c r="H477" s="359"/>
      <c r="I477" s="359"/>
      <c r="J477" s="81"/>
      <c r="L477" s="73" t="str">
        <f t="shared" si="41"/>
        <v/>
      </c>
      <c r="M477" s="73" t="str">
        <f t="shared" si="42"/>
        <v/>
      </c>
    </row>
    <row r="478" spans="1:13">
      <c r="A478" s="374" t="str">
        <f>IF(E478="","",VLOOKUP('OPĆI DIO'!$C$3,'OPĆI DIO'!$L$6:$U$138,10,FALSE))</f>
        <v/>
      </c>
      <c r="B478" s="370" t="str">
        <f>IF(E478="","",VLOOKUP('OPĆI DIO'!$C$3,'OPĆI DIO'!$L$6:$U$138,9,FALSE))</f>
        <v/>
      </c>
      <c r="C478" s="371" t="str">
        <f t="shared" si="43"/>
        <v/>
      </c>
      <c r="D478" s="372" t="str">
        <f t="shared" si="44"/>
        <v/>
      </c>
      <c r="E478" s="81"/>
      <c r="F478" s="373" t="str">
        <f t="shared" si="40"/>
        <v/>
      </c>
      <c r="G478" s="359"/>
      <c r="H478" s="359"/>
      <c r="I478" s="359"/>
      <c r="J478" s="81"/>
      <c r="L478" s="73" t="str">
        <f t="shared" si="41"/>
        <v/>
      </c>
      <c r="M478" s="73" t="str">
        <f t="shared" si="42"/>
        <v/>
      </c>
    </row>
    <row r="479" spans="1:13">
      <c r="A479" s="374" t="str">
        <f>IF(E479="","",VLOOKUP('OPĆI DIO'!$C$3,'OPĆI DIO'!$L$6:$U$138,10,FALSE))</f>
        <v/>
      </c>
      <c r="B479" s="370" t="str">
        <f>IF(E479="","",VLOOKUP('OPĆI DIO'!$C$3,'OPĆI DIO'!$L$6:$U$138,9,FALSE))</f>
        <v/>
      </c>
      <c r="C479" s="371" t="str">
        <f t="shared" si="43"/>
        <v/>
      </c>
      <c r="D479" s="372" t="str">
        <f t="shared" si="44"/>
        <v/>
      </c>
      <c r="E479" s="81"/>
      <c r="F479" s="373" t="str">
        <f t="shared" si="40"/>
        <v/>
      </c>
      <c r="G479" s="359"/>
      <c r="H479" s="359"/>
      <c r="I479" s="359"/>
      <c r="J479" s="81"/>
      <c r="L479" s="73" t="str">
        <f t="shared" si="41"/>
        <v/>
      </c>
      <c r="M479" s="73" t="str">
        <f t="shared" si="42"/>
        <v/>
      </c>
    </row>
    <row r="480" spans="1:13">
      <c r="A480" s="374" t="str">
        <f>IF(E480="","",VLOOKUP('OPĆI DIO'!$C$3,'OPĆI DIO'!$L$6:$U$138,10,FALSE))</f>
        <v/>
      </c>
      <c r="B480" s="370" t="str">
        <f>IF(E480="","",VLOOKUP('OPĆI DIO'!$C$3,'OPĆI DIO'!$L$6:$U$138,9,FALSE))</f>
        <v/>
      </c>
      <c r="C480" s="371" t="str">
        <f t="shared" si="43"/>
        <v/>
      </c>
      <c r="D480" s="372" t="str">
        <f t="shared" si="44"/>
        <v/>
      </c>
      <c r="E480" s="81"/>
      <c r="F480" s="373" t="str">
        <f t="shared" si="40"/>
        <v/>
      </c>
      <c r="G480" s="359"/>
      <c r="H480" s="359"/>
      <c r="I480" s="359"/>
      <c r="J480" s="81"/>
      <c r="L480" s="73" t="str">
        <f t="shared" si="41"/>
        <v/>
      </c>
      <c r="M480" s="73" t="str">
        <f t="shared" si="42"/>
        <v/>
      </c>
    </row>
    <row r="481" spans="1:13">
      <c r="A481" s="374" t="str">
        <f>IF(E481="","",VLOOKUP('OPĆI DIO'!$C$3,'OPĆI DIO'!$L$6:$U$138,10,FALSE))</f>
        <v/>
      </c>
      <c r="B481" s="370" t="str">
        <f>IF(E481="","",VLOOKUP('OPĆI DIO'!$C$3,'OPĆI DIO'!$L$6:$U$138,9,FALSE))</f>
        <v/>
      </c>
      <c r="C481" s="371" t="str">
        <f t="shared" si="43"/>
        <v/>
      </c>
      <c r="D481" s="372" t="str">
        <f t="shared" si="44"/>
        <v/>
      </c>
      <c r="E481" s="81"/>
      <c r="F481" s="373" t="str">
        <f t="shared" si="40"/>
        <v/>
      </c>
      <c r="G481" s="359"/>
      <c r="H481" s="359"/>
      <c r="I481" s="359"/>
      <c r="J481" s="81"/>
      <c r="L481" s="73" t="str">
        <f t="shared" si="41"/>
        <v/>
      </c>
      <c r="M481" s="73" t="str">
        <f t="shared" si="42"/>
        <v/>
      </c>
    </row>
    <row r="482" spans="1:13">
      <c r="A482" s="374" t="str">
        <f>IF(E482="","",VLOOKUP('OPĆI DIO'!$C$3,'OPĆI DIO'!$L$6:$U$138,10,FALSE))</f>
        <v/>
      </c>
      <c r="B482" s="370" t="str">
        <f>IF(E482="","",VLOOKUP('OPĆI DIO'!$C$3,'OPĆI DIO'!$L$6:$U$138,9,FALSE))</f>
        <v/>
      </c>
      <c r="C482" s="371" t="str">
        <f t="shared" si="43"/>
        <v/>
      </c>
      <c r="D482" s="372" t="str">
        <f t="shared" si="44"/>
        <v/>
      </c>
      <c r="E482" s="81"/>
      <c r="F482" s="373" t="str">
        <f t="shared" si="40"/>
        <v/>
      </c>
      <c r="G482" s="359"/>
      <c r="H482" s="359"/>
      <c r="I482" s="359"/>
      <c r="J482" s="81"/>
      <c r="L482" s="73" t="str">
        <f t="shared" si="41"/>
        <v/>
      </c>
      <c r="M482" s="73" t="str">
        <f t="shared" si="42"/>
        <v/>
      </c>
    </row>
    <row r="483" spans="1:13">
      <c r="A483" s="374" t="str">
        <f>IF(E483="","",VLOOKUP('OPĆI DIO'!$C$3,'OPĆI DIO'!$L$6:$U$138,10,FALSE))</f>
        <v/>
      </c>
      <c r="B483" s="370" t="str">
        <f>IF(E483="","",VLOOKUP('OPĆI DIO'!$C$3,'OPĆI DIO'!$L$6:$U$138,9,FALSE))</f>
        <v/>
      </c>
      <c r="C483" s="371" t="str">
        <f t="shared" si="43"/>
        <v/>
      </c>
      <c r="D483" s="372" t="str">
        <f t="shared" si="44"/>
        <v/>
      </c>
      <c r="E483" s="81"/>
      <c r="F483" s="373" t="str">
        <f t="shared" si="40"/>
        <v/>
      </c>
      <c r="G483" s="359"/>
      <c r="H483" s="359"/>
      <c r="I483" s="359"/>
      <c r="J483" s="81"/>
      <c r="L483" s="73" t="str">
        <f t="shared" si="41"/>
        <v/>
      </c>
      <c r="M483" s="73" t="str">
        <f t="shared" si="42"/>
        <v/>
      </c>
    </row>
    <row r="484" spans="1:13">
      <c r="A484" s="374" t="str">
        <f>IF(E484="","",VLOOKUP('OPĆI DIO'!$C$3,'OPĆI DIO'!$L$6:$U$138,10,FALSE))</f>
        <v/>
      </c>
      <c r="B484" s="370" t="str">
        <f>IF(E484="","",VLOOKUP('OPĆI DIO'!$C$3,'OPĆI DIO'!$L$6:$U$138,9,FALSE))</f>
        <v/>
      </c>
      <c r="C484" s="371" t="str">
        <f t="shared" si="43"/>
        <v/>
      </c>
      <c r="D484" s="372" t="str">
        <f t="shared" si="44"/>
        <v/>
      </c>
      <c r="E484" s="81"/>
      <c r="F484" s="373" t="str">
        <f t="shared" si="40"/>
        <v/>
      </c>
      <c r="G484" s="359"/>
      <c r="H484" s="359"/>
      <c r="I484" s="359"/>
      <c r="J484" s="81"/>
      <c r="L484" s="73" t="str">
        <f t="shared" si="41"/>
        <v/>
      </c>
      <c r="M484" s="73" t="str">
        <f t="shared" si="42"/>
        <v/>
      </c>
    </row>
    <row r="485" spans="1:13">
      <c r="A485" s="374" t="str">
        <f>IF(E485="","",VLOOKUP('OPĆI DIO'!$C$3,'OPĆI DIO'!$L$6:$U$138,10,FALSE))</f>
        <v/>
      </c>
      <c r="B485" s="370" t="str">
        <f>IF(E485="","",VLOOKUP('OPĆI DIO'!$C$3,'OPĆI DIO'!$L$6:$U$138,9,FALSE))</f>
        <v/>
      </c>
      <c r="C485" s="371" t="str">
        <f t="shared" si="43"/>
        <v/>
      </c>
      <c r="D485" s="372" t="str">
        <f t="shared" si="44"/>
        <v/>
      </c>
      <c r="E485" s="81"/>
      <c r="F485" s="373" t="str">
        <f t="shared" si="40"/>
        <v/>
      </c>
      <c r="G485" s="359"/>
      <c r="H485" s="359"/>
      <c r="I485" s="359"/>
      <c r="J485" s="81"/>
      <c r="L485" s="73" t="str">
        <f t="shared" si="41"/>
        <v/>
      </c>
      <c r="M485" s="73" t="str">
        <f t="shared" si="42"/>
        <v/>
      </c>
    </row>
    <row r="486" spans="1:13">
      <c r="A486" s="374" t="str">
        <f>IF(E486="","",VLOOKUP('OPĆI DIO'!$C$3,'OPĆI DIO'!$L$6:$U$138,10,FALSE))</f>
        <v/>
      </c>
      <c r="B486" s="370" t="str">
        <f>IF(E486="","",VLOOKUP('OPĆI DIO'!$C$3,'OPĆI DIO'!$L$6:$U$138,9,FALSE))</f>
        <v/>
      </c>
      <c r="C486" s="371" t="str">
        <f t="shared" si="43"/>
        <v/>
      </c>
      <c r="D486" s="372" t="str">
        <f t="shared" si="44"/>
        <v/>
      </c>
      <c r="E486" s="81"/>
      <c r="F486" s="373" t="str">
        <f t="shared" si="40"/>
        <v/>
      </c>
      <c r="G486" s="359"/>
      <c r="H486" s="359"/>
      <c r="I486" s="359"/>
      <c r="J486" s="81"/>
      <c r="L486" s="73" t="str">
        <f t="shared" si="41"/>
        <v/>
      </c>
      <c r="M486" s="73" t="str">
        <f t="shared" si="42"/>
        <v/>
      </c>
    </row>
    <row r="487" spans="1:13">
      <c r="A487" s="374" t="str">
        <f>IF(E487="","",VLOOKUP('OPĆI DIO'!$C$3,'OPĆI DIO'!$L$6:$U$138,10,FALSE))</f>
        <v/>
      </c>
      <c r="B487" s="370" t="str">
        <f>IF(E487="","",VLOOKUP('OPĆI DIO'!$C$3,'OPĆI DIO'!$L$6:$U$138,9,FALSE))</f>
        <v/>
      </c>
      <c r="C487" s="371" t="str">
        <f t="shared" si="43"/>
        <v/>
      </c>
      <c r="D487" s="372" t="str">
        <f t="shared" si="44"/>
        <v/>
      </c>
      <c r="E487" s="81"/>
      <c r="F487" s="373" t="str">
        <f t="shared" si="40"/>
        <v/>
      </c>
      <c r="G487" s="359"/>
      <c r="H487" s="359"/>
      <c r="I487" s="359"/>
      <c r="J487" s="81"/>
      <c r="L487" s="73" t="str">
        <f t="shared" si="41"/>
        <v/>
      </c>
      <c r="M487" s="73" t="str">
        <f t="shared" si="42"/>
        <v/>
      </c>
    </row>
    <row r="488" spans="1:13">
      <c r="A488" s="374" t="str">
        <f>IF(E488="","",VLOOKUP('OPĆI DIO'!$C$3,'OPĆI DIO'!$L$6:$U$138,10,FALSE))</f>
        <v/>
      </c>
      <c r="B488" s="370" t="str">
        <f>IF(E488="","",VLOOKUP('OPĆI DIO'!$C$3,'OPĆI DIO'!$L$6:$U$138,9,FALSE))</f>
        <v/>
      </c>
      <c r="C488" s="371" t="str">
        <f t="shared" si="43"/>
        <v/>
      </c>
      <c r="D488" s="372" t="str">
        <f t="shared" si="44"/>
        <v/>
      </c>
      <c r="E488" s="81"/>
      <c r="F488" s="373" t="str">
        <f t="shared" si="40"/>
        <v/>
      </c>
      <c r="G488" s="359"/>
      <c r="H488" s="359"/>
      <c r="I488" s="359"/>
      <c r="J488" s="81"/>
      <c r="L488" s="73" t="str">
        <f t="shared" si="41"/>
        <v/>
      </c>
      <c r="M488" s="73" t="str">
        <f t="shared" si="42"/>
        <v/>
      </c>
    </row>
    <row r="489" spans="1:13">
      <c r="A489" s="374" t="str">
        <f>IF(E489="","",VLOOKUP('OPĆI DIO'!$C$3,'OPĆI DIO'!$L$6:$U$138,10,FALSE))</f>
        <v/>
      </c>
      <c r="B489" s="370" t="str">
        <f>IF(E489="","",VLOOKUP('OPĆI DIO'!$C$3,'OPĆI DIO'!$L$6:$U$138,9,FALSE))</f>
        <v/>
      </c>
      <c r="C489" s="371" t="str">
        <f t="shared" si="43"/>
        <v/>
      </c>
      <c r="D489" s="372" t="str">
        <f t="shared" si="44"/>
        <v/>
      </c>
      <c r="E489" s="81"/>
      <c r="F489" s="373" t="str">
        <f t="shared" si="40"/>
        <v/>
      </c>
      <c r="G489" s="359"/>
      <c r="H489" s="359"/>
      <c r="I489" s="359"/>
      <c r="J489" s="81"/>
      <c r="L489" s="73" t="str">
        <f t="shared" si="41"/>
        <v/>
      </c>
      <c r="M489" s="73" t="str">
        <f t="shared" si="42"/>
        <v/>
      </c>
    </row>
    <row r="490" spans="1:13">
      <c r="A490" s="374" t="str">
        <f>IF(E490="","",VLOOKUP('OPĆI DIO'!$C$3,'OPĆI DIO'!$L$6:$U$138,10,FALSE))</f>
        <v/>
      </c>
      <c r="B490" s="370" t="str">
        <f>IF(E490="","",VLOOKUP('OPĆI DIO'!$C$3,'OPĆI DIO'!$L$6:$U$138,9,FALSE))</f>
        <v/>
      </c>
      <c r="C490" s="371" t="str">
        <f t="shared" si="43"/>
        <v/>
      </c>
      <c r="D490" s="372" t="str">
        <f t="shared" si="44"/>
        <v/>
      </c>
      <c r="E490" s="81"/>
      <c r="F490" s="373" t="str">
        <f t="shared" si="40"/>
        <v/>
      </c>
      <c r="G490" s="359"/>
      <c r="H490" s="359"/>
      <c r="I490" s="359"/>
      <c r="J490" s="81"/>
      <c r="L490" s="73" t="str">
        <f t="shared" si="41"/>
        <v/>
      </c>
      <c r="M490" s="73" t="str">
        <f t="shared" si="42"/>
        <v/>
      </c>
    </row>
    <row r="491" spans="1:13">
      <c r="A491" s="374" t="str">
        <f>IF(E491="","",VLOOKUP('OPĆI DIO'!$C$3,'OPĆI DIO'!$L$6:$U$138,10,FALSE))</f>
        <v/>
      </c>
      <c r="B491" s="370" t="str">
        <f>IF(E491="","",VLOOKUP('OPĆI DIO'!$C$3,'OPĆI DIO'!$L$6:$U$138,9,FALSE))</f>
        <v/>
      </c>
      <c r="C491" s="371" t="str">
        <f t="shared" si="43"/>
        <v/>
      </c>
      <c r="D491" s="372" t="str">
        <f t="shared" si="44"/>
        <v/>
      </c>
      <c r="E491" s="81"/>
      <c r="F491" s="373" t="str">
        <f t="shared" si="40"/>
        <v/>
      </c>
      <c r="G491" s="359"/>
      <c r="H491" s="359"/>
      <c r="I491" s="359"/>
      <c r="J491" s="81"/>
      <c r="L491" s="73" t="str">
        <f t="shared" si="41"/>
        <v/>
      </c>
      <c r="M491" s="73" t="str">
        <f t="shared" si="42"/>
        <v/>
      </c>
    </row>
    <row r="492" spans="1:13">
      <c r="A492" s="374" t="str">
        <f>IF(E492="","",VLOOKUP('OPĆI DIO'!$C$3,'OPĆI DIO'!$L$6:$U$138,10,FALSE))</f>
        <v/>
      </c>
      <c r="B492" s="370" t="str">
        <f>IF(E492="","",VLOOKUP('OPĆI DIO'!$C$3,'OPĆI DIO'!$L$6:$U$138,9,FALSE))</f>
        <v/>
      </c>
      <c r="C492" s="371" t="str">
        <f t="shared" si="43"/>
        <v/>
      </c>
      <c r="D492" s="372" t="str">
        <f t="shared" si="44"/>
        <v/>
      </c>
      <c r="E492" s="81"/>
      <c r="F492" s="373" t="str">
        <f t="shared" si="40"/>
        <v/>
      </c>
      <c r="G492" s="359"/>
      <c r="H492" s="359"/>
      <c r="I492" s="359"/>
      <c r="J492" s="81"/>
      <c r="L492" s="73" t="str">
        <f t="shared" si="41"/>
        <v/>
      </c>
      <c r="M492" s="73" t="str">
        <f t="shared" si="42"/>
        <v/>
      </c>
    </row>
    <row r="493" spans="1:13">
      <c r="A493" s="374" t="str">
        <f>IF(E493="","",VLOOKUP('OPĆI DIO'!$C$3,'OPĆI DIO'!$L$6:$U$138,10,FALSE))</f>
        <v/>
      </c>
      <c r="B493" s="370" t="str">
        <f>IF(E493="","",VLOOKUP('OPĆI DIO'!$C$3,'OPĆI DIO'!$L$6:$U$138,9,FALSE))</f>
        <v/>
      </c>
      <c r="C493" s="371" t="str">
        <f t="shared" si="43"/>
        <v/>
      </c>
      <c r="D493" s="372" t="str">
        <f t="shared" si="44"/>
        <v/>
      </c>
      <c r="E493" s="81"/>
      <c r="F493" s="373" t="str">
        <f t="shared" si="40"/>
        <v/>
      </c>
      <c r="G493" s="359"/>
      <c r="H493" s="359"/>
      <c r="I493" s="359"/>
      <c r="J493" s="81"/>
      <c r="L493" s="73" t="str">
        <f t="shared" si="41"/>
        <v/>
      </c>
      <c r="M493" s="73" t="str">
        <f t="shared" si="42"/>
        <v/>
      </c>
    </row>
    <row r="494" spans="1:13">
      <c r="A494" s="374" t="str">
        <f>IF(E494="","",VLOOKUP('OPĆI DIO'!$C$3,'OPĆI DIO'!$L$6:$U$138,10,FALSE))</f>
        <v/>
      </c>
      <c r="B494" s="370" t="str">
        <f>IF(E494="","",VLOOKUP('OPĆI DIO'!$C$3,'OPĆI DIO'!$L$6:$U$138,9,FALSE))</f>
        <v/>
      </c>
      <c r="C494" s="371" t="str">
        <f t="shared" si="43"/>
        <v/>
      </c>
      <c r="D494" s="372" t="str">
        <f t="shared" si="44"/>
        <v/>
      </c>
      <c r="E494" s="81"/>
      <c r="F494" s="373" t="str">
        <f t="shared" si="40"/>
        <v/>
      </c>
      <c r="G494" s="359"/>
      <c r="H494" s="359"/>
      <c r="I494" s="359"/>
      <c r="J494" s="81"/>
      <c r="L494" s="73" t="str">
        <f t="shared" si="41"/>
        <v/>
      </c>
      <c r="M494" s="73" t="str">
        <f t="shared" si="42"/>
        <v/>
      </c>
    </row>
    <row r="495" spans="1:13">
      <c r="A495" s="374" t="str">
        <f>IF(E495="","",VLOOKUP('OPĆI DIO'!$C$3,'OPĆI DIO'!$L$6:$U$138,10,FALSE))</f>
        <v/>
      </c>
      <c r="B495" s="370" t="str">
        <f>IF(E495="","",VLOOKUP('OPĆI DIO'!$C$3,'OPĆI DIO'!$L$6:$U$138,9,FALSE))</f>
        <v/>
      </c>
      <c r="C495" s="371" t="str">
        <f t="shared" si="43"/>
        <v/>
      </c>
      <c r="D495" s="372" t="str">
        <f t="shared" si="44"/>
        <v/>
      </c>
      <c r="E495" s="81"/>
      <c r="F495" s="373" t="str">
        <f t="shared" si="40"/>
        <v/>
      </c>
      <c r="G495" s="359"/>
      <c r="H495" s="359"/>
      <c r="I495" s="359"/>
      <c r="J495" s="81"/>
      <c r="L495" s="73" t="str">
        <f t="shared" si="41"/>
        <v/>
      </c>
      <c r="M495" s="73" t="str">
        <f t="shared" si="42"/>
        <v/>
      </c>
    </row>
    <row r="496" spans="1:13">
      <c r="A496" s="374" t="str">
        <f>IF(E496="","",VLOOKUP('OPĆI DIO'!$C$3,'OPĆI DIO'!$L$6:$U$138,10,FALSE))</f>
        <v/>
      </c>
      <c r="B496" s="370" t="str">
        <f>IF(E496="","",VLOOKUP('OPĆI DIO'!$C$3,'OPĆI DIO'!$L$6:$U$138,9,FALSE))</f>
        <v/>
      </c>
      <c r="C496" s="371" t="str">
        <f t="shared" si="43"/>
        <v/>
      </c>
      <c r="D496" s="372" t="str">
        <f t="shared" si="44"/>
        <v/>
      </c>
      <c r="E496" s="81"/>
      <c r="F496" s="373" t="str">
        <f t="shared" si="40"/>
        <v/>
      </c>
      <c r="G496" s="359"/>
      <c r="H496" s="359"/>
      <c r="I496" s="359"/>
      <c r="J496" s="81"/>
      <c r="L496" s="73" t="str">
        <f t="shared" si="41"/>
        <v/>
      </c>
      <c r="M496" s="73" t="str">
        <f t="shared" si="42"/>
        <v/>
      </c>
    </row>
    <row r="497" spans="1:13">
      <c r="A497" s="374" t="str">
        <f>IF(E497="","",VLOOKUP('OPĆI DIO'!$C$3,'OPĆI DIO'!$L$6:$U$138,10,FALSE))</f>
        <v/>
      </c>
      <c r="B497" s="370" t="str">
        <f>IF(E497="","",VLOOKUP('OPĆI DIO'!$C$3,'OPĆI DIO'!$L$6:$U$138,9,FALSE))</f>
        <v/>
      </c>
      <c r="C497" s="371" t="str">
        <f t="shared" si="43"/>
        <v/>
      </c>
      <c r="D497" s="372" t="str">
        <f t="shared" si="44"/>
        <v/>
      </c>
      <c r="E497" s="81"/>
      <c r="F497" s="373" t="str">
        <f t="shared" si="40"/>
        <v/>
      </c>
      <c r="G497" s="359"/>
      <c r="H497" s="359"/>
      <c r="I497" s="359"/>
      <c r="J497" s="81"/>
      <c r="L497" s="73" t="str">
        <f t="shared" si="41"/>
        <v/>
      </c>
      <c r="M497" s="73" t="str">
        <f t="shared" si="42"/>
        <v/>
      </c>
    </row>
    <row r="498" spans="1:13">
      <c r="A498" s="374" t="str">
        <f>IF(E498="","",VLOOKUP('OPĆI DIO'!$C$3,'OPĆI DIO'!$L$6:$U$138,10,FALSE))</f>
        <v/>
      </c>
      <c r="B498" s="370" t="str">
        <f>IF(E498="","",VLOOKUP('OPĆI DIO'!$C$3,'OPĆI DIO'!$L$6:$U$138,9,FALSE))</f>
        <v/>
      </c>
      <c r="C498" s="371" t="str">
        <f t="shared" si="43"/>
        <v/>
      </c>
      <c r="D498" s="372" t="str">
        <f t="shared" si="44"/>
        <v/>
      </c>
      <c r="E498" s="81"/>
      <c r="F498" s="373" t="str">
        <f t="shared" si="40"/>
        <v/>
      </c>
      <c r="G498" s="359"/>
      <c r="H498" s="359"/>
      <c r="I498" s="359"/>
      <c r="J498" s="81"/>
      <c r="L498" s="73" t="str">
        <f t="shared" si="41"/>
        <v/>
      </c>
      <c r="M498" s="73" t="str">
        <f t="shared" si="42"/>
        <v/>
      </c>
    </row>
    <row r="499" spans="1:13">
      <c r="A499" s="374" t="str">
        <f>IF(E499="","",VLOOKUP('OPĆI DIO'!$C$3,'OPĆI DIO'!$L$6:$U$138,10,FALSE))</f>
        <v/>
      </c>
      <c r="B499" s="370" t="str">
        <f>IF(E499="","",VLOOKUP('OPĆI DIO'!$C$3,'OPĆI DIO'!$L$6:$U$138,9,FALSE))</f>
        <v/>
      </c>
      <c r="C499" s="371" t="str">
        <f t="shared" si="43"/>
        <v/>
      </c>
      <c r="D499" s="372" t="str">
        <f t="shared" si="44"/>
        <v/>
      </c>
      <c r="E499" s="81"/>
      <c r="F499" s="373" t="str">
        <f t="shared" si="40"/>
        <v/>
      </c>
      <c r="G499" s="359"/>
      <c r="H499" s="359"/>
      <c r="I499" s="359"/>
      <c r="J499" s="81"/>
      <c r="L499" s="73" t="str">
        <f t="shared" si="41"/>
        <v/>
      </c>
      <c r="M499" s="73" t="str">
        <f t="shared" si="42"/>
        <v/>
      </c>
    </row>
    <row r="500" spans="1:13">
      <c r="A500" s="374" t="str">
        <f>IF(E500="","",VLOOKUP('OPĆI DIO'!$C$3,'OPĆI DIO'!$L$6:$U$138,10,FALSE))</f>
        <v/>
      </c>
      <c r="B500" s="370" t="str">
        <f>IF(E500="","",VLOOKUP('OPĆI DIO'!$C$3,'OPĆI DIO'!$L$6:$U$138,9,FALSE))</f>
        <v/>
      </c>
      <c r="C500" s="371" t="str">
        <f t="shared" si="43"/>
        <v/>
      </c>
      <c r="D500" s="372" t="str">
        <f t="shared" si="44"/>
        <v/>
      </c>
      <c r="E500" s="81"/>
      <c r="F500" s="373" t="str">
        <f t="shared" si="40"/>
        <v/>
      </c>
      <c r="G500" s="359"/>
      <c r="H500" s="359"/>
      <c r="I500" s="359"/>
      <c r="J500" s="81"/>
      <c r="L500" s="73" t="str">
        <f t="shared" si="41"/>
        <v/>
      </c>
      <c r="M500" s="73" t="str">
        <f t="shared" si="42"/>
        <v/>
      </c>
    </row>
    <row r="501" spans="1:13">
      <c r="A501" s="374" t="str">
        <f>IF(E501="","",VLOOKUP('OPĆI DIO'!$C$3,'OPĆI DIO'!$L$6:$U$138,10,FALSE))</f>
        <v/>
      </c>
      <c r="B501" s="370" t="str">
        <f>IF(E501="","",VLOOKUP('OPĆI DIO'!$C$3,'OPĆI DIO'!$L$6:$U$138,9,FALSE))</f>
        <v/>
      </c>
      <c r="C501" s="371" t="str">
        <f t="shared" si="43"/>
        <v/>
      </c>
      <c r="D501" s="372" t="str">
        <f t="shared" si="44"/>
        <v/>
      </c>
      <c r="E501" s="81"/>
      <c r="F501" s="373" t="str">
        <f t="shared" si="40"/>
        <v/>
      </c>
      <c r="G501" s="359"/>
      <c r="H501" s="359"/>
      <c r="I501" s="359"/>
      <c r="J501" s="81"/>
      <c r="L501" s="73" t="str">
        <f t="shared" si="41"/>
        <v/>
      </c>
      <c r="M501" s="73" t="str">
        <f t="shared" si="42"/>
        <v/>
      </c>
    </row>
    <row r="502" spans="1:13"/>
    <row r="535"/>
    <row r="536"/>
    <row r="537"/>
    <row r="538"/>
  </sheetData>
  <sheetProtection selectLockedCells="1"/>
  <autoFilter ref="R5:V121" xr:uid="{00000000-0009-0000-0000-000001000000}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29" priority="6">
      <formula>IF(OR(E3=6391,E3=6392,E3=6393,E3=6394),1,0)</formula>
    </cfRule>
  </conditionalFormatting>
  <conditionalFormatting sqref="J4:J9 J15:J499">
    <cfRule type="expression" dxfId="28" priority="5">
      <formula>IF(OR(E4=6391,E4=6392,E4=6393,E4=6394),1,0)</formula>
    </cfRule>
  </conditionalFormatting>
  <conditionalFormatting sqref="J10">
    <cfRule type="expression" dxfId="27" priority="4">
      <formula>IF(OR(E10=6391,E10=6392,E10=6393,E10=6394),1,0)</formula>
    </cfRule>
  </conditionalFormatting>
  <conditionalFormatting sqref="J13:J14">
    <cfRule type="expression" dxfId="26" priority="3">
      <formula>IF(OR(E13=6391,E13=6392,E13=6393,E13=6394),1,0)</formula>
    </cfRule>
  </conditionalFormatting>
  <conditionalFormatting sqref="J11">
    <cfRule type="expression" dxfId="25" priority="2">
      <formula>IF(OR(E11=6391,E11=6392,E11=6393,E11=6394),1,0)</formula>
    </cfRule>
  </conditionalFormatting>
  <conditionalFormatting sqref="J12">
    <cfRule type="expression" dxfId="24" priority="1">
      <formula>IF(OR(E12=6391,E12=6392,E12=6393,E12=6394),1,0)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I22:I501 G22:G501 I3:I20 G3:G20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10 E18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9 E11:E17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J15:J501 J3:J9</xm:sqref>
        </x14:dataValidation>
        <x14:dataValidation type="list" allowBlank="1" showInputMessage="1" showErrorMessage="1" xr:uid="{00000000-0002-0000-0100-000004000000}">
          <x14:formula1>
            <xm:f>IF(OR(E12=6391,E12=6392,E12=6393,E12=6394),'D:\Documents\PLANOVI\PLAN 2023-2025\IZVRSENJE-FINANCIJSKOG-PLANA\[podaci-iz-fin-plana-konacni-prosinac2023-2025-ZA-IZVRSENJEsrpanj2023.xlsx]KORISNICI DP'!#REF!,$L$1)</xm:f>
          </x14:formula1>
          <xm:sqref>J12:J14</xm:sqref>
        </x14:dataValidation>
        <x14:dataValidation type="list" allowBlank="1" showInputMessage="1" showErrorMessage="1" xr:uid="{00000000-0002-0000-0100-000005000000}">
          <x14:formula1>
            <xm:f>IF(OR(E10=6391,E10=6392,E10=6393,E10=6394),'D:\Documents\PLANOVI\PLAN 2023-2025\IZVRSENJE-FINANCIJSKOG-PLANA\[Pravni-fakultet-Osijek-OPĆI DIO IZVRŠENJE FP_I-VI 2023_tablice-mzo.xlsx]KORISNICI DP'!#REF!,$L$1)</xm:f>
          </x14:formula1>
          <xm:sqref>J10:J11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pageSetUpPr fitToPage="1"/>
  </sheetPr>
  <dimension ref="A1:AG548"/>
  <sheetViews>
    <sheetView showGridLines="0" topLeftCell="F1" zoomScaleNormal="100" workbookViewId="0">
      <pane ySplit="2" topLeftCell="A82" activePane="bottomLeft" state="frozen"/>
      <selection pane="bottomLeft" activeCell="L55" sqref="L55:L111"/>
    </sheetView>
  </sheetViews>
  <sheetFormatPr defaultColWidth="9.140625" defaultRowHeight="15" zeroHeight="1"/>
  <cols>
    <col min="1" max="1" width="8.28515625" style="73" customWidth="1"/>
    <col min="2" max="2" width="20.28515625" style="73" customWidth="1"/>
    <col min="3" max="3" width="11.5703125" style="73" customWidth="1"/>
    <col min="4" max="4" width="22.5703125" style="73" customWidth="1"/>
    <col min="5" max="5" width="11.28515625" style="73" customWidth="1"/>
    <col min="6" max="6" width="21.85546875" style="73" customWidth="1"/>
    <col min="7" max="7" width="12.5703125" style="73" customWidth="1"/>
    <col min="8" max="8" width="36.7109375" style="73" customWidth="1"/>
    <col min="9" max="9" width="8.5703125" style="73" customWidth="1"/>
    <col min="10" max="10" width="16.42578125" style="74" customWidth="1"/>
    <col min="11" max="11" width="15.7109375" style="74" customWidth="1"/>
    <col min="12" max="12" width="15.140625" style="74" customWidth="1"/>
    <col min="13" max="13" width="46.42578125" style="74" customWidth="1"/>
    <col min="14" max="14" width="13.7109375" style="73" customWidth="1"/>
    <col min="15" max="19" width="9.140625" style="73" customWidth="1"/>
    <col min="20" max="20" width="46.5703125" style="73" customWidth="1"/>
    <col min="21" max="22" width="9.140625" style="73" customWidth="1"/>
    <col min="23" max="23" width="58.85546875" style="73" customWidth="1"/>
    <col min="24" max="24" width="9.140625" style="73"/>
    <col min="25" max="25" width="9.140625" style="283"/>
    <col min="26" max="16384" width="9.140625" style="73"/>
  </cols>
  <sheetData>
    <row r="1" spans="1:33" ht="35.25" customHeight="1">
      <c r="A1" s="392" t="s">
        <v>5248</v>
      </c>
      <c r="B1" s="392"/>
      <c r="C1" s="392"/>
      <c r="D1" s="392"/>
      <c r="E1" s="116" t="str">
        <f>IF(OR('OPĆI DIO'!C3="odaberite -",'OPĆI DIO'!C3=""),"Molimo odaberite proračunskog korisnika na radnom listu Opći podaci!","")</f>
        <v/>
      </c>
      <c r="L1" s="319" t="s">
        <v>5246</v>
      </c>
    </row>
    <row r="2" spans="1:33" ht="36" customHeight="1">
      <c r="A2" s="75" t="s">
        <v>38</v>
      </c>
      <c r="B2" s="75" t="s">
        <v>39</v>
      </c>
      <c r="C2" s="79" t="s">
        <v>654</v>
      </c>
      <c r="D2" s="75" t="s">
        <v>41</v>
      </c>
      <c r="E2" s="79" t="s">
        <v>652</v>
      </c>
      <c r="F2" s="75" t="s">
        <v>653</v>
      </c>
      <c r="G2" s="79" t="s">
        <v>655</v>
      </c>
      <c r="H2" s="75" t="s">
        <v>43</v>
      </c>
      <c r="I2" s="75" t="s">
        <v>5099</v>
      </c>
      <c r="J2" s="322" t="s">
        <v>5260</v>
      </c>
      <c r="K2" s="322" t="s">
        <v>5259</v>
      </c>
      <c r="L2" s="322" t="s">
        <v>5261</v>
      </c>
      <c r="M2" s="277" t="s">
        <v>5067</v>
      </c>
      <c r="O2" s="76" t="s">
        <v>632</v>
      </c>
      <c r="P2" s="76" t="s">
        <v>633</v>
      </c>
      <c r="Q2" s="216" t="s">
        <v>3524</v>
      </c>
      <c r="R2" s="216"/>
    </row>
    <row r="3" spans="1:33" hidden="1">
      <c r="A3" s="355">
        <v>8006</v>
      </c>
      <c r="B3" s="355" t="s">
        <v>45</v>
      </c>
      <c r="C3" s="356">
        <v>11</v>
      </c>
      <c r="D3" s="357" t="s">
        <v>46</v>
      </c>
      <c r="E3" s="356">
        <v>3111</v>
      </c>
      <c r="F3" s="357" t="s">
        <v>47</v>
      </c>
      <c r="G3" s="358" t="s">
        <v>61</v>
      </c>
      <c r="H3" s="357" t="s">
        <v>62</v>
      </c>
      <c r="I3" s="357" t="str">
        <f t="shared" ref="I3:I34" si="0">IFERROR(VLOOKUP(G3,$AB$6:$AF$321,3,FALSE),"")</f>
        <v>0942</v>
      </c>
      <c r="J3" s="359">
        <v>1678197</v>
      </c>
      <c r="K3" s="359">
        <f>L3-J3</f>
        <v>139327</v>
      </c>
      <c r="L3" s="359">
        <v>1817524</v>
      </c>
      <c r="M3" s="81"/>
      <c r="O3" s="73" t="str">
        <f>LEFT(E3,3)</f>
        <v>311</v>
      </c>
      <c r="P3" s="73" t="str">
        <f>LEFT(E3,2)</f>
        <v>31</v>
      </c>
      <c r="Q3" s="73" t="str">
        <f>LEFT(C3,3)</f>
        <v>11</v>
      </c>
      <c r="R3" s="73" t="str">
        <f>MID(I3,2,2)</f>
        <v>94</v>
      </c>
    </row>
    <row r="4" spans="1:33" hidden="1">
      <c r="A4" s="355">
        <v>8006</v>
      </c>
      <c r="B4" s="355" t="s">
        <v>45</v>
      </c>
      <c r="C4" s="356">
        <v>11</v>
      </c>
      <c r="D4" s="357" t="s">
        <v>46</v>
      </c>
      <c r="E4" s="356">
        <v>3237</v>
      </c>
      <c r="F4" s="357" t="s">
        <v>66</v>
      </c>
      <c r="G4" s="358" t="s">
        <v>1907</v>
      </c>
      <c r="H4" s="357" t="s">
        <v>1908</v>
      </c>
      <c r="I4" s="357" t="str">
        <f t="shared" si="0"/>
        <v>0942</v>
      </c>
      <c r="J4" s="359">
        <v>150750</v>
      </c>
      <c r="K4" s="359">
        <f t="shared" ref="K4:K67" si="1">L4-J4</f>
        <v>0</v>
      </c>
      <c r="L4" s="359">
        <v>150750</v>
      </c>
      <c r="M4" s="81"/>
      <c r="O4" s="73" t="str">
        <f t="shared" ref="O4:O70" si="2">LEFT(E4,3)</f>
        <v>323</v>
      </c>
      <c r="P4" s="73" t="str">
        <f t="shared" ref="P4:P70" si="3">LEFT(E4,2)</f>
        <v>32</v>
      </c>
      <c r="Q4" s="73" t="str">
        <f t="shared" ref="Q4:Q70" si="4">LEFT(C4,3)</f>
        <v>11</v>
      </c>
      <c r="R4" s="73" t="str">
        <f t="shared" ref="R4:R70" si="5">MID(I4,2,2)</f>
        <v>94</v>
      </c>
      <c r="V4" s="78"/>
      <c r="W4" s="78"/>
    </row>
    <row r="5" spans="1:33" hidden="1">
      <c r="A5" s="355">
        <v>8006</v>
      </c>
      <c r="B5" s="355" t="s">
        <v>45</v>
      </c>
      <c r="C5" s="356">
        <v>11</v>
      </c>
      <c r="D5" s="357" t="s">
        <v>46</v>
      </c>
      <c r="E5" s="356">
        <v>3121</v>
      </c>
      <c r="F5" s="357" t="s">
        <v>50</v>
      </c>
      <c r="G5" s="358" t="s">
        <v>61</v>
      </c>
      <c r="H5" s="357" t="s">
        <v>62</v>
      </c>
      <c r="I5" s="357" t="str">
        <f t="shared" si="0"/>
        <v>0942</v>
      </c>
      <c r="J5" s="359">
        <v>42950</v>
      </c>
      <c r="K5" s="359">
        <f t="shared" si="1"/>
        <v>17050</v>
      </c>
      <c r="L5" s="359">
        <v>60000</v>
      </c>
      <c r="M5" s="81"/>
      <c r="O5" s="73" t="str">
        <f t="shared" si="2"/>
        <v>312</v>
      </c>
      <c r="P5" s="73" t="str">
        <f t="shared" si="3"/>
        <v>31</v>
      </c>
      <c r="Q5" s="73" t="str">
        <f t="shared" si="4"/>
        <v>11</v>
      </c>
      <c r="R5" s="73" t="str">
        <f t="shared" si="5"/>
        <v>94</v>
      </c>
      <c r="S5" s="73" t="s">
        <v>40</v>
      </c>
      <c r="T5" s="73" t="s">
        <v>41</v>
      </c>
      <c r="V5" s="73">
        <v>3111</v>
      </c>
      <c r="W5" s="73" t="s">
        <v>47</v>
      </c>
      <c r="Y5" s="283" t="str">
        <f>LEFT(V5,2)</f>
        <v>31</v>
      </c>
      <c r="Z5" s="73" t="str">
        <f>LEFT(V5,3)</f>
        <v>311</v>
      </c>
      <c r="AB5" s="73" t="s">
        <v>42</v>
      </c>
      <c r="AC5" s="73" t="s">
        <v>43</v>
      </c>
    </row>
    <row r="6" spans="1:33" hidden="1">
      <c r="A6" s="355">
        <v>8006</v>
      </c>
      <c r="B6" s="355" t="s">
        <v>45</v>
      </c>
      <c r="C6" s="356">
        <v>11</v>
      </c>
      <c r="D6" s="357" t="s">
        <v>46</v>
      </c>
      <c r="E6" s="356">
        <v>3132</v>
      </c>
      <c r="F6" s="357" t="s">
        <v>51</v>
      </c>
      <c r="G6" s="358" t="s">
        <v>61</v>
      </c>
      <c r="H6" s="357" t="s">
        <v>62</v>
      </c>
      <c r="I6" s="357" t="str">
        <f t="shared" si="0"/>
        <v>0942</v>
      </c>
      <c r="J6" s="359">
        <v>247302</v>
      </c>
      <c r="K6" s="359">
        <f t="shared" si="1"/>
        <v>45705</v>
      </c>
      <c r="L6" s="359">
        <v>293007</v>
      </c>
      <c r="M6" s="81"/>
      <c r="O6" s="73" t="str">
        <f t="shared" si="2"/>
        <v>313</v>
      </c>
      <c r="P6" s="73" t="str">
        <f t="shared" si="3"/>
        <v>31</v>
      </c>
      <c r="Q6" s="73" t="str">
        <f t="shared" si="4"/>
        <v>11</v>
      </c>
      <c r="R6" s="73" t="str">
        <f t="shared" si="5"/>
        <v>94</v>
      </c>
      <c r="S6" s="73">
        <v>11</v>
      </c>
      <c r="T6" s="73" t="s">
        <v>46</v>
      </c>
      <c r="V6" s="73">
        <v>3112</v>
      </c>
      <c r="W6" s="73" t="s">
        <v>144</v>
      </c>
      <c r="Y6" s="283" t="str">
        <f>LEFT(V6,2)</f>
        <v>31</v>
      </c>
      <c r="Z6" s="73" t="str">
        <f>LEFT(V6,3)</f>
        <v>311</v>
      </c>
      <c r="AB6" s="73" t="s">
        <v>1228</v>
      </c>
      <c r="AC6" s="73" t="s">
        <v>1228</v>
      </c>
      <c r="AD6" s="73" t="s">
        <v>1228</v>
      </c>
      <c r="AE6" s="73" t="s">
        <v>1228</v>
      </c>
      <c r="AF6" s="73" t="s">
        <v>1228</v>
      </c>
      <c r="AG6" s="73" t="s">
        <v>1228</v>
      </c>
    </row>
    <row r="7" spans="1:33" hidden="1">
      <c r="A7" s="355">
        <v>8006</v>
      </c>
      <c r="B7" s="355" t="s">
        <v>45</v>
      </c>
      <c r="C7" s="356">
        <v>11</v>
      </c>
      <c r="D7" s="357" t="s">
        <v>46</v>
      </c>
      <c r="E7" s="356">
        <v>3212</v>
      </c>
      <c r="F7" s="357" t="s">
        <v>52</v>
      </c>
      <c r="G7" s="358" t="s">
        <v>61</v>
      </c>
      <c r="H7" s="357" t="s">
        <v>62</v>
      </c>
      <c r="I7" s="357" t="str">
        <f t="shared" si="0"/>
        <v>0942</v>
      </c>
      <c r="J7" s="359">
        <v>20265</v>
      </c>
      <c r="K7" s="359">
        <f t="shared" si="1"/>
        <v>9735</v>
      </c>
      <c r="L7" s="359">
        <v>30000</v>
      </c>
      <c r="M7" s="81"/>
      <c r="N7" s="318"/>
      <c r="O7" s="73" t="str">
        <f t="shared" si="2"/>
        <v>321</v>
      </c>
      <c r="P7" s="73" t="str">
        <f t="shared" si="3"/>
        <v>32</v>
      </c>
      <c r="Q7" s="73" t="str">
        <f t="shared" si="4"/>
        <v>11</v>
      </c>
      <c r="R7" s="73" t="str">
        <f t="shared" si="5"/>
        <v>94</v>
      </c>
      <c r="S7" s="73">
        <v>12</v>
      </c>
      <c r="T7" s="73" t="s">
        <v>228</v>
      </c>
      <c r="V7" s="73">
        <v>3113</v>
      </c>
      <c r="W7" s="73" t="s">
        <v>123</v>
      </c>
      <c r="Y7" s="283" t="str">
        <f>LEFT(V7,2)</f>
        <v>31</v>
      </c>
      <c r="Z7" s="73" t="str">
        <f>LEFT(V7,3)</f>
        <v>311</v>
      </c>
      <c r="AB7" t="s">
        <v>1784</v>
      </c>
      <c r="AC7" t="s">
        <v>1785</v>
      </c>
      <c r="AD7" s="73" t="s">
        <v>5134</v>
      </c>
      <c r="AE7" s="73" t="s">
        <v>5135</v>
      </c>
      <c r="AF7" s="73" t="s">
        <v>5160</v>
      </c>
      <c r="AG7" s="73" t="s">
        <v>5167</v>
      </c>
    </row>
    <row r="8" spans="1:33" hidden="1">
      <c r="A8" s="355">
        <v>8006</v>
      </c>
      <c r="B8" s="355" t="s">
        <v>45</v>
      </c>
      <c r="C8" s="356">
        <v>11</v>
      </c>
      <c r="D8" s="357" t="s">
        <v>46</v>
      </c>
      <c r="E8" s="356">
        <v>3236</v>
      </c>
      <c r="F8" s="357" t="s">
        <v>53</v>
      </c>
      <c r="G8" s="358" t="s">
        <v>61</v>
      </c>
      <c r="H8" s="357" t="s">
        <v>62</v>
      </c>
      <c r="I8" s="357" t="str">
        <f t="shared" si="0"/>
        <v>0942</v>
      </c>
      <c r="J8" s="359">
        <v>7112</v>
      </c>
      <c r="K8" s="359">
        <f t="shared" si="1"/>
        <v>2888</v>
      </c>
      <c r="L8" s="359">
        <v>10000</v>
      </c>
      <c r="M8" s="81"/>
      <c r="O8" s="73" t="str">
        <f t="shared" si="2"/>
        <v>323</v>
      </c>
      <c r="P8" s="73" t="str">
        <f t="shared" si="3"/>
        <v>32</v>
      </c>
      <c r="Q8" s="73" t="str">
        <f t="shared" si="4"/>
        <v>11</v>
      </c>
      <c r="R8" s="73" t="str">
        <f t="shared" si="5"/>
        <v>94</v>
      </c>
      <c r="S8" s="73">
        <v>31</v>
      </c>
      <c r="T8" s="73" t="s">
        <v>90</v>
      </c>
      <c r="V8" s="73">
        <v>3114</v>
      </c>
      <c r="W8" s="73" t="s">
        <v>145</v>
      </c>
      <c r="Y8" s="283" t="str">
        <f>LEFT(V8,2)</f>
        <v>31</v>
      </c>
      <c r="Z8" s="73" t="str">
        <f>LEFT(V8,3)</f>
        <v>311</v>
      </c>
      <c r="AB8" t="s">
        <v>1786</v>
      </c>
      <c r="AC8" t="s">
        <v>1787</v>
      </c>
      <c r="AD8" s="73" t="s">
        <v>5136</v>
      </c>
      <c r="AE8" s="73" t="s">
        <v>5137</v>
      </c>
      <c r="AF8" s="73" t="s">
        <v>5162</v>
      </c>
      <c r="AG8" s="73" t="s">
        <v>5163</v>
      </c>
    </row>
    <row r="9" spans="1:33" hidden="1">
      <c r="A9" s="355">
        <v>8006</v>
      </c>
      <c r="B9" s="355" t="s">
        <v>45</v>
      </c>
      <c r="C9" s="356">
        <v>11</v>
      </c>
      <c r="D9" s="357" t="s">
        <v>46</v>
      </c>
      <c r="E9" s="356">
        <v>3295</v>
      </c>
      <c r="F9" s="357" t="s">
        <v>54</v>
      </c>
      <c r="G9" s="358" t="s">
        <v>61</v>
      </c>
      <c r="H9" s="357" t="s">
        <v>62</v>
      </c>
      <c r="I9" s="357" t="str">
        <f t="shared" si="0"/>
        <v>0942</v>
      </c>
      <c r="J9" s="359">
        <v>4910</v>
      </c>
      <c r="K9" s="359">
        <f t="shared" si="1"/>
        <v>1090</v>
      </c>
      <c r="L9" s="359">
        <v>6000</v>
      </c>
      <c r="M9" s="81"/>
      <c r="O9" s="73" t="str">
        <f t="shared" si="2"/>
        <v>329</v>
      </c>
      <c r="P9" s="73" t="str">
        <f t="shared" si="3"/>
        <v>32</v>
      </c>
      <c r="Q9" s="73" t="str">
        <f t="shared" si="4"/>
        <v>11</v>
      </c>
      <c r="R9" s="73" t="str">
        <f t="shared" si="5"/>
        <v>94</v>
      </c>
      <c r="S9">
        <v>41</v>
      </c>
      <c r="T9" t="s">
        <v>1204</v>
      </c>
      <c r="V9" s="73">
        <v>3121</v>
      </c>
      <c r="W9" s="73" t="s">
        <v>50</v>
      </c>
      <c r="Y9" s="283" t="str">
        <f>LEFT(V9,2)</f>
        <v>31</v>
      </c>
      <c r="Z9" s="73" t="str">
        <f>LEFT(V9,3)</f>
        <v>312</v>
      </c>
      <c r="AB9" t="s">
        <v>1788</v>
      </c>
      <c r="AC9" t="s">
        <v>1789</v>
      </c>
      <c r="AD9" s="73" t="s">
        <v>5138</v>
      </c>
      <c r="AE9" s="73" t="s">
        <v>5139</v>
      </c>
      <c r="AF9" s="73" t="s">
        <v>5160</v>
      </c>
      <c r="AG9" s="73" t="s">
        <v>5170</v>
      </c>
    </row>
    <row r="10" spans="1:33" hidden="1">
      <c r="A10" s="355">
        <v>8006</v>
      </c>
      <c r="B10" s="355" t="s">
        <v>45</v>
      </c>
      <c r="C10" s="356">
        <v>11</v>
      </c>
      <c r="D10" s="357" t="s">
        <v>46</v>
      </c>
      <c r="E10" s="356">
        <v>3811</v>
      </c>
      <c r="F10" s="357" t="s">
        <v>55</v>
      </c>
      <c r="G10" s="358" t="s">
        <v>61</v>
      </c>
      <c r="H10" s="357" t="s">
        <v>62</v>
      </c>
      <c r="I10" s="357" t="str">
        <f t="shared" si="0"/>
        <v>0942</v>
      </c>
      <c r="J10" s="359">
        <v>75012</v>
      </c>
      <c r="K10" s="359">
        <f t="shared" si="1"/>
        <v>0</v>
      </c>
      <c r="L10" s="359">
        <v>75012</v>
      </c>
      <c r="M10" s="81"/>
      <c r="O10" s="73" t="str">
        <f t="shared" si="2"/>
        <v>381</v>
      </c>
      <c r="P10" s="73" t="str">
        <f t="shared" si="3"/>
        <v>38</v>
      </c>
      <c r="Q10" s="73" t="str">
        <f t="shared" si="4"/>
        <v>11</v>
      </c>
      <c r="R10" s="73" t="str">
        <f t="shared" si="5"/>
        <v>94</v>
      </c>
      <c r="S10" s="73">
        <v>43</v>
      </c>
      <c r="T10" s="73" t="s">
        <v>95</v>
      </c>
      <c r="V10" s="119">
        <v>3132</v>
      </c>
      <c r="W10" s="119" t="s">
        <v>51</v>
      </c>
      <c r="X10" s="119"/>
      <c r="Y10" s="283" t="str">
        <f t="shared" ref="Y10:Y50" si="6">LEFT(V10,2)</f>
        <v>31</v>
      </c>
      <c r="Z10" s="119" t="str">
        <f t="shared" ref="Z10:Z50" si="7">LEFT(V10,3)</f>
        <v>313</v>
      </c>
      <c r="AB10" t="s">
        <v>1612</v>
      </c>
      <c r="AC10" t="s">
        <v>1613</v>
      </c>
      <c r="AD10" s="73" t="s">
        <v>5138</v>
      </c>
      <c r="AE10" s="73" t="s">
        <v>5139</v>
      </c>
      <c r="AF10" s="73" t="s">
        <v>5160</v>
      </c>
      <c r="AG10" s="73" t="s">
        <v>5170</v>
      </c>
    </row>
    <row r="11" spans="1:33" hidden="1">
      <c r="A11" s="355">
        <v>8006</v>
      </c>
      <c r="B11" s="355" t="s">
        <v>45</v>
      </c>
      <c r="C11" s="356">
        <v>11</v>
      </c>
      <c r="D11" s="357" t="s">
        <v>46</v>
      </c>
      <c r="E11" s="356">
        <v>3111</v>
      </c>
      <c r="F11" s="357" t="s">
        <v>47</v>
      </c>
      <c r="G11" s="358" t="s">
        <v>1868</v>
      </c>
      <c r="H11" s="357" t="s">
        <v>929</v>
      </c>
      <c r="I11" s="357" t="str">
        <f t="shared" si="0"/>
        <v>0942</v>
      </c>
      <c r="J11" s="359">
        <v>15000</v>
      </c>
      <c r="K11" s="359">
        <f t="shared" si="1"/>
        <v>-15000</v>
      </c>
      <c r="L11" s="359">
        <v>0</v>
      </c>
      <c r="M11" s="81"/>
      <c r="O11" s="73" t="str">
        <f t="shared" si="2"/>
        <v>311</v>
      </c>
      <c r="P11" s="73" t="str">
        <f t="shared" si="3"/>
        <v>31</v>
      </c>
      <c r="Q11" s="73" t="str">
        <f t="shared" si="4"/>
        <v>11</v>
      </c>
      <c r="R11" s="73" t="str">
        <f t="shared" si="5"/>
        <v>94</v>
      </c>
      <c r="S11" s="73">
        <v>51</v>
      </c>
      <c r="T11" s="73" t="s">
        <v>85</v>
      </c>
      <c r="V11" s="73">
        <v>3211</v>
      </c>
      <c r="W11" s="73" t="s">
        <v>78</v>
      </c>
      <c r="Y11" s="283" t="str">
        <f t="shared" si="6"/>
        <v>32</v>
      </c>
      <c r="Z11" s="73" t="str">
        <f t="shared" si="7"/>
        <v>321</v>
      </c>
      <c r="AB11" t="s">
        <v>1612</v>
      </c>
      <c r="AC11" t="s">
        <v>1613</v>
      </c>
      <c r="AD11" s="73" t="s">
        <v>5140</v>
      </c>
      <c r="AE11" s="73" t="s">
        <v>5141</v>
      </c>
      <c r="AF11" s="73" t="s">
        <v>5160</v>
      </c>
      <c r="AG11" s="73" t="s">
        <v>5169</v>
      </c>
    </row>
    <row r="12" spans="1:33" hidden="1">
      <c r="A12" s="355">
        <v>8006</v>
      </c>
      <c r="B12" s="355" t="s">
        <v>45</v>
      </c>
      <c r="C12" s="356">
        <v>11</v>
      </c>
      <c r="D12" s="357" t="s">
        <v>46</v>
      </c>
      <c r="E12" s="356">
        <v>3111</v>
      </c>
      <c r="F12" s="357" t="s">
        <v>47</v>
      </c>
      <c r="G12" s="358" t="s">
        <v>668</v>
      </c>
      <c r="H12" s="357" t="s">
        <v>669</v>
      </c>
      <c r="I12" s="357" t="str">
        <f t="shared" si="0"/>
        <v>0942</v>
      </c>
      <c r="J12" s="359">
        <v>91000</v>
      </c>
      <c r="K12" s="359">
        <f t="shared" si="1"/>
        <v>-31000</v>
      </c>
      <c r="L12" s="359">
        <v>60000</v>
      </c>
      <c r="M12" s="81"/>
      <c r="O12" s="73" t="str">
        <f t="shared" si="2"/>
        <v>311</v>
      </c>
      <c r="P12" s="73" t="str">
        <f t="shared" si="3"/>
        <v>31</v>
      </c>
      <c r="Q12" s="73" t="str">
        <f t="shared" si="4"/>
        <v>11</v>
      </c>
      <c r="R12" s="73" t="str">
        <f t="shared" si="5"/>
        <v>94</v>
      </c>
      <c r="S12" s="73">
        <v>52</v>
      </c>
      <c r="T12" s="73" t="s">
        <v>107</v>
      </c>
      <c r="V12" s="73">
        <v>3212</v>
      </c>
      <c r="W12" s="73" t="s">
        <v>52</v>
      </c>
      <c r="Y12" s="283" t="str">
        <f t="shared" si="6"/>
        <v>32</v>
      </c>
      <c r="Z12" s="73" t="str">
        <f t="shared" si="7"/>
        <v>321</v>
      </c>
      <c r="AB12" t="s">
        <v>1614</v>
      </c>
      <c r="AC12" t="s">
        <v>1615</v>
      </c>
      <c r="AD12" s="73" t="s">
        <v>5138</v>
      </c>
      <c r="AE12" s="73" t="s">
        <v>5139</v>
      </c>
      <c r="AF12" s="73" t="s">
        <v>5160</v>
      </c>
      <c r="AG12" s="73" t="s">
        <v>5170</v>
      </c>
    </row>
    <row r="13" spans="1:33" hidden="1">
      <c r="A13" s="355">
        <v>8006</v>
      </c>
      <c r="B13" s="355" t="s">
        <v>45</v>
      </c>
      <c r="C13" s="356">
        <v>11</v>
      </c>
      <c r="D13" s="357" t="s">
        <v>46</v>
      </c>
      <c r="E13" s="356">
        <v>3113</v>
      </c>
      <c r="F13" s="357" t="s">
        <v>123</v>
      </c>
      <c r="G13" s="358" t="s">
        <v>668</v>
      </c>
      <c r="H13" s="357" t="s">
        <v>669</v>
      </c>
      <c r="I13" s="357" t="str">
        <f t="shared" si="0"/>
        <v>0942</v>
      </c>
      <c r="J13" s="359">
        <v>1200</v>
      </c>
      <c r="K13" s="359">
        <f t="shared" si="1"/>
        <v>0</v>
      </c>
      <c r="L13" s="359">
        <v>1200</v>
      </c>
      <c r="M13" s="81"/>
      <c r="O13" s="73" t="str">
        <f t="shared" si="2"/>
        <v>311</v>
      </c>
      <c r="P13" s="73" t="str">
        <f t="shared" si="3"/>
        <v>31</v>
      </c>
      <c r="Q13" s="73" t="str">
        <f t="shared" si="4"/>
        <v>11</v>
      </c>
      <c r="R13" s="73" t="str">
        <f t="shared" si="5"/>
        <v>94</v>
      </c>
      <c r="S13">
        <v>552</v>
      </c>
      <c r="T13" t="s">
        <v>1205</v>
      </c>
      <c r="V13" s="73">
        <v>3213</v>
      </c>
      <c r="W13" s="73" t="s">
        <v>96</v>
      </c>
      <c r="Y13" s="283" t="str">
        <f t="shared" si="6"/>
        <v>32</v>
      </c>
      <c r="Z13" s="73" t="str">
        <f t="shared" si="7"/>
        <v>321</v>
      </c>
      <c r="AB13" t="s">
        <v>1790</v>
      </c>
      <c r="AC13" t="s">
        <v>1791</v>
      </c>
      <c r="AD13" s="73" t="s">
        <v>5138</v>
      </c>
      <c r="AE13" s="73" t="s">
        <v>5139</v>
      </c>
      <c r="AF13" s="73" t="s">
        <v>5160</v>
      </c>
      <c r="AG13" s="73" t="s">
        <v>5170</v>
      </c>
    </row>
    <row r="14" spans="1:33" hidden="1">
      <c r="A14" s="355">
        <v>8006</v>
      </c>
      <c r="B14" s="355" t="s">
        <v>45</v>
      </c>
      <c r="C14" s="356">
        <v>11</v>
      </c>
      <c r="D14" s="357" t="s">
        <v>46</v>
      </c>
      <c r="E14" s="356">
        <v>3121</v>
      </c>
      <c r="F14" s="357" t="s">
        <v>50</v>
      </c>
      <c r="G14" s="358" t="s">
        <v>668</v>
      </c>
      <c r="H14" s="357" t="s">
        <v>669</v>
      </c>
      <c r="I14" s="357" t="str">
        <f t="shared" si="0"/>
        <v>0942</v>
      </c>
      <c r="J14" s="359">
        <v>145000</v>
      </c>
      <c r="K14" s="359">
        <f t="shared" si="1"/>
        <v>0</v>
      </c>
      <c r="L14" s="359">
        <v>145000</v>
      </c>
      <c r="M14" s="81"/>
      <c r="O14" s="73" t="str">
        <f t="shared" si="2"/>
        <v>312</v>
      </c>
      <c r="P14" s="73" t="str">
        <f t="shared" si="3"/>
        <v>31</v>
      </c>
      <c r="Q14" s="73" t="str">
        <f t="shared" si="4"/>
        <v>11</v>
      </c>
      <c r="R14" s="73" t="str">
        <f t="shared" si="5"/>
        <v>94</v>
      </c>
      <c r="S14">
        <v>559</v>
      </c>
      <c r="T14" t="s">
        <v>1206</v>
      </c>
      <c r="V14" s="73">
        <v>3214</v>
      </c>
      <c r="W14" s="73" t="s">
        <v>124</v>
      </c>
      <c r="Y14" s="283" t="str">
        <f t="shared" si="6"/>
        <v>32</v>
      </c>
      <c r="Z14" s="73" t="str">
        <f t="shared" si="7"/>
        <v>321</v>
      </c>
      <c r="AB14" t="s">
        <v>1792</v>
      </c>
      <c r="AC14" t="s">
        <v>1793</v>
      </c>
      <c r="AD14" s="73" t="s">
        <v>5142</v>
      </c>
      <c r="AE14" s="73" t="s">
        <v>5143</v>
      </c>
      <c r="AF14" s="73" t="s">
        <v>5160</v>
      </c>
      <c r="AG14" s="73" t="s">
        <v>5168</v>
      </c>
    </row>
    <row r="15" spans="1:33" hidden="1">
      <c r="A15" s="355">
        <v>8006</v>
      </c>
      <c r="B15" s="355" t="s">
        <v>45</v>
      </c>
      <c r="C15" s="356">
        <v>11</v>
      </c>
      <c r="D15" s="357" t="s">
        <v>46</v>
      </c>
      <c r="E15" s="356">
        <v>3132</v>
      </c>
      <c r="F15" s="357" t="s">
        <v>51</v>
      </c>
      <c r="G15" s="358" t="s">
        <v>668</v>
      </c>
      <c r="H15" s="357" t="s">
        <v>669</v>
      </c>
      <c r="I15" s="357" t="str">
        <f t="shared" si="0"/>
        <v>0942</v>
      </c>
      <c r="J15" s="359">
        <v>8000</v>
      </c>
      <c r="K15" s="359">
        <f t="shared" si="1"/>
        <v>7000</v>
      </c>
      <c r="L15" s="359">
        <v>15000</v>
      </c>
      <c r="M15" s="81"/>
      <c r="O15" s="73" t="str">
        <f t="shared" ref="O15" si="8">LEFT(E15,3)</f>
        <v>313</v>
      </c>
      <c r="P15" s="73" t="str">
        <f t="shared" ref="P15" si="9">LEFT(E15,2)</f>
        <v>31</v>
      </c>
      <c r="Q15" s="73" t="str">
        <f t="shared" ref="Q15" si="10">LEFT(C15,3)</f>
        <v>11</v>
      </c>
      <c r="R15" s="73" t="str">
        <f t="shared" ref="R15" si="11">MID(I15,2,2)</f>
        <v>94</v>
      </c>
      <c r="V15" s="73">
        <v>3692</v>
      </c>
      <c r="W15" s="73" t="s">
        <v>174</v>
      </c>
      <c r="Y15" s="283" t="str">
        <f t="shared" si="6"/>
        <v>36</v>
      </c>
      <c r="Z15" s="73" t="str">
        <f t="shared" si="7"/>
        <v>369</v>
      </c>
      <c r="AB15" t="s">
        <v>1858</v>
      </c>
      <c r="AC15" t="s">
        <v>1859</v>
      </c>
      <c r="AD15" s="73" t="s">
        <v>5152</v>
      </c>
      <c r="AE15" s="73" t="s">
        <v>5153</v>
      </c>
      <c r="AF15" s="73" t="s">
        <v>5160</v>
      </c>
      <c r="AG15" s="73" t="s">
        <v>5173</v>
      </c>
    </row>
    <row r="16" spans="1:33" hidden="1">
      <c r="A16" s="355">
        <v>8006</v>
      </c>
      <c r="B16" s="355" t="s">
        <v>45</v>
      </c>
      <c r="C16" s="356">
        <v>11</v>
      </c>
      <c r="D16" s="357" t="s">
        <v>46</v>
      </c>
      <c r="E16" s="356">
        <v>3211</v>
      </c>
      <c r="F16" s="357" t="s">
        <v>78</v>
      </c>
      <c r="G16" s="358" t="s">
        <v>668</v>
      </c>
      <c r="H16" s="357" t="s">
        <v>669</v>
      </c>
      <c r="I16" s="357" t="str">
        <f t="shared" si="0"/>
        <v>0942</v>
      </c>
      <c r="J16" s="359">
        <v>40000</v>
      </c>
      <c r="K16" s="359">
        <f t="shared" si="1"/>
        <v>0</v>
      </c>
      <c r="L16" s="359">
        <v>40000</v>
      </c>
      <c r="M16" s="81"/>
      <c r="O16" s="73" t="str">
        <f t="shared" si="2"/>
        <v>321</v>
      </c>
      <c r="P16" s="73" t="str">
        <f t="shared" si="3"/>
        <v>32</v>
      </c>
      <c r="Q16" s="73" t="str">
        <f t="shared" si="4"/>
        <v>11</v>
      </c>
      <c r="R16" s="73" t="str">
        <f t="shared" si="5"/>
        <v>94</v>
      </c>
      <c r="S16" s="73">
        <v>561</v>
      </c>
      <c r="T16" s="73" t="s">
        <v>109</v>
      </c>
      <c r="V16" s="73">
        <v>3221</v>
      </c>
      <c r="W16" s="73" t="s">
        <v>79</v>
      </c>
      <c r="Y16" s="283" t="str">
        <f t="shared" si="6"/>
        <v>32</v>
      </c>
      <c r="Z16" s="73" t="str">
        <f t="shared" si="7"/>
        <v>322</v>
      </c>
      <c r="AB16" t="s">
        <v>1794</v>
      </c>
      <c r="AC16" t="s">
        <v>1795</v>
      </c>
      <c r="AD16" s="73" t="s">
        <v>5134</v>
      </c>
      <c r="AE16" s="73" t="s">
        <v>5135</v>
      </c>
      <c r="AF16" s="73" t="s">
        <v>5160</v>
      </c>
      <c r="AG16" s="73" t="s">
        <v>5167</v>
      </c>
    </row>
    <row r="17" spans="1:33" hidden="1">
      <c r="A17" s="355">
        <v>8006</v>
      </c>
      <c r="B17" s="355" t="s">
        <v>45</v>
      </c>
      <c r="C17" s="356">
        <v>11</v>
      </c>
      <c r="D17" s="357" t="s">
        <v>46</v>
      </c>
      <c r="E17" s="356">
        <v>3213</v>
      </c>
      <c r="F17" s="357" t="s">
        <v>96</v>
      </c>
      <c r="G17" s="358" t="s">
        <v>668</v>
      </c>
      <c r="H17" s="357" t="s">
        <v>669</v>
      </c>
      <c r="I17" s="357" t="str">
        <f t="shared" si="0"/>
        <v>0942</v>
      </c>
      <c r="J17" s="359">
        <v>2000</v>
      </c>
      <c r="K17" s="359">
        <f t="shared" si="1"/>
        <v>5000</v>
      </c>
      <c r="L17" s="359">
        <v>7000</v>
      </c>
      <c r="M17" s="81"/>
      <c r="O17" s="73" t="str">
        <f t="shared" si="2"/>
        <v>321</v>
      </c>
      <c r="P17" s="73" t="str">
        <f t="shared" si="3"/>
        <v>32</v>
      </c>
      <c r="Q17" s="73" t="str">
        <f t="shared" si="4"/>
        <v>11</v>
      </c>
      <c r="R17" s="73" t="str">
        <f t="shared" si="5"/>
        <v>94</v>
      </c>
      <c r="S17" s="73">
        <v>563</v>
      </c>
      <c r="T17" s="73" t="s">
        <v>111</v>
      </c>
      <c r="V17" s="73">
        <v>3222</v>
      </c>
      <c r="W17" s="73" t="s">
        <v>98</v>
      </c>
      <c r="Y17" s="283" t="str">
        <f t="shared" si="6"/>
        <v>32</v>
      </c>
      <c r="Z17" s="73" t="str">
        <f t="shared" si="7"/>
        <v>322</v>
      </c>
      <c r="AB17" t="s">
        <v>940</v>
      </c>
      <c r="AC17" t="s">
        <v>941</v>
      </c>
      <c r="AD17" s="73" t="s">
        <v>5144</v>
      </c>
      <c r="AE17" s="73" t="s">
        <v>5145</v>
      </c>
      <c r="AF17" s="73" t="s">
        <v>5161</v>
      </c>
      <c r="AG17" s="73" t="s">
        <v>5166</v>
      </c>
    </row>
    <row r="18" spans="1:33" hidden="1">
      <c r="A18" s="355">
        <v>8006</v>
      </c>
      <c r="B18" s="355" t="s">
        <v>45</v>
      </c>
      <c r="C18" s="356">
        <v>11</v>
      </c>
      <c r="D18" s="357" t="s">
        <v>46</v>
      </c>
      <c r="E18" s="356">
        <v>3221</v>
      </c>
      <c r="F18" s="357" t="s">
        <v>79</v>
      </c>
      <c r="G18" s="358" t="s">
        <v>668</v>
      </c>
      <c r="H18" s="357" t="s">
        <v>669</v>
      </c>
      <c r="I18" s="357" t="str">
        <f t="shared" si="0"/>
        <v>0942</v>
      </c>
      <c r="J18" s="359">
        <v>30000</v>
      </c>
      <c r="K18" s="359">
        <f t="shared" si="1"/>
        <v>0</v>
      </c>
      <c r="L18" s="359">
        <v>30000</v>
      </c>
      <c r="M18" s="81"/>
      <c r="O18" s="73" t="str">
        <f t="shared" ref="O18" si="12">LEFT(E18,3)</f>
        <v>322</v>
      </c>
      <c r="P18" s="73" t="str">
        <f t="shared" ref="P18" si="13">LEFT(E18,2)</f>
        <v>32</v>
      </c>
      <c r="Q18" s="73" t="str">
        <f t="shared" ref="Q18" si="14">LEFT(C18,3)</f>
        <v>11</v>
      </c>
      <c r="R18" s="73" t="str">
        <f t="shared" ref="R18" si="15">MID(I18,2,2)</f>
        <v>94</v>
      </c>
      <c r="V18" s="73">
        <v>3293</v>
      </c>
      <c r="W18" s="73" t="s">
        <v>129</v>
      </c>
      <c r="Y18" s="283" t="str">
        <f t="shared" ref="Y18" si="16">LEFT(V18,2)</f>
        <v>32</v>
      </c>
      <c r="Z18" s="73" t="str">
        <f t="shared" ref="Z18" si="17">LEFT(V18,3)</f>
        <v>329</v>
      </c>
      <c r="AB18" t="s">
        <v>1620</v>
      </c>
      <c r="AC18" t="s">
        <v>1621</v>
      </c>
      <c r="AD18" s="73" t="s">
        <v>5138</v>
      </c>
      <c r="AE18" s="73" t="s">
        <v>5139</v>
      </c>
      <c r="AF18" s="73" t="s">
        <v>5160</v>
      </c>
      <c r="AG18" s="73" t="s">
        <v>5170</v>
      </c>
    </row>
    <row r="19" spans="1:33" hidden="1">
      <c r="A19" s="355">
        <v>8006</v>
      </c>
      <c r="B19" s="355" t="s">
        <v>45</v>
      </c>
      <c r="C19" s="356">
        <v>11</v>
      </c>
      <c r="D19" s="357" t="s">
        <v>46</v>
      </c>
      <c r="E19" s="356">
        <v>3223</v>
      </c>
      <c r="F19" s="357" t="s">
        <v>87</v>
      </c>
      <c r="G19" s="358" t="s">
        <v>668</v>
      </c>
      <c r="H19" s="357" t="s">
        <v>669</v>
      </c>
      <c r="I19" s="357" t="str">
        <f t="shared" si="0"/>
        <v>0942</v>
      </c>
      <c r="J19" s="359">
        <v>212162</v>
      </c>
      <c r="K19" s="359">
        <f t="shared" si="1"/>
        <v>-62162</v>
      </c>
      <c r="L19" s="359">
        <v>150000</v>
      </c>
      <c r="M19" s="81"/>
      <c r="O19" s="73" t="str">
        <f t="shared" si="2"/>
        <v>322</v>
      </c>
      <c r="P19" s="73" t="str">
        <f t="shared" si="3"/>
        <v>32</v>
      </c>
      <c r="Q19" s="73" t="str">
        <f t="shared" si="4"/>
        <v>11</v>
      </c>
      <c r="R19" s="73" t="str">
        <f t="shared" si="5"/>
        <v>94</v>
      </c>
      <c r="S19" s="73">
        <v>573</v>
      </c>
      <c r="T19" t="s">
        <v>1215</v>
      </c>
      <c r="V19" s="73">
        <v>3223</v>
      </c>
      <c r="W19" s="73" t="s">
        <v>87</v>
      </c>
      <c r="Y19" s="283" t="str">
        <f t="shared" si="6"/>
        <v>32</v>
      </c>
      <c r="Z19" s="73" t="str">
        <f t="shared" si="7"/>
        <v>322</v>
      </c>
      <c r="AB19" t="s">
        <v>1616</v>
      </c>
      <c r="AC19" t="s">
        <v>1617</v>
      </c>
      <c r="AD19" s="73" t="s">
        <v>5138</v>
      </c>
      <c r="AE19" s="73" t="s">
        <v>5139</v>
      </c>
      <c r="AF19" s="73" t="s">
        <v>5160</v>
      </c>
      <c r="AG19" s="73" t="s">
        <v>5170</v>
      </c>
    </row>
    <row r="20" spans="1:33" hidden="1">
      <c r="A20" s="355">
        <v>8006</v>
      </c>
      <c r="B20" s="355" t="s">
        <v>45</v>
      </c>
      <c r="C20" s="356">
        <v>11</v>
      </c>
      <c r="D20" s="357" t="s">
        <v>46</v>
      </c>
      <c r="E20" s="356">
        <v>3224</v>
      </c>
      <c r="F20" s="357" t="s">
        <v>92</v>
      </c>
      <c r="G20" s="358" t="s">
        <v>668</v>
      </c>
      <c r="H20" s="357" t="s">
        <v>669</v>
      </c>
      <c r="I20" s="357" t="str">
        <f t="shared" si="0"/>
        <v>0942</v>
      </c>
      <c r="J20" s="359">
        <v>1000</v>
      </c>
      <c r="K20" s="359">
        <f t="shared" si="1"/>
        <v>0</v>
      </c>
      <c r="L20" s="359">
        <v>1000</v>
      </c>
      <c r="M20" s="81"/>
      <c r="O20" s="73" t="str">
        <f t="shared" si="2"/>
        <v>322</v>
      </c>
      <c r="P20" s="73" t="str">
        <f t="shared" si="3"/>
        <v>32</v>
      </c>
      <c r="Q20" s="73" t="str">
        <f t="shared" si="4"/>
        <v>11</v>
      </c>
      <c r="R20" s="73" t="str">
        <f t="shared" si="5"/>
        <v>94</v>
      </c>
      <c r="S20">
        <v>575</v>
      </c>
      <c r="T20" t="s">
        <v>1217</v>
      </c>
      <c r="V20" s="73">
        <v>3224</v>
      </c>
      <c r="W20" s="73" t="s">
        <v>92</v>
      </c>
      <c r="Y20" s="283" t="str">
        <f t="shared" si="6"/>
        <v>32</v>
      </c>
      <c r="Z20" s="73" t="str">
        <f t="shared" si="7"/>
        <v>322</v>
      </c>
      <c r="AB20" t="s">
        <v>942</v>
      </c>
      <c r="AC20" t="s">
        <v>943</v>
      </c>
      <c r="AD20" s="73" t="s">
        <v>5138</v>
      </c>
      <c r="AE20" s="73" t="s">
        <v>5139</v>
      </c>
      <c r="AF20" s="73" t="s">
        <v>5160</v>
      </c>
      <c r="AG20" s="73" t="s">
        <v>5170</v>
      </c>
    </row>
    <row r="21" spans="1:33" hidden="1">
      <c r="A21" s="355">
        <v>8006</v>
      </c>
      <c r="B21" s="355" t="s">
        <v>45</v>
      </c>
      <c r="C21" s="356">
        <v>11</v>
      </c>
      <c r="D21" s="357" t="s">
        <v>46</v>
      </c>
      <c r="E21" s="356">
        <v>3225</v>
      </c>
      <c r="F21" s="357" t="s">
        <v>99</v>
      </c>
      <c r="G21" s="358" t="s">
        <v>668</v>
      </c>
      <c r="H21" s="357" t="s">
        <v>669</v>
      </c>
      <c r="I21" s="357" t="str">
        <f t="shared" si="0"/>
        <v>0942</v>
      </c>
      <c r="J21" s="359">
        <v>7000</v>
      </c>
      <c r="K21" s="359">
        <f t="shared" si="1"/>
        <v>0</v>
      </c>
      <c r="L21" s="359">
        <v>7000</v>
      </c>
      <c r="M21" s="81"/>
      <c r="O21" s="73" t="str">
        <f t="shared" si="2"/>
        <v>322</v>
      </c>
      <c r="P21" s="73" t="str">
        <f t="shared" si="3"/>
        <v>32</v>
      </c>
      <c r="Q21" s="73" t="str">
        <f t="shared" si="4"/>
        <v>11</v>
      </c>
      <c r="R21" s="73" t="str">
        <f t="shared" si="5"/>
        <v>94</v>
      </c>
      <c r="S21" s="215">
        <v>5761</v>
      </c>
      <c r="T21" s="136" t="s">
        <v>3523</v>
      </c>
      <c r="V21" s="73">
        <v>3225</v>
      </c>
      <c r="W21" s="73" t="s">
        <v>99</v>
      </c>
      <c r="Y21" s="283" t="str">
        <f t="shared" si="6"/>
        <v>32</v>
      </c>
      <c r="Z21" s="73" t="str">
        <f t="shared" si="7"/>
        <v>322</v>
      </c>
      <c r="AB21" t="s">
        <v>1796</v>
      </c>
      <c r="AC21" t="s">
        <v>1797</v>
      </c>
      <c r="AD21" s="73" t="s">
        <v>5138</v>
      </c>
      <c r="AE21" s="73" t="s">
        <v>5139</v>
      </c>
      <c r="AF21" s="73" t="s">
        <v>5160</v>
      </c>
      <c r="AG21" s="73" t="s">
        <v>5170</v>
      </c>
    </row>
    <row r="22" spans="1:33" hidden="1">
      <c r="A22" s="355">
        <v>8006</v>
      </c>
      <c r="B22" s="355" t="s">
        <v>45</v>
      </c>
      <c r="C22" s="356">
        <v>11</v>
      </c>
      <c r="D22" s="357" t="s">
        <v>46</v>
      </c>
      <c r="E22" s="356">
        <v>3227</v>
      </c>
      <c r="F22" s="357" t="s">
        <v>116</v>
      </c>
      <c r="G22" s="358" t="s">
        <v>668</v>
      </c>
      <c r="H22" s="357" t="s">
        <v>669</v>
      </c>
      <c r="I22" s="357" t="str">
        <f t="shared" si="0"/>
        <v>0942</v>
      </c>
      <c r="J22" s="359">
        <v>8000</v>
      </c>
      <c r="K22" s="359">
        <f t="shared" si="1"/>
        <v>0</v>
      </c>
      <c r="L22" s="359">
        <v>8000</v>
      </c>
      <c r="M22" s="81"/>
      <c r="O22" s="73" t="str">
        <f t="shared" si="2"/>
        <v>322</v>
      </c>
      <c r="P22" s="73" t="str">
        <f t="shared" si="3"/>
        <v>32</v>
      </c>
      <c r="Q22" s="73" t="str">
        <f t="shared" si="4"/>
        <v>11</v>
      </c>
      <c r="R22" s="73" t="str">
        <f t="shared" si="5"/>
        <v>94</v>
      </c>
      <c r="S22" s="215">
        <v>5762</v>
      </c>
      <c r="T22" s="136" t="s">
        <v>3523</v>
      </c>
      <c r="V22" s="73">
        <v>3226</v>
      </c>
      <c r="W22" s="73" t="s">
        <v>173</v>
      </c>
      <c r="Y22" s="283" t="str">
        <f t="shared" si="6"/>
        <v>32</v>
      </c>
      <c r="Z22" s="73" t="str">
        <f t="shared" si="7"/>
        <v>322</v>
      </c>
      <c r="AB22" t="s">
        <v>1618</v>
      </c>
      <c r="AC22" t="s">
        <v>1619</v>
      </c>
      <c r="AD22" s="73" t="s">
        <v>5138</v>
      </c>
      <c r="AE22" s="73" t="s">
        <v>5139</v>
      </c>
      <c r="AF22" s="73" t="s">
        <v>5160</v>
      </c>
      <c r="AG22" s="73" t="s">
        <v>5170</v>
      </c>
    </row>
    <row r="23" spans="1:33" hidden="1">
      <c r="A23" s="355">
        <v>8006</v>
      </c>
      <c r="B23" s="355" t="s">
        <v>45</v>
      </c>
      <c r="C23" s="356">
        <v>11</v>
      </c>
      <c r="D23" s="357" t="s">
        <v>46</v>
      </c>
      <c r="E23" s="356">
        <v>3231</v>
      </c>
      <c r="F23" s="357" t="s">
        <v>100</v>
      </c>
      <c r="G23" s="358" t="s">
        <v>668</v>
      </c>
      <c r="H23" s="357" t="s">
        <v>669</v>
      </c>
      <c r="I23" s="357" t="str">
        <f t="shared" si="0"/>
        <v>0942</v>
      </c>
      <c r="J23" s="359">
        <v>20000</v>
      </c>
      <c r="K23" s="359">
        <f t="shared" si="1"/>
        <v>10000</v>
      </c>
      <c r="L23" s="359">
        <v>30000</v>
      </c>
      <c r="M23" s="81"/>
      <c r="O23" s="73" t="str">
        <f t="shared" si="2"/>
        <v>323</v>
      </c>
      <c r="P23" s="73" t="str">
        <f t="shared" si="3"/>
        <v>32</v>
      </c>
      <c r="Q23" s="73" t="str">
        <f t="shared" si="4"/>
        <v>11</v>
      </c>
      <c r="R23" s="73" t="str">
        <f t="shared" si="5"/>
        <v>94</v>
      </c>
      <c r="S23" s="136">
        <v>581</v>
      </c>
      <c r="T23" s="137" t="s">
        <v>1772</v>
      </c>
      <c r="V23" s="73">
        <v>3227</v>
      </c>
      <c r="W23" s="73" t="s">
        <v>116</v>
      </c>
      <c r="Y23" s="283" t="str">
        <f t="shared" si="6"/>
        <v>32</v>
      </c>
      <c r="Z23" s="73" t="str">
        <f t="shared" si="7"/>
        <v>322</v>
      </c>
      <c r="AB23" t="s">
        <v>1798</v>
      </c>
      <c r="AC23" t="s">
        <v>1799</v>
      </c>
      <c r="AD23" s="73" t="s">
        <v>5134</v>
      </c>
      <c r="AE23" s="73" t="s">
        <v>5135</v>
      </c>
      <c r="AF23" s="73" t="s">
        <v>5160</v>
      </c>
      <c r="AG23" s="73" t="s">
        <v>5167</v>
      </c>
    </row>
    <row r="24" spans="1:33" hidden="1">
      <c r="A24" s="355">
        <v>8006</v>
      </c>
      <c r="B24" s="355" t="s">
        <v>45</v>
      </c>
      <c r="C24" s="356">
        <v>11</v>
      </c>
      <c r="D24" s="357" t="s">
        <v>46</v>
      </c>
      <c r="E24" s="356">
        <v>3232</v>
      </c>
      <c r="F24" s="357" t="s">
        <v>88</v>
      </c>
      <c r="G24" s="358" t="s">
        <v>668</v>
      </c>
      <c r="H24" s="357" t="s">
        <v>669</v>
      </c>
      <c r="I24" s="357" t="str">
        <f t="shared" si="0"/>
        <v>0942</v>
      </c>
      <c r="J24" s="359">
        <v>50000</v>
      </c>
      <c r="K24" s="359">
        <f t="shared" si="1"/>
        <v>0</v>
      </c>
      <c r="L24" s="359">
        <v>50000</v>
      </c>
      <c r="M24" s="81"/>
      <c r="O24" s="73" t="str">
        <f t="shared" si="2"/>
        <v>323</v>
      </c>
      <c r="P24" s="73" t="str">
        <f t="shared" si="3"/>
        <v>32</v>
      </c>
      <c r="Q24" s="73" t="str">
        <f t="shared" si="4"/>
        <v>11</v>
      </c>
      <c r="R24" s="73" t="str">
        <f t="shared" si="5"/>
        <v>94</v>
      </c>
      <c r="S24" s="73">
        <v>61</v>
      </c>
      <c r="T24" s="73" t="s">
        <v>113</v>
      </c>
      <c r="V24" s="73">
        <v>3231</v>
      </c>
      <c r="W24" s="73" t="s">
        <v>100</v>
      </c>
      <c r="Y24" s="283" t="str">
        <f t="shared" si="6"/>
        <v>32</v>
      </c>
      <c r="Z24" s="73" t="str">
        <f t="shared" si="7"/>
        <v>323</v>
      </c>
      <c r="AB24" t="s">
        <v>1800</v>
      </c>
      <c r="AC24" t="s">
        <v>1801</v>
      </c>
      <c r="AD24" s="73" t="s">
        <v>5138</v>
      </c>
      <c r="AE24" s="73" t="s">
        <v>5139</v>
      </c>
      <c r="AF24" s="73" t="s">
        <v>5160</v>
      </c>
      <c r="AG24" s="73" t="s">
        <v>5170</v>
      </c>
    </row>
    <row r="25" spans="1:33" hidden="1">
      <c r="A25" s="355">
        <v>8006</v>
      </c>
      <c r="B25" s="355" t="s">
        <v>45</v>
      </c>
      <c r="C25" s="356">
        <v>11</v>
      </c>
      <c r="D25" s="357" t="s">
        <v>46</v>
      </c>
      <c r="E25" s="356">
        <v>3233</v>
      </c>
      <c r="F25" s="357" t="s">
        <v>77</v>
      </c>
      <c r="G25" s="358" t="s">
        <v>668</v>
      </c>
      <c r="H25" s="357" t="s">
        <v>669</v>
      </c>
      <c r="I25" s="357" t="str">
        <f t="shared" si="0"/>
        <v>0942</v>
      </c>
      <c r="J25" s="359">
        <v>20000</v>
      </c>
      <c r="K25" s="359">
        <f t="shared" si="1"/>
        <v>5000</v>
      </c>
      <c r="L25" s="359">
        <v>25000</v>
      </c>
      <c r="M25" s="81"/>
      <c r="O25" s="73" t="str">
        <f t="shared" si="2"/>
        <v>323</v>
      </c>
      <c r="P25" s="73" t="str">
        <f t="shared" si="3"/>
        <v>32</v>
      </c>
      <c r="Q25" s="73" t="str">
        <f t="shared" si="4"/>
        <v>11</v>
      </c>
      <c r="R25" s="73" t="str">
        <f t="shared" si="5"/>
        <v>94</v>
      </c>
      <c r="V25" s="73">
        <v>3811</v>
      </c>
      <c r="W25" s="73" t="s">
        <v>55</v>
      </c>
      <c r="Y25" s="283" t="str">
        <f t="shared" si="6"/>
        <v>38</v>
      </c>
      <c r="Z25" s="73" t="str">
        <f t="shared" si="7"/>
        <v>381</v>
      </c>
      <c r="AB25" t="s">
        <v>1881</v>
      </c>
      <c r="AC25" t="s">
        <v>1882</v>
      </c>
      <c r="AD25" s="73" t="s">
        <v>5136</v>
      </c>
      <c r="AE25" s="73" t="s">
        <v>5137</v>
      </c>
      <c r="AF25" s="73" t="s">
        <v>5162</v>
      </c>
      <c r="AG25" s="73" t="s">
        <v>5163</v>
      </c>
    </row>
    <row r="26" spans="1:33" hidden="1">
      <c r="A26" s="355">
        <v>8006</v>
      </c>
      <c r="B26" s="355" t="s">
        <v>45</v>
      </c>
      <c r="C26" s="356">
        <v>11</v>
      </c>
      <c r="D26" s="357" t="s">
        <v>46</v>
      </c>
      <c r="E26" s="356">
        <v>3234</v>
      </c>
      <c r="F26" s="357" t="s">
        <v>89</v>
      </c>
      <c r="G26" s="358" t="s">
        <v>668</v>
      </c>
      <c r="H26" s="357" t="s">
        <v>669</v>
      </c>
      <c r="I26" s="357" t="str">
        <f t="shared" si="0"/>
        <v>0942</v>
      </c>
      <c r="J26" s="359">
        <v>7000</v>
      </c>
      <c r="K26" s="359">
        <f t="shared" si="1"/>
        <v>8000</v>
      </c>
      <c r="L26" s="359">
        <v>15000</v>
      </c>
      <c r="M26" s="81"/>
      <c r="O26" s="73" t="str">
        <f t="shared" si="2"/>
        <v>323</v>
      </c>
      <c r="P26" s="73" t="str">
        <f t="shared" si="3"/>
        <v>32</v>
      </c>
      <c r="Q26" s="73" t="str">
        <f t="shared" si="4"/>
        <v>11</v>
      </c>
      <c r="R26" s="73" t="str">
        <f t="shared" si="5"/>
        <v>94</v>
      </c>
      <c r="S26" s="73">
        <v>71</v>
      </c>
      <c r="T26" s="73" t="s">
        <v>171</v>
      </c>
      <c r="V26" s="73">
        <v>3232</v>
      </c>
      <c r="W26" s="73" t="s">
        <v>88</v>
      </c>
      <c r="Y26" s="283" t="str">
        <f t="shared" si="6"/>
        <v>32</v>
      </c>
      <c r="Z26" s="73" t="str">
        <f t="shared" si="7"/>
        <v>323</v>
      </c>
      <c r="AB26" t="s">
        <v>1802</v>
      </c>
      <c r="AC26" t="s">
        <v>1803</v>
      </c>
      <c r="AD26" s="73" t="s">
        <v>5140</v>
      </c>
      <c r="AE26" s="73" t="s">
        <v>5141</v>
      </c>
      <c r="AF26" s="73" t="s">
        <v>5160</v>
      </c>
      <c r="AG26" s="73" t="s">
        <v>5169</v>
      </c>
    </row>
    <row r="27" spans="1:33" hidden="1">
      <c r="A27" s="355">
        <v>8006</v>
      </c>
      <c r="B27" s="355" t="s">
        <v>45</v>
      </c>
      <c r="C27" s="356">
        <v>11</v>
      </c>
      <c r="D27" s="357" t="s">
        <v>46</v>
      </c>
      <c r="E27" s="356">
        <v>3235</v>
      </c>
      <c r="F27" s="357" t="s">
        <v>108</v>
      </c>
      <c r="G27" s="358" t="s">
        <v>668</v>
      </c>
      <c r="H27" s="357" t="s">
        <v>669</v>
      </c>
      <c r="I27" s="357" t="str">
        <f t="shared" si="0"/>
        <v>0942</v>
      </c>
      <c r="J27" s="359">
        <v>20000</v>
      </c>
      <c r="K27" s="359">
        <f t="shared" si="1"/>
        <v>0</v>
      </c>
      <c r="L27" s="359">
        <v>20000</v>
      </c>
      <c r="M27" s="81"/>
      <c r="O27" s="73" t="str">
        <f t="shared" si="2"/>
        <v>323</v>
      </c>
      <c r="P27" s="73" t="str">
        <f t="shared" si="3"/>
        <v>32</v>
      </c>
      <c r="Q27" s="73" t="str">
        <f t="shared" si="4"/>
        <v>11</v>
      </c>
      <c r="R27" s="73" t="str">
        <f t="shared" si="5"/>
        <v>94</v>
      </c>
      <c r="S27" s="73">
        <v>81</v>
      </c>
      <c r="T27" s="73" t="s">
        <v>56</v>
      </c>
      <c r="V27" s="73">
        <v>3233</v>
      </c>
      <c r="W27" s="73" t="s">
        <v>77</v>
      </c>
      <c r="Y27" s="283" t="str">
        <f t="shared" si="6"/>
        <v>32</v>
      </c>
      <c r="Z27" s="73" t="str">
        <f t="shared" si="7"/>
        <v>323</v>
      </c>
      <c r="AB27" t="s">
        <v>1804</v>
      </c>
      <c r="AC27" t="s">
        <v>1805</v>
      </c>
      <c r="AD27" s="73" t="s">
        <v>5146</v>
      </c>
      <c r="AE27" s="73" t="s">
        <v>5147</v>
      </c>
      <c r="AF27" s="73" t="s">
        <v>5160</v>
      </c>
      <c r="AG27" s="73" t="s">
        <v>5167</v>
      </c>
    </row>
    <row r="28" spans="1:33" hidden="1">
      <c r="A28" s="355">
        <v>8006</v>
      </c>
      <c r="B28" s="355" t="s">
        <v>45</v>
      </c>
      <c r="C28" s="356">
        <v>11</v>
      </c>
      <c r="D28" s="357" t="s">
        <v>46</v>
      </c>
      <c r="E28" s="356">
        <v>3236</v>
      </c>
      <c r="F28" s="357" t="s">
        <v>53</v>
      </c>
      <c r="G28" s="358" t="s">
        <v>668</v>
      </c>
      <c r="H28" s="357" t="s">
        <v>669</v>
      </c>
      <c r="I28" s="357" t="str">
        <f t="shared" si="0"/>
        <v>0942</v>
      </c>
      <c r="J28" s="359">
        <v>35000</v>
      </c>
      <c r="K28" s="359">
        <f t="shared" si="1"/>
        <v>0</v>
      </c>
      <c r="L28" s="359">
        <v>35000</v>
      </c>
      <c r="M28" s="81"/>
      <c r="O28" s="73" t="str">
        <f t="shared" si="2"/>
        <v>323</v>
      </c>
      <c r="P28" s="73" t="str">
        <f t="shared" si="3"/>
        <v>32</v>
      </c>
      <c r="Q28" s="73" t="str">
        <f t="shared" si="4"/>
        <v>11</v>
      </c>
      <c r="R28" s="73" t="str">
        <f t="shared" si="5"/>
        <v>94</v>
      </c>
      <c r="V28" s="73">
        <v>3234</v>
      </c>
      <c r="W28" s="73" t="s">
        <v>89</v>
      </c>
      <c r="Y28" s="283" t="str">
        <f t="shared" si="6"/>
        <v>32</v>
      </c>
      <c r="Z28" s="73" t="str">
        <f t="shared" si="7"/>
        <v>323</v>
      </c>
      <c r="AB28" t="s">
        <v>1806</v>
      </c>
      <c r="AC28" t="s">
        <v>1807</v>
      </c>
      <c r="AD28" s="73" t="s">
        <v>5146</v>
      </c>
      <c r="AE28" s="73" t="s">
        <v>5147</v>
      </c>
      <c r="AF28" s="73" t="s">
        <v>5160</v>
      </c>
      <c r="AG28" s="73" t="s">
        <v>5167</v>
      </c>
    </row>
    <row r="29" spans="1:33" hidden="1">
      <c r="A29" s="355">
        <v>8006</v>
      </c>
      <c r="B29" s="355" t="s">
        <v>45</v>
      </c>
      <c r="C29" s="356">
        <v>11</v>
      </c>
      <c r="D29" s="357" t="s">
        <v>46</v>
      </c>
      <c r="E29" s="356">
        <v>3237</v>
      </c>
      <c r="F29" s="357" t="s">
        <v>66</v>
      </c>
      <c r="G29" s="358" t="s">
        <v>668</v>
      </c>
      <c r="H29" s="357" t="s">
        <v>669</v>
      </c>
      <c r="I29" s="357" t="str">
        <f t="shared" si="0"/>
        <v>0942</v>
      </c>
      <c r="J29" s="359">
        <v>70000</v>
      </c>
      <c r="K29" s="359">
        <f t="shared" si="1"/>
        <v>-4075</v>
      </c>
      <c r="L29" s="359">
        <v>65925</v>
      </c>
      <c r="M29" s="81"/>
      <c r="O29" s="73" t="str">
        <f t="shared" ref="O29:O30" si="18">LEFT(E29,3)</f>
        <v>323</v>
      </c>
      <c r="P29" s="73" t="str">
        <f t="shared" ref="P29:P30" si="19">LEFT(E29,2)</f>
        <v>32</v>
      </c>
      <c r="Q29" s="73" t="str">
        <f t="shared" ref="Q29:Q30" si="20">LEFT(C29,3)</f>
        <v>11</v>
      </c>
      <c r="R29" s="73" t="str">
        <f t="shared" ref="R29:R30" si="21">MID(I29,2,2)</f>
        <v>94</v>
      </c>
      <c r="V29" s="73">
        <v>3511</v>
      </c>
      <c r="W29" s="73" t="s">
        <v>177</v>
      </c>
      <c r="Y29" s="283" t="str">
        <f t="shared" si="6"/>
        <v>35</v>
      </c>
      <c r="Z29" s="73" t="str">
        <f t="shared" si="7"/>
        <v>351</v>
      </c>
      <c r="AB29" t="s">
        <v>1837</v>
      </c>
      <c r="AC29" t="s">
        <v>1838</v>
      </c>
      <c r="AD29" s="73" t="s">
        <v>5150</v>
      </c>
      <c r="AE29" s="73" t="s">
        <v>5151</v>
      </c>
      <c r="AF29" s="73" t="s">
        <v>5160</v>
      </c>
      <c r="AG29" s="73" t="s">
        <v>5171</v>
      </c>
    </row>
    <row r="30" spans="1:33" hidden="1">
      <c r="A30" s="355">
        <v>8006</v>
      </c>
      <c r="B30" s="355" t="s">
        <v>45</v>
      </c>
      <c r="C30" s="356">
        <v>11</v>
      </c>
      <c r="D30" s="357" t="s">
        <v>46</v>
      </c>
      <c r="E30" s="356">
        <v>3238</v>
      </c>
      <c r="F30" s="357" t="s">
        <v>101</v>
      </c>
      <c r="G30" s="358" t="s">
        <v>668</v>
      </c>
      <c r="H30" s="357" t="s">
        <v>669</v>
      </c>
      <c r="I30" s="357" t="str">
        <f t="shared" si="0"/>
        <v>0942</v>
      </c>
      <c r="J30" s="359">
        <v>10000</v>
      </c>
      <c r="K30" s="359">
        <f t="shared" si="1"/>
        <v>0</v>
      </c>
      <c r="L30" s="359">
        <v>10000</v>
      </c>
      <c r="M30" s="81"/>
      <c r="O30" s="73" t="str">
        <f t="shared" si="18"/>
        <v>323</v>
      </c>
      <c r="P30" s="73" t="str">
        <f t="shared" si="19"/>
        <v>32</v>
      </c>
      <c r="Q30" s="73" t="str">
        <f t="shared" si="20"/>
        <v>11</v>
      </c>
      <c r="R30" s="73" t="str">
        <f t="shared" si="21"/>
        <v>94</v>
      </c>
      <c r="V30" s="73">
        <v>3833</v>
      </c>
      <c r="W30" s="73" t="s">
        <v>151</v>
      </c>
      <c r="Y30" s="283" t="str">
        <f t="shared" si="6"/>
        <v>38</v>
      </c>
      <c r="Z30" s="73" t="str">
        <f t="shared" si="7"/>
        <v>383</v>
      </c>
      <c r="AB30" t="s">
        <v>1889</v>
      </c>
      <c r="AC30" t="s">
        <v>1890</v>
      </c>
      <c r="AD30" s="73" t="s">
        <v>5138</v>
      </c>
      <c r="AE30" s="73" t="s">
        <v>5139</v>
      </c>
      <c r="AF30" s="73" t="s">
        <v>5160</v>
      </c>
      <c r="AG30" s="73" t="s">
        <v>5170</v>
      </c>
    </row>
    <row r="31" spans="1:33" hidden="1">
      <c r="A31" s="355">
        <v>8006</v>
      </c>
      <c r="B31" s="355" t="s">
        <v>45</v>
      </c>
      <c r="C31" s="356">
        <v>11</v>
      </c>
      <c r="D31" s="357" t="s">
        <v>46</v>
      </c>
      <c r="E31" s="356">
        <v>3239</v>
      </c>
      <c r="F31" s="357" t="s">
        <v>82</v>
      </c>
      <c r="G31" s="358" t="s">
        <v>668</v>
      </c>
      <c r="H31" s="357" t="s">
        <v>669</v>
      </c>
      <c r="I31" s="357" t="str">
        <f t="shared" si="0"/>
        <v>0942</v>
      </c>
      <c r="J31" s="359">
        <v>150000</v>
      </c>
      <c r="K31" s="359">
        <f t="shared" si="1"/>
        <v>-50000</v>
      </c>
      <c r="L31" s="359">
        <v>100000</v>
      </c>
      <c r="M31" s="81"/>
      <c r="O31" s="73" t="str">
        <f t="shared" si="2"/>
        <v>323</v>
      </c>
      <c r="P31" s="73" t="str">
        <f t="shared" si="3"/>
        <v>32</v>
      </c>
      <c r="Q31" s="73" t="str">
        <f t="shared" si="4"/>
        <v>11</v>
      </c>
      <c r="R31" s="73" t="str">
        <f t="shared" si="5"/>
        <v>94</v>
      </c>
      <c r="V31" s="73">
        <v>3235</v>
      </c>
      <c r="W31" s="73" t="s">
        <v>108</v>
      </c>
      <c r="Y31" s="283" t="str">
        <f t="shared" si="6"/>
        <v>32</v>
      </c>
      <c r="Z31" s="73" t="str">
        <f t="shared" si="7"/>
        <v>323</v>
      </c>
      <c r="AB31" t="s">
        <v>1808</v>
      </c>
      <c r="AC31" t="s">
        <v>1809</v>
      </c>
      <c r="AD31" s="73" t="s">
        <v>5146</v>
      </c>
      <c r="AE31" s="73" t="s">
        <v>5147</v>
      </c>
      <c r="AF31" s="73" t="s">
        <v>5160</v>
      </c>
      <c r="AG31" s="73" t="s">
        <v>5167</v>
      </c>
    </row>
    <row r="32" spans="1:33" hidden="1">
      <c r="A32" s="355">
        <v>8006</v>
      </c>
      <c r="B32" s="355" t="s">
        <v>45</v>
      </c>
      <c r="C32" s="356">
        <v>11</v>
      </c>
      <c r="D32" s="357" t="s">
        <v>46</v>
      </c>
      <c r="E32" s="356">
        <v>3241</v>
      </c>
      <c r="F32" s="357" t="s">
        <v>80</v>
      </c>
      <c r="G32" s="358" t="s">
        <v>668</v>
      </c>
      <c r="H32" s="357" t="s">
        <v>669</v>
      </c>
      <c r="I32" s="357" t="str">
        <f t="shared" si="0"/>
        <v>0942</v>
      </c>
      <c r="J32" s="359">
        <v>2000</v>
      </c>
      <c r="K32" s="359">
        <f t="shared" si="1"/>
        <v>8000</v>
      </c>
      <c r="L32" s="359">
        <v>10000</v>
      </c>
      <c r="M32" s="81"/>
      <c r="O32" s="73" t="str">
        <f t="shared" si="2"/>
        <v>324</v>
      </c>
      <c r="P32" s="73" t="str">
        <f t="shared" si="3"/>
        <v>32</v>
      </c>
      <c r="Q32" s="73" t="str">
        <f t="shared" si="4"/>
        <v>11</v>
      </c>
      <c r="R32" s="73" t="str">
        <f t="shared" si="5"/>
        <v>94</v>
      </c>
      <c r="V32" s="73">
        <v>3236</v>
      </c>
      <c r="W32" s="73" t="s">
        <v>53</v>
      </c>
      <c r="Y32" s="283" t="str">
        <f t="shared" si="6"/>
        <v>32</v>
      </c>
      <c r="Z32" s="73" t="str">
        <f t="shared" si="7"/>
        <v>323</v>
      </c>
      <c r="AB32" t="s">
        <v>1810</v>
      </c>
      <c r="AC32" t="s">
        <v>1811</v>
      </c>
      <c r="AD32" s="73" t="s">
        <v>5146</v>
      </c>
      <c r="AE32" s="73" t="s">
        <v>5147</v>
      </c>
      <c r="AF32" s="73" t="s">
        <v>5160</v>
      </c>
      <c r="AG32" s="73" t="s">
        <v>5167</v>
      </c>
    </row>
    <row r="33" spans="1:33" hidden="1">
      <c r="A33" s="355">
        <v>8006</v>
      </c>
      <c r="B33" s="355" t="s">
        <v>45</v>
      </c>
      <c r="C33" s="356">
        <v>11</v>
      </c>
      <c r="D33" s="357" t="s">
        <v>46</v>
      </c>
      <c r="E33" s="356">
        <v>3292</v>
      </c>
      <c r="F33" s="357" t="s">
        <v>74</v>
      </c>
      <c r="G33" s="358" t="s">
        <v>668</v>
      </c>
      <c r="H33" s="357" t="s">
        <v>669</v>
      </c>
      <c r="I33" s="357" t="str">
        <f t="shared" si="0"/>
        <v>0942</v>
      </c>
      <c r="J33" s="359">
        <v>2000</v>
      </c>
      <c r="K33" s="359">
        <f t="shared" si="1"/>
        <v>0</v>
      </c>
      <c r="L33" s="359">
        <v>2000</v>
      </c>
      <c r="M33" s="81"/>
      <c r="O33" s="73" t="str">
        <f t="shared" si="2"/>
        <v>329</v>
      </c>
      <c r="P33" s="73" t="str">
        <f t="shared" si="3"/>
        <v>32</v>
      </c>
      <c r="Q33" s="73" t="str">
        <f t="shared" si="4"/>
        <v>11</v>
      </c>
      <c r="R33" s="73" t="str">
        <f t="shared" si="5"/>
        <v>94</v>
      </c>
      <c r="V33" s="73">
        <v>3237</v>
      </c>
      <c r="W33" s="73" t="s">
        <v>66</v>
      </c>
      <c r="Y33" s="283" t="str">
        <f t="shared" si="6"/>
        <v>32</v>
      </c>
      <c r="Z33" s="73" t="str">
        <f t="shared" si="7"/>
        <v>323</v>
      </c>
      <c r="AB33" t="s">
        <v>944</v>
      </c>
      <c r="AC33" t="s">
        <v>945</v>
      </c>
      <c r="AD33" s="73" t="s">
        <v>5138</v>
      </c>
      <c r="AE33" s="73" t="s">
        <v>5139</v>
      </c>
      <c r="AF33" s="73" t="s">
        <v>5160</v>
      </c>
      <c r="AG33" s="73" t="s">
        <v>5170</v>
      </c>
    </row>
    <row r="34" spans="1:33" hidden="1">
      <c r="A34" s="355">
        <v>8006</v>
      </c>
      <c r="B34" s="355" t="s">
        <v>45</v>
      </c>
      <c r="C34" s="356">
        <v>11</v>
      </c>
      <c r="D34" s="357" t="s">
        <v>46</v>
      </c>
      <c r="E34" s="356">
        <v>3293</v>
      </c>
      <c r="F34" s="357" t="s">
        <v>83</v>
      </c>
      <c r="G34" s="358" t="s">
        <v>668</v>
      </c>
      <c r="H34" s="357" t="s">
        <v>669</v>
      </c>
      <c r="I34" s="357" t="str">
        <f t="shared" si="0"/>
        <v>0942</v>
      </c>
      <c r="J34" s="359">
        <v>50000</v>
      </c>
      <c r="K34" s="359">
        <f t="shared" si="1"/>
        <v>20000</v>
      </c>
      <c r="L34" s="359">
        <v>70000</v>
      </c>
      <c r="M34" s="81"/>
      <c r="N34" s="318"/>
      <c r="O34" s="73" t="str">
        <f t="shared" si="2"/>
        <v>329</v>
      </c>
      <c r="P34" s="73" t="str">
        <f t="shared" si="3"/>
        <v>32</v>
      </c>
      <c r="Q34" s="73" t="str">
        <f t="shared" si="4"/>
        <v>11</v>
      </c>
      <c r="R34" s="73" t="str">
        <f t="shared" si="5"/>
        <v>94</v>
      </c>
      <c r="V34" s="73">
        <v>3238</v>
      </c>
      <c r="W34" s="73" t="s">
        <v>101</v>
      </c>
      <c r="Y34" s="283" t="str">
        <f t="shared" si="6"/>
        <v>32</v>
      </c>
      <c r="Z34" s="73" t="str">
        <f t="shared" si="7"/>
        <v>323</v>
      </c>
      <c r="AB34" t="s">
        <v>1812</v>
      </c>
      <c r="AC34" t="s">
        <v>1813</v>
      </c>
      <c r="AD34" s="73" t="s">
        <v>5140</v>
      </c>
      <c r="AE34" s="73" t="s">
        <v>5141</v>
      </c>
      <c r="AF34" s="73" t="s">
        <v>5160</v>
      </c>
      <c r="AG34" s="73" t="s">
        <v>5169</v>
      </c>
    </row>
    <row r="35" spans="1:33" hidden="1">
      <c r="A35" s="355">
        <v>8006</v>
      </c>
      <c r="B35" s="355" t="s">
        <v>45</v>
      </c>
      <c r="C35" s="356">
        <v>11</v>
      </c>
      <c r="D35" s="357" t="s">
        <v>46</v>
      </c>
      <c r="E35" s="356">
        <v>3294</v>
      </c>
      <c r="F35" s="357" t="s">
        <v>84</v>
      </c>
      <c r="G35" s="358" t="s">
        <v>668</v>
      </c>
      <c r="H35" s="357" t="s">
        <v>669</v>
      </c>
      <c r="I35" s="357" t="str">
        <f t="shared" ref="I35:I66" si="22">IFERROR(VLOOKUP(G35,$AB$6:$AF$321,3,FALSE),"")</f>
        <v>0942</v>
      </c>
      <c r="J35" s="359">
        <v>8000</v>
      </c>
      <c r="K35" s="359">
        <f t="shared" si="1"/>
        <v>0</v>
      </c>
      <c r="L35" s="359">
        <v>8000</v>
      </c>
      <c r="M35" s="81"/>
      <c r="O35" s="73" t="str">
        <f t="shared" si="2"/>
        <v>329</v>
      </c>
      <c r="P35" s="73" t="str">
        <f t="shared" si="3"/>
        <v>32</v>
      </c>
      <c r="Q35" s="73" t="str">
        <f t="shared" si="4"/>
        <v>11</v>
      </c>
      <c r="R35" s="73" t="str">
        <f t="shared" si="5"/>
        <v>94</v>
      </c>
      <c r="V35" s="73">
        <v>3239</v>
      </c>
      <c r="W35" s="73" t="s">
        <v>82</v>
      </c>
      <c r="Y35" s="283" t="str">
        <f t="shared" si="6"/>
        <v>32</v>
      </c>
      <c r="Z35" s="73" t="str">
        <f t="shared" si="7"/>
        <v>323</v>
      </c>
      <c r="AB35" t="s">
        <v>1814</v>
      </c>
      <c r="AC35" t="s">
        <v>1815</v>
      </c>
      <c r="AD35" s="73" t="s">
        <v>5138</v>
      </c>
      <c r="AE35" s="73" t="s">
        <v>5139</v>
      </c>
      <c r="AF35" s="73" t="s">
        <v>5160</v>
      </c>
      <c r="AG35" s="73" t="s">
        <v>5170</v>
      </c>
    </row>
    <row r="36" spans="1:33" hidden="1">
      <c r="A36" s="355">
        <v>8006</v>
      </c>
      <c r="B36" s="355" t="s">
        <v>45</v>
      </c>
      <c r="C36" s="356">
        <v>11</v>
      </c>
      <c r="D36" s="357" t="s">
        <v>46</v>
      </c>
      <c r="E36" s="356">
        <v>3295</v>
      </c>
      <c r="F36" s="357" t="s">
        <v>54</v>
      </c>
      <c r="G36" s="358" t="s">
        <v>668</v>
      </c>
      <c r="H36" s="357" t="s">
        <v>669</v>
      </c>
      <c r="I36" s="357" t="str">
        <f t="shared" si="22"/>
        <v>0942</v>
      </c>
      <c r="J36" s="359">
        <v>1000</v>
      </c>
      <c r="K36" s="359">
        <f t="shared" si="1"/>
        <v>4000</v>
      </c>
      <c r="L36" s="359">
        <v>5000</v>
      </c>
      <c r="M36" s="81"/>
      <c r="N36" s="318"/>
      <c r="O36" s="73" t="str">
        <f t="shared" si="2"/>
        <v>329</v>
      </c>
      <c r="P36" s="73" t="str">
        <f t="shared" si="3"/>
        <v>32</v>
      </c>
      <c r="Q36" s="73" t="str">
        <f t="shared" si="4"/>
        <v>11</v>
      </c>
      <c r="R36" s="73" t="str">
        <f t="shared" si="5"/>
        <v>94</v>
      </c>
      <c r="V36" s="73">
        <v>3241</v>
      </c>
      <c r="W36" s="73" t="s">
        <v>80</v>
      </c>
      <c r="Y36" s="283" t="str">
        <f t="shared" si="6"/>
        <v>32</v>
      </c>
      <c r="Z36" s="73" t="str">
        <f t="shared" si="7"/>
        <v>324</v>
      </c>
      <c r="AB36" t="s">
        <v>1816</v>
      </c>
      <c r="AC36" t="s">
        <v>1817</v>
      </c>
      <c r="AD36" s="73" t="s">
        <v>5136</v>
      </c>
      <c r="AE36" s="73" t="s">
        <v>5137</v>
      </c>
      <c r="AF36" s="73" t="s">
        <v>5162</v>
      </c>
      <c r="AG36" s="73" t="s">
        <v>5163</v>
      </c>
    </row>
    <row r="37" spans="1:33" hidden="1">
      <c r="A37" s="355">
        <v>8006</v>
      </c>
      <c r="B37" s="355" t="s">
        <v>45</v>
      </c>
      <c r="C37" s="356">
        <v>11</v>
      </c>
      <c r="D37" s="357" t="s">
        <v>46</v>
      </c>
      <c r="E37" s="356">
        <v>3299</v>
      </c>
      <c r="F37" s="357" t="s">
        <v>57</v>
      </c>
      <c r="G37" s="358" t="s">
        <v>668</v>
      </c>
      <c r="H37" s="357" t="s">
        <v>669</v>
      </c>
      <c r="I37" s="357" t="str">
        <f t="shared" si="22"/>
        <v>0942</v>
      </c>
      <c r="J37" s="359">
        <v>10000</v>
      </c>
      <c r="K37" s="359">
        <f t="shared" si="1"/>
        <v>10000</v>
      </c>
      <c r="L37" s="359">
        <v>20000</v>
      </c>
      <c r="M37" s="81"/>
      <c r="O37" s="73" t="str">
        <f t="shared" ref="O37" si="23">LEFT(E37,3)</f>
        <v>329</v>
      </c>
      <c r="P37" s="73" t="str">
        <f t="shared" ref="P37" si="24">LEFT(E37,2)</f>
        <v>32</v>
      </c>
      <c r="Q37" s="73" t="str">
        <f t="shared" ref="Q37" si="25">LEFT(C37,3)</f>
        <v>11</v>
      </c>
      <c r="R37" s="73" t="str">
        <f t="shared" ref="R37" si="26">MID(I37,2,2)</f>
        <v>94</v>
      </c>
      <c r="V37" s="73">
        <v>3531</v>
      </c>
      <c r="W37" s="73" t="s">
        <v>131</v>
      </c>
      <c r="Y37" s="283" t="str">
        <f t="shared" si="6"/>
        <v>35</v>
      </c>
      <c r="Z37" s="73" t="str">
        <f t="shared" si="7"/>
        <v>353</v>
      </c>
      <c r="AB37" t="s">
        <v>1840</v>
      </c>
      <c r="AC37" t="s">
        <v>1841</v>
      </c>
      <c r="AD37" s="73" t="s">
        <v>5150</v>
      </c>
      <c r="AE37" s="73" t="s">
        <v>5151</v>
      </c>
      <c r="AF37" s="73" t="s">
        <v>5160</v>
      </c>
      <c r="AG37" s="73" t="s">
        <v>5171</v>
      </c>
    </row>
    <row r="38" spans="1:33" hidden="1">
      <c r="A38" s="355">
        <v>8006</v>
      </c>
      <c r="B38" s="355" t="s">
        <v>45</v>
      </c>
      <c r="C38" s="356">
        <v>11</v>
      </c>
      <c r="D38" s="357" t="s">
        <v>46</v>
      </c>
      <c r="E38" s="356">
        <v>3431</v>
      </c>
      <c r="F38" s="357" t="s">
        <v>5265</v>
      </c>
      <c r="G38" s="358" t="s">
        <v>668</v>
      </c>
      <c r="H38" s="357" t="s">
        <v>669</v>
      </c>
      <c r="I38" s="357" t="str">
        <f t="shared" si="22"/>
        <v>0942</v>
      </c>
      <c r="J38" s="359">
        <v>8000</v>
      </c>
      <c r="K38" s="359">
        <f t="shared" si="1"/>
        <v>0</v>
      </c>
      <c r="L38" s="359">
        <v>8000</v>
      </c>
      <c r="M38" s="81"/>
      <c r="O38" s="73" t="str">
        <f t="shared" si="2"/>
        <v>343</v>
      </c>
      <c r="P38" s="73" t="str">
        <f t="shared" si="3"/>
        <v>34</v>
      </c>
      <c r="Q38" s="73" t="str">
        <f t="shared" si="4"/>
        <v>11</v>
      </c>
      <c r="R38" s="73" t="str">
        <f t="shared" si="5"/>
        <v>94</v>
      </c>
      <c r="V38" s="73">
        <v>3291</v>
      </c>
      <c r="W38" s="73" t="s">
        <v>81</v>
      </c>
      <c r="Y38" s="283" t="str">
        <f t="shared" si="6"/>
        <v>32</v>
      </c>
      <c r="Z38" s="73" t="str">
        <f t="shared" si="7"/>
        <v>329</v>
      </c>
      <c r="AB38" t="s">
        <v>1818</v>
      </c>
      <c r="AC38" t="s">
        <v>1819</v>
      </c>
      <c r="AD38" s="73" t="s">
        <v>5136</v>
      </c>
      <c r="AE38" s="73" t="s">
        <v>5137</v>
      </c>
      <c r="AF38" s="73" t="s">
        <v>5162</v>
      </c>
      <c r="AG38" s="73" t="s">
        <v>5163</v>
      </c>
    </row>
    <row r="39" spans="1:33" hidden="1">
      <c r="A39" s="355">
        <v>8006</v>
      </c>
      <c r="B39" s="355" t="s">
        <v>45</v>
      </c>
      <c r="C39" s="356">
        <v>11</v>
      </c>
      <c r="D39" s="357" t="s">
        <v>46</v>
      </c>
      <c r="E39" s="356">
        <v>3432</v>
      </c>
      <c r="F39" s="357" t="s">
        <v>5266</v>
      </c>
      <c r="G39" s="358" t="s">
        <v>668</v>
      </c>
      <c r="H39" s="357" t="s">
        <v>669</v>
      </c>
      <c r="I39" s="357" t="str">
        <f t="shared" si="22"/>
        <v>0942</v>
      </c>
      <c r="J39" s="359">
        <v>100</v>
      </c>
      <c r="K39" s="359">
        <f t="shared" si="1"/>
        <v>0</v>
      </c>
      <c r="L39" s="359">
        <v>100</v>
      </c>
      <c r="M39" s="81"/>
      <c r="O39" s="73" t="str">
        <f t="shared" si="2"/>
        <v>343</v>
      </c>
      <c r="P39" s="73" t="str">
        <f t="shared" si="3"/>
        <v>34</v>
      </c>
      <c r="Q39" s="73" t="str">
        <f t="shared" si="4"/>
        <v>11</v>
      </c>
      <c r="R39" s="73" t="str">
        <f t="shared" si="5"/>
        <v>94</v>
      </c>
      <c r="V39" s="73">
        <v>3292</v>
      </c>
      <c r="W39" s="73" t="s">
        <v>74</v>
      </c>
      <c r="Y39" s="283" t="str">
        <f t="shared" si="6"/>
        <v>32</v>
      </c>
      <c r="Z39" s="73" t="str">
        <f t="shared" si="7"/>
        <v>329</v>
      </c>
      <c r="AB39" t="s">
        <v>1820</v>
      </c>
      <c r="AC39" t="s">
        <v>1821</v>
      </c>
      <c r="AD39" s="73" t="s">
        <v>5138</v>
      </c>
      <c r="AE39" s="73" t="s">
        <v>5139</v>
      </c>
      <c r="AF39" s="73" t="s">
        <v>5160</v>
      </c>
      <c r="AG39" s="73" t="s">
        <v>5170</v>
      </c>
    </row>
    <row r="40" spans="1:33" hidden="1">
      <c r="A40" s="355">
        <v>8006</v>
      </c>
      <c r="B40" s="355" t="s">
        <v>45</v>
      </c>
      <c r="C40" s="356">
        <v>11</v>
      </c>
      <c r="D40" s="357" t="s">
        <v>46</v>
      </c>
      <c r="E40" s="356">
        <v>3433</v>
      </c>
      <c r="F40" s="357" t="s">
        <v>134</v>
      </c>
      <c r="G40" s="358" t="s">
        <v>668</v>
      </c>
      <c r="H40" s="357" t="s">
        <v>669</v>
      </c>
      <c r="I40" s="357" t="str">
        <f t="shared" si="22"/>
        <v>0942</v>
      </c>
      <c r="J40" s="359">
        <v>1000</v>
      </c>
      <c r="K40" s="359">
        <f t="shared" si="1"/>
        <v>9000</v>
      </c>
      <c r="L40" s="359">
        <v>10000</v>
      </c>
      <c r="M40" s="81"/>
      <c r="O40" s="73" t="str">
        <f t="shared" ref="O40" si="27">LEFT(E40,3)</f>
        <v>343</v>
      </c>
      <c r="P40" s="73" t="str">
        <f t="shared" ref="P40" si="28">LEFT(E40,2)</f>
        <v>34</v>
      </c>
      <c r="Q40" s="73" t="str">
        <f t="shared" ref="Q40" si="29">LEFT(C40,3)</f>
        <v>11</v>
      </c>
      <c r="R40" s="73" t="str">
        <f t="shared" ref="R40" si="30">MID(I40,2,2)</f>
        <v>94</v>
      </c>
      <c r="V40" s="73">
        <v>3693</v>
      </c>
      <c r="W40" s="73" t="s">
        <v>102</v>
      </c>
      <c r="Y40" s="283" t="str">
        <f t="shared" si="6"/>
        <v>36</v>
      </c>
      <c r="Z40" s="73" t="str">
        <f t="shared" si="7"/>
        <v>369</v>
      </c>
      <c r="AB40" t="s">
        <v>1860</v>
      </c>
      <c r="AC40" t="s">
        <v>1861</v>
      </c>
      <c r="AD40" s="73" t="s">
        <v>5142</v>
      </c>
      <c r="AE40" s="73" t="s">
        <v>5143</v>
      </c>
      <c r="AF40" s="73" t="s">
        <v>5160</v>
      </c>
      <c r="AG40" s="73" t="s">
        <v>5168</v>
      </c>
    </row>
    <row r="41" spans="1:33" hidden="1">
      <c r="A41" s="355">
        <v>8006</v>
      </c>
      <c r="B41" s="355" t="s">
        <v>45</v>
      </c>
      <c r="C41" s="356">
        <v>11</v>
      </c>
      <c r="D41" s="357" t="s">
        <v>46</v>
      </c>
      <c r="E41" s="356">
        <v>3434</v>
      </c>
      <c r="F41" s="357" t="s">
        <v>67</v>
      </c>
      <c r="G41" s="358" t="s">
        <v>668</v>
      </c>
      <c r="H41" s="357" t="s">
        <v>669</v>
      </c>
      <c r="I41" s="357" t="str">
        <f t="shared" si="22"/>
        <v>0942</v>
      </c>
      <c r="J41" s="359">
        <v>50</v>
      </c>
      <c r="K41" s="359">
        <f t="shared" si="1"/>
        <v>0</v>
      </c>
      <c r="L41" s="359">
        <v>50</v>
      </c>
      <c r="M41" s="81"/>
      <c r="O41" s="73" t="str">
        <f t="shared" si="2"/>
        <v>343</v>
      </c>
      <c r="P41" s="73" t="str">
        <f t="shared" si="3"/>
        <v>34</v>
      </c>
      <c r="Q41" s="73" t="str">
        <f t="shared" si="4"/>
        <v>11</v>
      </c>
      <c r="R41" s="73" t="str">
        <f t="shared" si="5"/>
        <v>94</v>
      </c>
      <c r="V41" s="73">
        <v>3293</v>
      </c>
      <c r="W41" s="73" t="s">
        <v>83</v>
      </c>
      <c r="Y41" s="283" t="str">
        <f t="shared" si="6"/>
        <v>32</v>
      </c>
      <c r="Z41" s="73" t="str">
        <f t="shared" si="7"/>
        <v>329</v>
      </c>
      <c r="AB41" t="s">
        <v>1822</v>
      </c>
      <c r="AC41" t="s">
        <v>1823</v>
      </c>
      <c r="AD41" s="73" t="s">
        <v>5136</v>
      </c>
      <c r="AE41" s="73" t="s">
        <v>5137</v>
      </c>
      <c r="AF41" s="73" t="s">
        <v>5162</v>
      </c>
      <c r="AG41" s="73" t="s">
        <v>5163</v>
      </c>
    </row>
    <row r="42" spans="1:33" hidden="1">
      <c r="A42" s="355">
        <v>8006</v>
      </c>
      <c r="B42" s="355" t="s">
        <v>45</v>
      </c>
      <c r="C42" s="356">
        <v>11</v>
      </c>
      <c r="D42" s="357" t="s">
        <v>46</v>
      </c>
      <c r="E42" s="356">
        <v>3721</v>
      </c>
      <c r="F42" s="357" t="s">
        <v>65</v>
      </c>
      <c r="G42" s="358" t="s">
        <v>668</v>
      </c>
      <c r="H42" s="357" t="s">
        <v>669</v>
      </c>
      <c r="I42" s="357" t="str">
        <f t="shared" si="22"/>
        <v>0942</v>
      </c>
      <c r="J42" s="359">
        <v>150000</v>
      </c>
      <c r="K42" s="359">
        <f t="shared" si="1"/>
        <v>0</v>
      </c>
      <c r="L42" s="359">
        <v>150000</v>
      </c>
      <c r="M42" s="81"/>
      <c r="O42" s="73" t="str">
        <f t="shared" si="2"/>
        <v>372</v>
      </c>
      <c r="P42" s="73" t="str">
        <f t="shared" si="3"/>
        <v>37</v>
      </c>
      <c r="Q42" s="73" t="str">
        <f t="shared" si="4"/>
        <v>11</v>
      </c>
      <c r="R42" s="73" t="str">
        <f t="shared" si="5"/>
        <v>94</v>
      </c>
      <c r="V42" s="73">
        <v>3293</v>
      </c>
      <c r="W42" s="73" t="s">
        <v>129</v>
      </c>
      <c r="Y42" s="283" t="str">
        <f t="shared" si="6"/>
        <v>32</v>
      </c>
      <c r="Z42" s="73" t="str">
        <f t="shared" si="7"/>
        <v>329</v>
      </c>
      <c r="AB42" t="s">
        <v>1620</v>
      </c>
      <c r="AC42" t="s">
        <v>1621</v>
      </c>
      <c r="AD42" s="73" t="s">
        <v>5138</v>
      </c>
      <c r="AE42" s="73" t="s">
        <v>5139</v>
      </c>
      <c r="AF42" s="73" t="s">
        <v>5160</v>
      </c>
      <c r="AG42" s="73" t="s">
        <v>5170</v>
      </c>
    </row>
    <row r="43" spans="1:33" hidden="1">
      <c r="A43" s="355">
        <v>8006</v>
      </c>
      <c r="B43" s="355" t="s">
        <v>45</v>
      </c>
      <c r="C43" s="356">
        <v>11</v>
      </c>
      <c r="D43" s="357" t="s">
        <v>46</v>
      </c>
      <c r="E43" s="356">
        <v>4123</v>
      </c>
      <c r="F43" s="357" t="s">
        <v>126</v>
      </c>
      <c r="G43" s="358" t="s">
        <v>668</v>
      </c>
      <c r="H43" s="357" t="s">
        <v>669</v>
      </c>
      <c r="I43" s="357" t="str">
        <f t="shared" si="22"/>
        <v>0942</v>
      </c>
      <c r="J43" s="359">
        <v>5000</v>
      </c>
      <c r="K43" s="359">
        <f t="shared" si="1"/>
        <v>0</v>
      </c>
      <c r="L43" s="359">
        <v>5000</v>
      </c>
      <c r="M43" s="81"/>
      <c r="O43" s="73" t="str">
        <f t="shared" si="2"/>
        <v>412</v>
      </c>
      <c r="P43" s="73" t="str">
        <f t="shared" si="3"/>
        <v>41</v>
      </c>
      <c r="Q43" s="73" t="str">
        <f t="shared" si="4"/>
        <v>11</v>
      </c>
      <c r="R43" s="73" t="str">
        <f t="shared" si="5"/>
        <v>94</v>
      </c>
      <c r="V43" s="73">
        <v>3294</v>
      </c>
      <c r="W43" s="73" t="s">
        <v>84</v>
      </c>
      <c r="Y43" s="283" t="str">
        <f t="shared" si="6"/>
        <v>32</v>
      </c>
      <c r="Z43" s="73" t="str">
        <f t="shared" si="7"/>
        <v>329</v>
      </c>
      <c r="AB43" t="s">
        <v>1622</v>
      </c>
      <c r="AC43" t="s">
        <v>1623</v>
      </c>
      <c r="AD43" s="73" t="s">
        <v>5138</v>
      </c>
      <c r="AE43" s="73" t="s">
        <v>5139</v>
      </c>
      <c r="AF43" s="73" t="s">
        <v>5160</v>
      </c>
      <c r="AG43" s="73" t="s">
        <v>5170</v>
      </c>
    </row>
    <row r="44" spans="1:33" hidden="1">
      <c r="A44" s="355">
        <v>8006</v>
      </c>
      <c r="B44" s="355" t="s">
        <v>45</v>
      </c>
      <c r="C44" s="356">
        <v>11</v>
      </c>
      <c r="D44" s="357" t="s">
        <v>46</v>
      </c>
      <c r="E44" s="356">
        <v>4212</v>
      </c>
      <c r="F44" s="357" t="s">
        <v>60</v>
      </c>
      <c r="G44" s="358" t="s">
        <v>668</v>
      </c>
      <c r="H44" s="357" t="s">
        <v>669</v>
      </c>
      <c r="I44" s="357" t="str">
        <f t="shared" si="22"/>
        <v>0942</v>
      </c>
      <c r="J44" s="359">
        <v>130726</v>
      </c>
      <c r="K44" s="359">
        <f t="shared" si="1"/>
        <v>0</v>
      </c>
      <c r="L44" s="359">
        <v>130726</v>
      </c>
      <c r="M44" s="81"/>
      <c r="O44" s="73" t="str">
        <f t="shared" si="2"/>
        <v>421</v>
      </c>
      <c r="P44" s="73" t="str">
        <f t="shared" si="3"/>
        <v>42</v>
      </c>
      <c r="Q44" s="73" t="str">
        <f t="shared" si="4"/>
        <v>11</v>
      </c>
      <c r="R44" s="73" t="str">
        <f t="shared" si="5"/>
        <v>94</v>
      </c>
      <c r="V44" s="73">
        <v>3295</v>
      </c>
      <c r="W44" s="73" t="s">
        <v>54</v>
      </c>
      <c r="Y44" s="283" t="str">
        <f t="shared" si="6"/>
        <v>32</v>
      </c>
      <c r="Z44" s="73" t="str">
        <f t="shared" si="7"/>
        <v>329</v>
      </c>
      <c r="AB44" t="s">
        <v>1824</v>
      </c>
      <c r="AC44" t="s">
        <v>1825</v>
      </c>
      <c r="AD44" s="73" t="s">
        <v>5138</v>
      </c>
      <c r="AE44" s="73" t="s">
        <v>5139</v>
      </c>
      <c r="AF44" s="73" t="s">
        <v>5160</v>
      </c>
      <c r="AG44" s="73" t="s">
        <v>5170</v>
      </c>
    </row>
    <row r="45" spans="1:33" hidden="1">
      <c r="A45" s="355">
        <v>8006</v>
      </c>
      <c r="B45" s="355" t="s">
        <v>45</v>
      </c>
      <c r="C45" s="356">
        <v>11</v>
      </c>
      <c r="D45" s="357" t="s">
        <v>46</v>
      </c>
      <c r="E45" s="356">
        <v>4221</v>
      </c>
      <c r="F45" s="357" t="s">
        <v>94</v>
      </c>
      <c r="G45" s="358" t="s">
        <v>668</v>
      </c>
      <c r="H45" s="357" t="s">
        <v>669</v>
      </c>
      <c r="I45" s="357" t="str">
        <f t="shared" si="22"/>
        <v>0942</v>
      </c>
      <c r="J45" s="359">
        <v>90000</v>
      </c>
      <c r="K45" s="359">
        <f t="shared" si="1"/>
        <v>-50000</v>
      </c>
      <c r="L45" s="359">
        <v>40000</v>
      </c>
      <c r="M45" s="81"/>
      <c r="O45" s="73" t="str">
        <f t="shared" si="2"/>
        <v>422</v>
      </c>
      <c r="P45" s="73" t="str">
        <f t="shared" si="3"/>
        <v>42</v>
      </c>
      <c r="Q45" s="73" t="str">
        <f t="shared" si="4"/>
        <v>11</v>
      </c>
      <c r="R45" s="73" t="str">
        <f t="shared" si="5"/>
        <v>94</v>
      </c>
      <c r="V45" s="73">
        <v>3721</v>
      </c>
      <c r="W45" s="73" t="s">
        <v>65</v>
      </c>
      <c r="Y45" s="283" t="str">
        <f t="shared" si="6"/>
        <v>37</v>
      </c>
      <c r="Z45" s="73" t="str">
        <f t="shared" si="7"/>
        <v>372</v>
      </c>
      <c r="AB45" t="s">
        <v>1875</v>
      </c>
      <c r="AC45" t="s">
        <v>1876</v>
      </c>
      <c r="AD45" s="73" t="s">
        <v>5136</v>
      </c>
      <c r="AE45" s="73" t="s">
        <v>5137</v>
      </c>
      <c r="AF45" s="73" t="s">
        <v>5162</v>
      </c>
      <c r="AG45" s="73" t="s">
        <v>5163</v>
      </c>
    </row>
    <row r="46" spans="1:33" hidden="1">
      <c r="A46" s="355">
        <v>8006</v>
      </c>
      <c r="B46" s="355" t="s">
        <v>45</v>
      </c>
      <c r="C46" s="356">
        <v>11</v>
      </c>
      <c r="D46" s="357" t="s">
        <v>46</v>
      </c>
      <c r="E46" s="356">
        <v>4222</v>
      </c>
      <c r="F46" s="357" t="s">
        <v>104</v>
      </c>
      <c r="G46" s="358" t="s">
        <v>668</v>
      </c>
      <c r="H46" s="357" t="s">
        <v>669</v>
      </c>
      <c r="I46" s="357" t="str">
        <f t="shared" si="22"/>
        <v>0942</v>
      </c>
      <c r="J46" s="359">
        <v>4000</v>
      </c>
      <c r="K46" s="359">
        <f t="shared" si="1"/>
        <v>0</v>
      </c>
      <c r="L46" s="359">
        <v>4000</v>
      </c>
      <c r="M46" s="81"/>
      <c r="O46" s="73" t="str">
        <f t="shared" si="2"/>
        <v>422</v>
      </c>
      <c r="P46" s="73" t="str">
        <f t="shared" si="3"/>
        <v>42</v>
      </c>
      <c r="Q46" s="73" t="str">
        <f t="shared" si="4"/>
        <v>11</v>
      </c>
      <c r="R46" s="73" t="str">
        <f t="shared" si="5"/>
        <v>94</v>
      </c>
      <c r="V46" s="73">
        <v>3296</v>
      </c>
      <c r="W46" s="73" t="s">
        <v>146</v>
      </c>
      <c r="Y46" s="283" t="str">
        <f t="shared" si="6"/>
        <v>32</v>
      </c>
      <c r="Z46" s="73" t="str">
        <f t="shared" si="7"/>
        <v>329</v>
      </c>
      <c r="AB46" t="s">
        <v>1826</v>
      </c>
      <c r="AC46" t="s">
        <v>1827</v>
      </c>
      <c r="AD46" s="73" t="s">
        <v>5148</v>
      </c>
      <c r="AE46" s="73" t="s">
        <v>5149</v>
      </c>
      <c r="AF46" s="73" t="s">
        <v>5162</v>
      </c>
      <c r="AG46" s="73" t="s">
        <v>5175</v>
      </c>
    </row>
    <row r="47" spans="1:33" hidden="1">
      <c r="A47" s="355">
        <v>8006</v>
      </c>
      <c r="B47" s="355" t="s">
        <v>45</v>
      </c>
      <c r="C47" s="356">
        <v>11</v>
      </c>
      <c r="D47" s="357" t="s">
        <v>46</v>
      </c>
      <c r="E47" s="356">
        <v>4223</v>
      </c>
      <c r="F47" s="357" t="s">
        <v>117</v>
      </c>
      <c r="G47" s="358" t="s">
        <v>668</v>
      </c>
      <c r="H47" s="357" t="s">
        <v>669</v>
      </c>
      <c r="I47" s="357" t="str">
        <f t="shared" si="22"/>
        <v>0942</v>
      </c>
      <c r="J47" s="359">
        <v>1000</v>
      </c>
      <c r="K47" s="359">
        <f t="shared" si="1"/>
        <v>0</v>
      </c>
      <c r="L47" s="359">
        <v>1000</v>
      </c>
      <c r="M47" s="81"/>
      <c r="O47" s="73" t="str">
        <f t="shared" si="2"/>
        <v>422</v>
      </c>
      <c r="P47" s="73" t="str">
        <f t="shared" si="3"/>
        <v>42</v>
      </c>
      <c r="Q47" s="73" t="str">
        <f t="shared" si="4"/>
        <v>11</v>
      </c>
      <c r="R47" s="73" t="str">
        <f t="shared" si="5"/>
        <v>94</v>
      </c>
      <c r="V47" s="73">
        <v>3299</v>
      </c>
      <c r="W47" s="73" t="s">
        <v>57</v>
      </c>
      <c r="Y47" s="283" t="str">
        <f t="shared" si="6"/>
        <v>32</v>
      </c>
      <c r="Z47" s="73" t="str">
        <f t="shared" si="7"/>
        <v>329</v>
      </c>
      <c r="AB47" t="s">
        <v>1826</v>
      </c>
      <c r="AC47" t="s">
        <v>1827</v>
      </c>
      <c r="AD47" s="73" t="s">
        <v>5134</v>
      </c>
      <c r="AE47" s="73" t="s">
        <v>5135</v>
      </c>
      <c r="AF47" s="73" t="s">
        <v>5160</v>
      </c>
      <c r="AG47" s="73" t="s">
        <v>5167</v>
      </c>
    </row>
    <row r="48" spans="1:33" hidden="1">
      <c r="A48" s="355">
        <v>8006</v>
      </c>
      <c r="B48" s="355" t="s">
        <v>45</v>
      </c>
      <c r="C48" s="356">
        <v>11</v>
      </c>
      <c r="D48" s="357" t="s">
        <v>46</v>
      </c>
      <c r="E48" s="356">
        <v>4224</v>
      </c>
      <c r="F48" s="357" t="s">
        <v>110</v>
      </c>
      <c r="G48" s="358" t="s">
        <v>668</v>
      </c>
      <c r="H48" s="357" t="s">
        <v>669</v>
      </c>
      <c r="I48" s="357" t="str">
        <f t="shared" si="22"/>
        <v>0942</v>
      </c>
      <c r="J48" s="359">
        <v>2000</v>
      </c>
      <c r="K48" s="359">
        <f t="shared" si="1"/>
        <v>0</v>
      </c>
      <c r="L48" s="359">
        <v>2000</v>
      </c>
      <c r="M48" s="81"/>
      <c r="O48" s="73" t="str">
        <f t="shared" si="2"/>
        <v>422</v>
      </c>
      <c r="P48" s="73" t="str">
        <f t="shared" si="3"/>
        <v>42</v>
      </c>
      <c r="Q48" s="73" t="str">
        <f t="shared" si="4"/>
        <v>11</v>
      </c>
      <c r="R48" s="73" t="str">
        <f t="shared" si="5"/>
        <v>94</v>
      </c>
      <c r="V48" s="73">
        <v>3411</v>
      </c>
      <c r="W48" s="73" t="s">
        <v>183</v>
      </c>
      <c r="Y48" s="283" t="str">
        <f t="shared" si="6"/>
        <v>34</v>
      </c>
      <c r="Z48" s="73" t="str">
        <f t="shared" si="7"/>
        <v>341</v>
      </c>
      <c r="AB48" t="s">
        <v>1828</v>
      </c>
      <c r="AC48" t="s">
        <v>1829</v>
      </c>
      <c r="AD48" s="73" t="s">
        <v>5134</v>
      </c>
      <c r="AE48" s="73" t="s">
        <v>5135</v>
      </c>
      <c r="AF48" s="73" t="s">
        <v>5160</v>
      </c>
      <c r="AG48" s="73" t="s">
        <v>5167</v>
      </c>
    </row>
    <row r="49" spans="1:33" hidden="1">
      <c r="A49" s="355">
        <v>8006</v>
      </c>
      <c r="B49" s="355" t="s">
        <v>45</v>
      </c>
      <c r="C49" s="356">
        <v>11</v>
      </c>
      <c r="D49" s="357" t="s">
        <v>46</v>
      </c>
      <c r="E49" s="356">
        <v>4225</v>
      </c>
      <c r="F49" s="357" t="s">
        <v>114</v>
      </c>
      <c r="G49" s="358" t="s">
        <v>668</v>
      </c>
      <c r="H49" s="357" t="s">
        <v>669</v>
      </c>
      <c r="I49" s="357" t="str">
        <f t="shared" si="22"/>
        <v>0942</v>
      </c>
      <c r="J49" s="359">
        <v>200</v>
      </c>
      <c r="K49" s="359">
        <f t="shared" si="1"/>
        <v>0</v>
      </c>
      <c r="L49" s="359">
        <v>200</v>
      </c>
      <c r="M49" s="81"/>
      <c r="O49" s="73" t="str">
        <f t="shared" si="2"/>
        <v>422</v>
      </c>
      <c r="P49" s="73" t="str">
        <f t="shared" si="3"/>
        <v>42</v>
      </c>
      <c r="Q49" s="73" t="str">
        <f t="shared" si="4"/>
        <v>11</v>
      </c>
      <c r="R49" s="73" t="str">
        <f t="shared" si="5"/>
        <v>94</v>
      </c>
      <c r="V49" s="73">
        <v>3422</v>
      </c>
      <c r="W49" s="73" t="s">
        <v>147</v>
      </c>
      <c r="Y49" s="283" t="str">
        <f t="shared" si="6"/>
        <v>34</v>
      </c>
      <c r="Z49" s="73" t="str">
        <f t="shared" si="7"/>
        <v>342</v>
      </c>
      <c r="AB49" t="s">
        <v>1830</v>
      </c>
      <c r="AC49" t="s">
        <v>1831</v>
      </c>
      <c r="AD49" s="73" t="s">
        <v>5138</v>
      </c>
      <c r="AE49" s="73" t="s">
        <v>5139</v>
      </c>
      <c r="AF49" s="73" t="s">
        <v>5160</v>
      </c>
      <c r="AG49" s="73" t="s">
        <v>5170</v>
      </c>
    </row>
    <row r="50" spans="1:33" hidden="1">
      <c r="A50" s="355">
        <v>8006</v>
      </c>
      <c r="B50" s="355" t="s">
        <v>45</v>
      </c>
      <c r="C50" s="356">
        <v>11</v>
      </c>
      <c r="D50" s="357" t="s">
        <v>46</v>
      </c>
      <c r="E50" s="356">
        <v>4227</v>
      </c>
      <c r="F50" s="357" t="s">
        <v>127</v>
      </c>
      <c r="G50" s="358" t="s">
        <v>668</v>
      </c>
      <c r="H50" s="357" t="s">
        <v>669</v>
      </c>
      <c r="I50" s="357" t="str">
        <f t="shared" si="22"/>
        <v>0942</v>
      </c>
      <c r="J50" s="359">
        <v>600</v>
      </c>
      <c r="K50" s="359">
        <f t="shared" si="1"/>
        <v>0</v>
      </c>
      <c r="L50" s="359">
        <v>600</v>
      </c>
      <c r="M50" s="81"/>
      <c r="O50" s="73" t="str">
        <f t="shared" si="2"/>
        <v>422</v>
      </c>
      <c r="P50" s="73" t="str">
        <f t="shared" si="3"/>
        <v>42</v>
      </c>
      <c r="Q50" s="73" t="str">
        <f t="shared" si="4"/>
        <v>11</v>
      </c>
      <c r="R50" s="73" t="str">
        <f t="shared" si="5"/>
        <v>94</v>
      </c>
      <c r="V50" s="73">
        <v>3832</v>
      </c>
      <c r="W50" s="73" t="s">
        <v>188</v>
      </c>
      <c r="Y50" s="283" t="str">
        <f t="shared" si="6"/>
        <v>38</v>
      </c>
      <c r="Z50" s="73" t="str">
        <f t="shared" si="7"/>
        <v>383</v>
      </c>
      <c r="AB50" t="s">
        <v>1887</v>
      </c>
      <c r="AC50" t="s">
        <v>1888</v>
      </c>
      <c r="AD50" s="73" t="s">
        <v>5138</v>
      </c>
      <c r="AE50" s="73" t="s">
        <v>5139</v>
      </c>
      <c r="AF50" s="73" t="s">
        <v>5160</v>
      </c>
      <c r="AG50" s="73" t="s">
        <v>5170</v>
      </c>
    </row>
    <row r="51" spans="1:33" hidden="1">
      <c r="A51" s="355">
        <v>8006</v>
      </c>
      <c r="B51" s="355" t="s">
        <v>45</v>
      </c>
      <c r="C51" s="356">
        <v>11</v>
      </c>
      <c r="D51" s="357" t="s">
        <v>46</v>
      </c>
      <c r="E51" s="356">
        <v>4241</v>
      </c>
      <c r="F51" s="357" t="s">
        <v>105</v>
      </c>
      <c r="G51" s="358" t="s">
        <v>668</v>
      </c>
      <c r="H51" s="357" t="s">
        <v>669</v>
      </c>
      <c r="I51" s="357" t="str">
        <f t="shared" si="22"/>
        <v>0942</v>
      </c>
      <c r="J51" s="359">
        <v>1000</v>
      </c>
      <c r="K51" s="359">
        <f t="shared" si="1"/>
        <v>0</v>
      </c>
      <c r="L51" s="359">
        <v>1000</v>
      </c>
      <c r="M51" s="81"/>
      <c r="O51" s="73" t="str">
        <f t="shared" ref="O51" si="31">LEFT(E51,3)</f>
        <v>424</v>
      </c>
      <c r="P51" s="73" t="str">
        <f t="shared" ref="P51" si="32">LEFT(E51,2)</f>
        <v>42</v>
      </c>
      <c r="Q51" s="73" t="str">
        <f t="shared" ref="Q51" si="33">LEFT(C51,3)</f>
        <v>11</v>
      </c>
      <c r="R51" s="73" t="str">
        <f t="shared" ref="R51" si="34">MID(I51,2,2)</f>
        <v>94</v>
      </c>
      <c r="V51" s="73">
        <v>3832</v>
      </c>
      <c r="W51" s="73" t="s">
        <v>188</v>
      </c>
      <c r="Y51" s="283" t="str">
        <f t="shared" ref="Y51" si="35">LEFT(V51,2)</f>
        <v>38</v>
      </c>
      <c r="Z51" s="73" t="str">
        <f t="shared" ref="Z51" si="36">LEFT(V51,3)</f>
        <v>383</v>
      </c>
      <c r="AB51" t="s">
        <v>1887</v>
      </c>
      <c r="AC51" t="s">
        <v>1888</v>
      </c>
      <c r="AD51" s="73" t="s">
        <v>5138</v>
      </c>
      <c r="AE51" s="73" t="s">
        <v>5139</v>
      </c>
      <c r="AF51" s="73" t="s">
        <v>5160</v>
      </c>
      <c r="AG51" s="73" t="s">
        <v>5170</v>
      </c>
    </row>
    <row r="52" spans="1:33" hidden="1">
      <c r="A52" s="355">
        <v>8006</v>
      </c>
      <c r="B52" s="355" t="s">
        <v>45</v>
      </c>
      <c r="C52" s="356">
        <v>11</v>
      </c>
      <c r="D52" s="357" t="s">
        <v>46</v>
      </c>
      <c r="E52" s="356">
        <v>4262</v>
      </c>
      <c r="F52" s="357" t="s">
        <v>106</v>
      </c>
      <c r="G52" s="358" t="s">
        <v>668</v>
      </c>
      <c r="H52" s="357" t="s">
        <v>669</v>
      </c>
      <c r="I52" s="357" t="str">
        <f t="shared" si="22"/>
        <v>0942</v>
      </c>
      <c r="J52" s="359">
        <v>1500</v>
      </c>
      <c r="K52" s="359">
        <f t="shared" si="1"/>
        <v>0</v>
      </c>
      <c r="L52" s="359">
        <v>1500</v>
      </c>
      <c r="M52" s="81"/>
      <c r="N52" s="318"/>
      <c r="O52" s="73" t="str">
        <f t="shared" ref="O52" si="37">LEFT(E52,3)</f>
        <v>426</v>
      </c>
      <c r="P52" s="73" t="str">
        <f t="shared" ref="P52" si="38">LEFT(E52,2)</f>
        <v>42</v>
      </c>
      <c r="Q52" s="73" t="str">
        <f t="shared" ref="Q52" si="39">LEFT(C52,3)</f>
        <v>11</v>
      </c>
      <c r="R52" s="73" t="str">
        <f t="shared" ref="R52" si="40">MID(I52,2,2)</f>
        <v>94</v>
      </c>
      <c r="V52" s="73">
        <v>3832</v>
      </c>
      <c r="W52" s="73" t="s">
        <v>188</v>
      </c>
      <c r="Y52" s="283" t="str">
        <f t="shared" ref="Y52" si="41">LEFT(V52,2)</f>
        <v>38</v>
      </c>
      <c r="Z52" s="73" t="str">
        <f t="shared" ref="Z52" si="42">LEFT(V52,3)</f>
        <v>383</v>
      </c>
      <c r="AB52" t="s">
        <v>1887</v>
      </c>
      <c r="AC52" t="s">
        <v>1888</v>
      </c>
      <c r="AD52" s="73" t="s">
        <v>5138</v>
      </c>
      <c r="AE52" s="73" t="s">
        <v>5139</v>
      </c>
      <c r="AF52" s="73" t="s">
        <v>5160</v>
      </c>
      <c r="AG52" s="73" t="s">
        <v>5170</v>
      </c>
    </row>
    <row r="53" spans="1:33" hidden="1">
      <c r="A53" s="355">
        <v>8006</v>
      </c>
      <c r="B53" s="355" t="s">
        <v>45</v>
      </c>
      <c r="C53" s="356">
        <v>11</v>
      </c>
      <c r="D53" s="357" t="s">
        <v>46</v>
      </c>
      <c r="E53" s="356">
        <v>4312</v>
      </c>
      <c r="F53" s="357" t="s">
        <v>120</v>
      </c>
      <c r="G53" s="358" t="s">
        <v>668</v>
      </c>
      <c r="H53" s="357" t="s">
        <v>669</v>
      </c>
      <c r="I53" s="357" t="str">
        <f t="shared" si="22"/>
        <v>0942</v>
      </c>
      <c r="J53" s="359">
        <v>100</v>
      </c>
      <c r="K53" s="359">
        <f t="shared" si="1"/>
        <v>0</v>
      </c>
      <c r="L53" s="359">
        <v>100</v>
      </c>
      <c r="M53" s="81"/>
      <c r="O53" s="73" t="str">
        <f t="shared" si="2"/>
        <v>431</v>
      </c>
      <c r="P53" s="73" t="str">
        <f t="shared" si="3"/>
        <v>43</v>
      </c>
      <c r="Q53" s="73" t="str">
        <f t="shared" si="4"/>
        <v>11</v>
      </c>
      <c r="R53" s="73" t="str">
        <f t="shared" si="5"/>
        <v>94</v>
      </c>
      <c r="V53" s="73">
        <v>3522</v>
      </c>
      <c r="W53" s="73" t="s">
        <v>230</v>
      </c>
      <c r="Y53" s="283" t="str">
        <f t="shared" ref="Y53:Y76" si="43">LEFT(V53,2)</f>
        <v>35</v>
      </c>
      <c r="Z53" s="73" t="str">
        <f t="shared" ref="Z53:Z76" si="44">LEFT(V53,3)</f>
        <v>352</v>
      </c>
      <c r="AB53" t="s">
        <v>1626</v>
      </c>
      <c r="AC53" t="s">
        <v>1112</v>
      </c>
      <c r="AD53" s="73" t="s">
        <v>5150</v>
      </c>
      <c r="AE53" s="73" t="s">
        <v>5151</v>
      </c>
      <c r="AF53" s="73" t="s">
        <v>5160</v>
      </c>
      <c r="AG53" s="73" t="s">
        <v>5171</v>
      </c>
    </row>
    <row r="54" spans="1:33" hidden="1">
      <c r="A54" s="355">
        <v>8006</v>
      </c>
      <c r="B54" s="355" t="s">
        <v>45</v>
      </c>
      <c r="C54" s="356">
        <v>11</v>
      </c>
      <c r="D54" s="357" t="s">
        <v>46</v>
      </c>
      <c r="E54" s="356">
        <v>4511</v>
      </c>
      <c r="F54" s="357" t="s">
        <v>119</v>
      </c>
      <c r="G54" s="358" t="s">
        <v>668</v>
      </c>
      <c r="H54" s="357" t="s">
        <v>669</v>
      </c>
      <c r="I54" s="357" t="str">
        <f t="shared" si="22"/>
        <v>0942</v>
      </c>
      <c r="J54" s="359">
        <v>5000</v>
      </c>
      <c r="K54" s="359">
        <f t="shared" si="1"/>
        <v>0</v>
      </c>
      <c r="L54" s="359">
        <v>5000</v>
      </c>
      <c r="M54" s="81"/>
      <c r="O54" s="73" t="str">
        <f t="shared" si="2"/>
        <v>451</v>
      </c>
      <c r="P54" s="73" t="str">
        <f t="shared" si="3"/>
        <v>45</v>
      </c>
      <c r="Q54" s="73" t="str">
        <f t="shared" si="4"/>
        <v>11</v>
      </c>
      <c r="R54" s="73" t="str">
        <f t="shared" si="5"/>
        <v>94</v>
      </c>
      <c r="V54" s="73">
        <v>3531</v>
      </c>
      <c r="W54" s="73" t="s">
        <v>131</v>
      </c>
      <c r="Y54" s="283" t="str">
        <f t="shared" si="43"/>
        <v>35</v>
      </c>
      <c r="Z54" s="73" t="str">
        <f t="shared" si="44"/>
        <v>353</v>
      </c>
      <c r="AB54" t="s">
        <v>1840</v>
      </c>
      <c r="AC54" t="s">
        <v>1841</v>
      </c>
      <c r="AD54" s="73" t="s">
        <v>5150</v>
      </c>
      <c r="AE54" s="73" t="s">
        <v>5151</v>
      </c>
      <c r="AF54" s="73" t="s">
        <v>5160</v>
      </c>
      <c r="AG54" s="73" t="s">
        <v>5171</v>
      </c>
    </row>
    <row r="55" spans="1:33">
      <c r="A55" s="355">
        <v>8006</v>
      </c>
      <c r="B55" s="355" t="s">
        <v>45</v>
      </c>
      <c r="C55" s="356">
        <v>31</v>
      </c>
      <c r="D55" s="357" t="s">
        <v>90</v>
      </c>
      <c r="E55" s="356">
        <v>3111</v>
      </c>
      <c r="F55" s="357" t="s">
        <v>47</v>
      </c>
      <c r="G55" s="358" t="s">
        <v>175</v>
      </c>
      <c r="H55" s="357" t="s">
        <v>1231</v>
      </c>
      <c r="I55" s="357" t="str">
        <f t="shared" si="22"/>
        <v>0942</v>
      </c>
      <c r="J55" s="359">
        <v>30000</v>
      </c>
      <c r="K55" s="359">
        <f t="shared" si="1"/>
        <v>0</v>
      </c>
      <c r="L55" s="359">
        <v>30000</v>
      </c>
      <c r="M55" s="81"/>
      <c r="O55" s="73" t="str">
        <f t="shared" si="2"/>
        <v>311</v>
      </c>
      <c r="P55" s="73" t="str">
        <f t="shared" si="3"/>
        <v>31</v>
      </c>
      <c r="Q55" s="73" t="str">
        <f t="shared" si="4"/>
        <v>31</v>
      </c>
      <c r="R55" s="73" t="str">
        <f t="shared" si="5"/>
        <v>94</v>
      </c>
      <c r="V55" s="73">
        <v>3611</v>
      </c>
      <c r="W55" s="73" t="s">
        <v>86</v>
      </c>
      <c r="Y55" s="283" t="str">
        <f t="shared" si="43"/>
        <v>36</v>
      </c>
      <c r="Z55" s="73" t="str">
        <f t="shared" si="44"/>
        <v>361</v>
      </c>
      <c r="AB55" t="s">
        <v>1627</v>
      </c>
      <c r="AC55" t="s">
        <v>1628</v>
      </c>
      <c r="AD55" s="73" t="s">
        <v>5150</v>
      </c>
      <c r="AE55" s="73" t="s">
        <v>5151</v>
      </c>
      <c r="AF55" s="73" t="s">
        <v>5160</v>
      </c>
      <c r="AG55" s="73" t="s">
        <v>5171</v>
      </c>
    </row>
    <row r="56" spans="1:33">
      <c r="A56" s="355">
        <v>8006</v>
      </c>
      <c r="B56" s="355" t="s">
        <v>45</v>
      </c>
      <c r="C56" s="356">
        <v>31</v>
      </c>
      <c r="D56" s="357" t="s">
        <v>90</v>
      </c>
      <c r="E56" s="356">
        <v>3121</v>
      </c>
      <c r="F56" s="357" t="s">
        <v>50</v>
      </c>
      <c r="G56" s="358" t="s">
        <v>175</v>
      </c>
      <c r="H56" s="357" t="s">
        <v>1231</v>
      </c>
      <c r="I56" s="357" t="str">
        <f t="shared" si="22"/>
        <v>0942</v>
      </c>
      <c r="J56" s="359">
        <v>80000</v>
      </c>
      <c r="K56" s="359">
        <f t="shared" si="1"/>
        <v>0</v>
      </c>
      <c r="L56" s="359">
        <v>80000</v>
      </c>
      <c r="M56" s="81"/>
      <c r="O56" s="73" t="str">
        <f t="shared" si="2"/>
        <v>312</v>
      </c>
      <c r="P56" s="73" t="str">
        <f t="shared" si="3"/>
        <v>31</v>
      </c>
      <c r="Q56" s="73" t="str">
        <f t="shared" si="4"/>
        <v>31</v>
      </c>
      <c r="R56" s="73" t="str">
        <f t="shared" si="5"/>
        <v>94</v>
      </c>
      <c r="V56" s="73">
        <v>3621</v>
      </c>
      <c r="W56" s="73" t="s">
        <v>135</v>
      </c>
      <c r="Y56" s="283" t="str">
        <f t="shared" si="43"/>
        <v>36</v>
      </c>
      <c r="Z56" s="73" t="str">
        <f t="shared" si="44"/>
        <v>362</v>
      </c>
      <c r="AB56" t="s">
        <v>1842</v>
      </c>
      <c r="AC56" t="s">
        <v>1843</v>
      </c>
      <c r="AD56" s="73" t="s">
        <v>5152</v>
      </c>
      <c r="AE56" s="73" t="s">
        <v>5153</v>
      </c>
      <c r="AF56" s="73" t="s">
        <v>5160</v>
      </c>
      <c r="AG56" s="73" t="s">
        <v>5173</v>
      </c>
    </row>
    <row r="57" spans="1:33">
      <c r="A57" s="355">
        <v>8006</v>
      </c>
      <c r="B57" s="355" t="s">
        <v>45</v>
      </c>
      <c r="C57" s="356">
        <v>31</v>
      </c>
      <c r="D57" s="357" t="s">
        <v>90</v>
      </c>
      <c r="E57" s="356">
        <v>3132</v>
      </c>
      <c r="F57" s="357" t="s">
        <v>51</v>
      </c>
      <c r="G57" s="358" t="s">
        <v>175</v>
      </c>
      <c r="H57" s="357" t="s">
        <v>1231</v>
      </c>
      <c r="I57" s="357" t="str">
        <f t="shared" si="22"/>
        <v>0942</v>
      </c>
      <c r="J57" s="359">
        <v>0</v>
      </c>
      <c r="K57" s="359">
        <f t="shared" si="1"/>
        <v>5510</v>
      </c>
      <c r="L57" s="359">
        <v>5510</v>
      </c>
      <c r="M57" s="81"/>
      <c r="O57" s="73" t="str">
        <f t="shared" si="2"/>
        <v>313</v>
      </c>
      <c r="P57" s="73" t="str">
        <f t="shared" si="3"/>
        <v>31</v>
      </c>
      <c r="Q57" s="73" t="str">
        <f t="shared" si="4"/>
        <v>31</v>
      </c>
      <c r="R57" s="73" t="str">
        <f t="shared" si="5"/>
        <v>94</v>
      </c>
      <c r="V57" s="73">
        <v>3631</v>
      </c>
      <c r="W57" s="73" t="s">
        <v>176</v>
      </c>
      <c r="Y57" s="283" t="str">
        <f t="shared" si="43"/>
        <v>36</v>
      </c>
      <c r="Z57" s="73" t="str">
        <f t="shared" si="44"/>
        <v>363</v>
      </c>
      <c r="AB57" t="s">
        <v>1844</v>
      </c>
      <c r="AC57" t="s">
        <v>1845</v>
      </c>
      <c r="AD57" s="73" t="s">
        <v>5152</v>
      </c>
      <c r="AE57" s="73" t="s">
        <v>5153</v>
      </c>
      <c r="AF57" s="73" t="s">
        <v>5160</v>
      </c>
      <c r="AG57" s="73" t="s">
        <v>5173</v>
      </c>
    </row>
    <row r="58" spans="1:33">
      <c r="A58" s="355">
        <v>8006</v>
      </c>
      <c r="B58" s="355" t="s">
        <v>45</v>
      </c>
      <c r="C58" s="356">
        <v>31</v>
      </c>
      <c r="D58" s="357" t="s">
        <v>90</v>
      </c>
      <c r="E58" s="356">
        <v>3211</v>
      </c>
      <c r="F58" s="357" t="s">
        <v>78</v>
      </c>
      <c r="G58" s="358" t="s">
        <v>175</v>
      </c>
      <c r="H58" s="357" t="s">
        <v>1231</v>
      </c>
      <c r="I58" s="357" t="str">
        <f t="shared" si="22"/>
        <v>0942</v>
      </c>
      <c r="J58" s="359">
        <v>0</v>
      </c>
      <c r="K58" s="359">
        <f t="shared" si="1"/>
        <v>0</v>
      </c>
      <c r="L58" s="359">
        <v>0</v>
      </c>
      <c r="M58" s="81"/>
      <c r="O58" s="73" t="str">
        <f t="shared" si="2"/>
        <v>321</v>
      </c>
      <c r="P58" s="73" t="str">
        <f t="shared" si="3"/>
        <v>32</v>
      </c>
      <c r="Q58" s="73" t="str">
        <f t="shared" si="4"/>
        <v>31</v>
      </c>
      <c r="R58" s="73" t="str">
        <f t="shared" si="5"/>
        <v>94</v>
      </c>
      <c r="V58" s="73">
        <v>3632</v>
      </c>
      <c r="W58" s="73" t="s">
        <v>231</v>
      </c>
      <c r="Y58" s="283" t="str">
        <f t="shared" si="43"/>
        <v>36</v>
      </c>
      <c r="Z58" s="73" t="str">
        <f t="shared" si="44"/>
        <v>363</v>
      </c>
      <c r="AB58" t="s">
        <v>1846</v>
      </c>
      <c r="AC58" t="s">
        <v>1847</v>
      </c>
      <c r="AD58" s="73" t="s">
        <v>5152</v>
      </c>
      <c r="AE58" s="73" t="s">
        <v>5153</v>
      </c>
      <c r="AF58" s="73" t="s">
        <v>5160</v>
      </c>
      <c r="AG58" s="73" t="s">
        <v>5173</v>
      </c>
    </row>
    <row r="59" spans="1:33">
      <c r="A59" s="355">
        <v>8006</v>
      </c>
      <c r="B59" s="355" t="s">
        <v>45</v>
      </c>
      <c r="C59" s="356">
        <v>31</v>
      </c>
      <c r="D59" s="357" t="s">
        <v>90</v>
      </c>
      <c r="E59" s="356">
        <v>3811</v>
      </c>
      <c r="F59" s="357" t="s">
        <v>55</v>
      </c>
      <c r="G59" s="358" t="s">
        <v>175</v>
      </c>
      <c r="H59" s="357" t="s">
        <v>1231</v>
      </c>
      <c r="I59" s="357" t="str">
        <f t="shared" si="22"/>
        <v>0942</v>
      </c>
      <c r="J59" s="359">
        <v>3000</v>
      </c>
      <c r="K59" s="359">
        <f t="shared" si="1"/>
        <v>0</v>
      </c>
      <c r="L59" s="359">
        <v>3000</v>
      </c>
      <c r="M59" s="81"/>
      <c r="O59" s="73" t="str">
        <f t="shared" si="2"/>
        <v>381</v>
      </c>
      <c r="P59" s="73" t="str">
        <f t="shared" si="3"/>
        <v>38</v>
      </c>
      <c r="Q59" s="73" t="str">
        <f t="shared" si="4"/>
        <v>31</v>
      </c>
      <c r="R59" s="73" t="str">
        <f t="shared" si="5"/>
        <v>94</v>
      </c>
      <c r="V59" s="73">
        <v>3661</v>
      </c>
      <c r="W59" s="73" t="s">
        <v>97</v>
      </c>
      <c r="Y59" s="283" t="str">
        <f t="shared" si="43"/>
        <v>36</v>
      </c>
      <c r="Z59" s="73" t="str">
        <f t="shared" si="44"/>
        <v>366</v>
      </c>
      <c r="AB59" t="s">
        <v>1848</v>
      </c>
      <c r="AC59" t="s">
        <v>1849</v>
      </c>
      <c r="AD59" s="73" t="s">
        <v>5152</v>
      </c>
      <c r="AE59" s="73" t="s">
        <v>5153</v>
      </c>
      <c r="AF59" s="73" t="s">
        <v>5160</v>
      </c>
      <c r="AG59" s="73" t="s">
        <v>5173</v>
      </c>
    </row>
    <row r="60" spans="1:33">
      <c r="A60" s="355">
        <v>8006</v>
      </c>
      <c r="B60" s="355" t="s">
        <v>45</v>
      </c>
      <c r="C60" s="356">
        <v>31</v>
      </c>
      <c r="D60" s="357" t="s">
        <v>90</v>
      </c>
      <c r="E60" s="356">
        <v>4221</v>
      </c>
      <c r="F60" s="357" t="s">
        <v>94</v>
      </c>
      <c r="G60" s="358" t="s">
        <v>175</v>
      </c>
      <c r="H60" s="357" t="s">
        <v>1231</v>
      </c>
      <c r="I60" s="357" t="str">
        <f t="shared" si="22"/>
        <v>0942</v>
      </c>
      <c r="J60" s="359">
        <v>0</v>
      </c>
      <c r="K60" s="359">
        <f t="shared" si="1"/>
        <v>0</v>
      </c>
      <c r="L60" s="359">
        <v>0</v>
      </c>
      <c r="M60" s="81"/>
      <c r="O60" s="73" t="str">
        <f t="shared" si="2"/>
        <v>422</v>
      </c>
      <c r="P60" s="73" t="str">
        <f t="shared" si="3"/>
        <v>42</v>
      </c>
      <c r="Q60" s="73" t="str">
        <f t="shared" si="4"/>
        <v>31</v>
      </c>
      <c r="R60" s="73" t="str">
        <f t="shared" si="5"/>
        <v>94</v>
      </c>
      <c r="V60" s="73">
        <v>3662</v>
      </c>
      <c r="W60" s="73" t="s">
        <v>179</v>
      </c>
      <c r="Y60" s="283" t="str">
        <f t="shared" si="43"/>
        <v>36</v>
      </c>
      <c r="Z60" s="73" t="str">
        <f t="shared" si="44"/>
        <v>366</v>
      </c>
      <c r="AB60" t="s">
        <v>1850</v>
      </c>
      <c r="AC60" t="s">
        <v>1851</v>
      </c>
      <c r="AD60" s="73" t="s">
        <v>5152</v>
      </c>
      <c r="AE60" s="73" t="s">
        <v>5153</v>
      </c>
      <c r="AF60" s="73" t="s">
        <v>5160</v>
      </c>
      <c r="AG60" s="73" t="s">
        <v>5173</v>
      </c>
    </row>
    <row r="61" spans="1:33">
      <c r="A61" s="355">
        <v>8006</v>
      </c>
      <c r="B61" s="355" t="s">
        <v>45</v>
      </c>
      <c r="C61" s="356">
        <v>31</v>
      </c>
      <c r="D61" s="357" t="s">
        <v>90</v>
      </c>
      <c r="E61" s="356">
        <v>4224</v>
      </c>
      <c r="F61" s="357" t="s">
        <v>110</v>
      </c>
      <c r="G61" s="358" t="s">
        <v>175</v>
      </c>
      <c r="H61" s="357" t="s">
        <v>1231</v>
      </c>
      <c r="I61" s="357" t="str">
        <f t="shared" si="22"/>
        <v>0942</v>
      </c>
      <c r="J61" s="359">
        <v>0</v>
      </c>
      <c r="K61" s="359">
        <f t="shared" si="1"/>
        <v>0</v>
      </c>
      <c r="L61" s="359">
        <v>0</v>
      </c>
      <c r="M61" s="81"/>
      <c r="O61" s="73" t="str">
        <f t="shared" si="2"/>
        <v>422</v>
      </c>
      <c r="P61" s="73" t="str">
        <f t="shared" si="3"/>
        <v>42</v>
      </c>
      <c r="Q61" s="73" t="str">
        <f t="shared" si="4"/>
        <v>31</v>
      </c>
      <c r="R61" s="73" t="str">
        <f t="shared" si="5"/>
        <v>94</v>
      </c>
      <c r="V61" s="73">
        <v>3681</v>
      </c>
      <c r="W61" s="73" t="s">
        <v>26</v>
      </c>
      <c r="Y61" s="283" t="str">
        <f t="shared" si="43"/>
        <v>36</v>
      </c>
      <c r="Z61" s="73" t="str">
        <f t="shared" si="44"/>
        <v>368</v>
      </c>
      <c r="AB61" t="s">
        <v>1852</v>
      </c>
      <c r="AC61" t="s">
        <v>1853</v>
      </c>
      <c r="AD61" s="73" t="s">
        <v>5152</v>
      </c>
      <c r="AE61" s="73" t="s">
        <v>5153</v>
      </c>
      <c r="AF61" s="73" t="s">
        <v>5160</v>
      </c>
      <c r="AG61" s="73" t="s">
        <v>5173</v>
      </c>
    </row>
    <row r="62" spans="1:33">
      <c r="A62" s="355">
        <v>8006</v>
      </c>
      <c r="B62" s="355" t="s">
        <v>45</v>
      </c>
      <c r="C62" s="356">
        <v>31</v>
      </c>
      <c r="D62" s="357" t="s">
        <v>90</v>
      </c>
      <c r="E62" s="356">
        <v>4225</v>
      </c>
      <c r="F62" s="357" t="s">
        <v>114</v>
      </c>
      <c r="G62" s="358" t="s">
        <v>175</v>
      </c>
      <c r="H62" s="357" t="s">
        <v>1231</v>
      </c>
      <c r="I62" s="357" t="str">
        <f t="shared" si="22"/>
        <v>0942</v>
      </c>
      <c r="J62" s="359">
        <v>0</v>
      </c>
      <c r="K62" s="359">
        <f t="shared" si="1"/>
        <v>0</v>
      </c>
      <c r="L62" s="359">
        <v>0</v>
      </c>
      <c r="M62" s="81"/>
      <c r="O62" s="73" t="str">
        <f t="shared" si="2"/>
        <v>422</v>
      </c>
      <c r="P62" s="73" t="str">
        <f t="shared" si="3"/>
        <v>42</v>
      </c>
      <c r="Q62" s="73" t="str">
        <f t="shared" si="4"/>
        <v>31</v>
      </c>
      <c r="R62" s="73" t="str">
        <f t="shared" si="5"/>
        <v>94</v>
      </c>
      <c r="V62" s="73">
        <v>3682</v>
      </c>
      <c r="W62" s="73" t="s">
        <v>27</v>
      </c>
      <c r="Y62" s="283" t="str">
        <f t="shared" si="43"/>
        <v>36</v>
      </c>
      <c r="Z62" s="73" t="str">
        <f t="shared" si="44"/>
        <v>368</v>
      </c>
      <c r="AB62" t="s">
        <v>1854</v>
      </c>
      <c r="AC62" t="s">
        <v>1855</v>
      </c>
      <c r="AD62" s="73" t="s">
        <v>5152</v>
      </c>
      <c r="AE62" s="73" t="s">
        <v>5153</v>
      </c>
      <c r="AF62" s="73" t="s">
        <v>5160</v>
      </c>
      <c r="AG62" s="73" t="s">
        <v>5173</v>
      </c>
    </row>
    <row r="63" spans="1:33">
      <c r="A63" s="355">
        <v>8006</v>
      </c>
      <c r="B63" s="355" t="s">
        <v>45</v>
      </c>
      <c r="C63" s="356">
        <v>31</v>
      </c>
      <c r="D63" s="357" t="s">
        <v>90</v>
      </c>
      <c r="E63" s="356">
        <v>4241</v>
      </c>
      <c r="F63" s="357" t="s">
        <v>105</v>
      </c>
      <c r="G63" s="358" t="s">
        <v>175</v>
      </c>
      <c r="H63" s="357" t="s">
        <v>1231</v>
      </c>
      <c r="I63" s="357" t="str">
        <f t="shared" si="22"/>
        <v>0942</v>
      </c>
      <c r="J63" s="359">
        <v>0</v>
      </c>
      <c r="K63" s="359">
        <f t="shared" si="1"/>
        <v>0</v>
      </c>
      <c r="L63" s="359">
        <v>0</v>
      </c>
      <c r="M63" s="81"/>
      <c r="O63" s="73" t="str">
        <f t="shared" si="2"/>
        <v>424</v>
      </c>
      <c r="P63" s="73" t="str">
        <f t="shared" si="3"/>
        <v>42</v>
      </c>
      <c r="Q63" s="73" t="str">
        <f t="shared" si="4"/>
        <v>31</v>
      </c>
      <c r="R63" s="73" t="str">
        <f t="shared" si="5"/>
        <v>94</v>
      </c>
      <c r="V63" s="73">
        <v>3691</v>
      </c>
      <c r="W63" s="73" t="s">
        <v>102</v>
      </c>
      <c r="Y63" s="283" t="str">
        <f t="shared" si="43"/>
        <v>36</v>
      </c>
      <c r="Z63" s="73" t="str">
        <f t="shared" si="44"/>
        <v>369</v>
      </c>
      <c r="AB63" t="s">
        <v>1856</v>
      </c>
      <c r="AC63" t="s">
        <v>1857</v>
      </c>
      <c r="AD63" s="73" t="s">
        <v>5152</v>
      </c>
      <c r="AE63" s="73" t="s">
        <v>5153</v>
      </c>
      <c r="AF63" s="73" t="s">
        <v>5160</v>
      </c>
      <c r="AG63" s="73" t="s">
        <v>5173</v>
      </c>
    </row>
    <row r="64" spans="1:33">
      <c r="A64" s="355">
        <v>8006</v>
      </c>
      <c r="B64" s="355" t="s">
        <v>45</v>
      </c>
      <c r="C64" s="356">
        <v>43</v>
      </c>
      <c r="D64" s="357" t="s">
        <v>95</v>
      </c>
      <c r="E64" s="356">
        <v>3121</v>
      </c>
      <c r="F64" s="357" t="s">
        <v>50</v>
      </c>
      <c r="G64" s="358" t="s">
        <v>175</v>
      </c>
      <c r="H64" s="357" t="s">
        <v>1231</v>
      </c>
      <c r="I64" s="357" t="str">
        <f t="shared" si="22"/>
        <v>0942</v>
      </c>
      <c r="J64" s="359">
        <v>0</v>
      </c>
      <c r="K64" s="359">
        <f t="shared" si="1"/>
        <v>0</v>
      </c>
      <c r="L64" s="359">
        <v>0</v>
      </c>
      <c r="M64" s="81"/>
      <c r="O64" s="73" t="str">
        <f t="shared" si="2"/>
        <v>312</v>
      </c>
      <c r="P64" s="73" t="str">
        <f t="shared" si="3"/>
        <v>31</v>
      </c>
      <c r="Q64" s="73" t="str">
        <f t="shared" si="4"/>
        <v>43</v>
      </c>
      <c r="R64" s="73" t="str">
        <f t="shared" si="5"/>
        <v>94</v>
      </c>
      <c r="V64" s="73">
        <v>3692</v>
      </c>
      <c r="W64" s="73" t="s">
        <v>174</v>
      </c>
      <c r="Y64" s="283" t="str">
        <f t="shared" si="43"/>
        <v>36</v>
      </c>
      <c r="Z64" s="73" t="str">
        <f t="shared" si="44"/>
        <v>369</v>
      </c>
      <c r="AB64" t="s">
        <v>1858</v>
      </c>
      <c r="AC64" t="s">
        <v>1859</v>
      </c>
      <c r="AD64" s="73" t="s">
        <v>5152</v>
      </c>
      <c r="AE64" s="73" t="s">
        <v>5153</v>
      </c>
      <c r="AF64" s="73" t="s">
        <v>5160</v>
      </c>
      <c r="AG64" s="73" t="s">
        <v>5173</v>
      </c>
    </row>
    <row r="65" spans="1:33">
      <c r="A65" s="355">
        <v>8006</v>
      </c>
      <c r="B65" s="355" t="s">
        <v>45</v>
      </c>
      <c r="C65" s="356">
        <v>43</v>
      </c>
      <c r="D65" s="357" t="s">
        <v>95</v>
      </c>
      <c r="E65" s="356">
        <v>3211</v>
      </c>
      <c r="F65" s="357" t="s">
        <v>78</v>
      </c>
      <c r="G65" s="358" t="s">
        <v>175</v>
      </c>
      <c r="H65" s="357" t="s">
        <v>1231</v>
      </c>
      <c r="I65" s="357" t="str">
        <f t="shared" si="22"/>
        <v>0942</v>
      </c>
      <c r="J65" s="359">
        <v>5000</v>
      </c>
      <c r="K65" s="359">
        <f t="shared" si="1"/>
        <v>0</v>
      </c>
      <c r="L65" s="359">
        <v>5000</v>
      </c>
      <c r="M65" s="81"/>
      <c r="O65" s="73" t="str">
        <f t="shared" si="2"/>
        <v>321</v>
      </c>
      <c r="P65" s="73" t="str">
        <f t="shared" si="3"/>
        <v>32</v>
      </c>
      <c r="Q65" s="73" t="str">
        <f t="shared" si="4"/>
        <v>43</v>
      </c>
      <c r="R65" s="73" t="str">
        <f t="shared" si="5"/>
        <v>94</v>
      </c>
      <c r="V65" s="73">
        <v>3693</v>
      </c>
      <c r="W65" s="73" t="s">
        <v>102</v>
      </c>
      <c r="Y65" s="283" t="str">
        <f t="shared" si="43"/>
        <v>36</v>
      </c>
      <c r="Z65" s="73" t="str">
        <f t="shared" si="44"/>
        <v>369</v>
      </c>
      <c r="AB65" t="s">
        <v>1860</v>
      </c>
      <c r="AC65" t="s">
        <v>1861</v>
      </c>
      <c r="AD65" s="73" t="s">
        <v>5142</v>
      </c>
      <c r="AE65" s="73" t="s">
        <v>5143</v>
      </c>
      <c r="AF65" s="73" t="s">
        <v>5160</v>
      </c>
      <c r="AG65" s="73" t="s">
        <v>5168</v>
      </c>
    </row>
    <row r="66" spans="1:33">
      <c r="A66" s="355">
        <v>8006</v>
      </c>
      <c r="B66" s="355" t="s">
        <v>45</v>
      </c>
      <c r="C66" s="356">
        <v>43</v>
      </c>
      <c r="D66" s="357" t="s">
        <v>95</v>
      </c>
      <c r="E66" s="356">
        <v>3213</v>
      </c>
      <c r="F66" s="357" t="s">
        <v>96</v>
      </c>
      <c r="G66" s="358" t="s">
        <v>175</v>
      </c>
      <c r="H66" s="357" t="s">
        <v>1231</v>
      </c>
      <c r="I66" s="357" t="str">
        <f t="shared" si="22"/>
        <v>0942</v>
      </c>
      <c r="J66" s="359">
        <v>0</v>
      </c>
      <c r="K66" s="359">
        <f t="shared" si="1"/>
        <v>0</v>
      </c>
      <c r="L66" s="359">
        <v>0</v>
      </c>
      <c r="M66" s="81"/>
      <c r="O66" s="73" t="str">
        <f t="shared" si="2"/>
        <v>321</v>
      </c>
      <c r="P66" s="73" t="str">
        <f t="shared" si="3"/>
        <v>32</v>
      </c>
      <c r="Q66" s="73" t="str">
        <f t="shared" si="4"/>
        <v>43</v>
      </c>
      <c r="R66" s="73" t="str">
        <f t="shared" si="5"/>
        <v>94</v>
      </c>
      <c r="V66" s="73">
        <v>3694</v>
      </c>
      <c r="W66" s="73" t="s">
        <v>174</v>
      </c>
      <c r="Y66" s="283" t="str">
        <f t="shared" si="43"/>
        <v>36</v>
      </c>
      <c r="Z66" s="73" t="str">
        <f t="shared" si="44"/>
        <v>369</v>
      </c>
      <c r="AB66" t="s">
        <v>1862</v>
      </c>
      <c r="AC66" t="s">
        <v>1863</v>
      </c>
      <c r="AD66" s="73" t="s">
        <v>5142</v>
      </c>
      <c r="AE66" s="73" t="s">
        <v>5143</v>
      </c>
      <c r="AF66" s="73" t="s">
        <v>5160</v>
      </c>
      <c r="AG66" s="73" t="s">
        <v>5168</v>
      </c>
    </row>
    <row r="67" spans="1:33">
      <c r="A67" s="355">
        <v>8006</v>
      </c>
      <c r="B67" s="355" t="s">
        <v>45</v>
      </c>
      <c r="C67" s="356">
        <v>43</v>
      </c>
      <c r="D67" s="357" t="s">
        <v>95</v>
      </c>
      <c r="E67" s="356">
        <v>3221</v>
      </c>
      <c r="F67" s="357" t="s">
        <v>79</v>
      </c>
      <c r="G67" s="358" t="s">
        <v>175</v>
      </c>
      <c r="H67" s="357" t="s">
        <v>1231</v>
      </c>
      <c r="I67" s="357" t="str">
        <f t="shared" ref="I67:I99" si="45">IFERROR(VLOOKUP(G67,$AB$6:$AF$321,3,FALSE),"")</f>
        <v>0942</v>
      </c>
      <c r="J67" s="359">
        <v>15000</v>
      </c>
      <c r="K67" s="359">
        <f t="shared" si="1"/>
        <v>0</v>
      </c>
      <c r="L67" s="359">
        <v>15000</v>
      </c>
      <c r="M67" s="81"/>
      <c r="O67" s="73" t="str">
        <f t="shared" si="2"/>
        <v>322</v>
      </c>
      <c r="P67" s="73" t="str">
        <f t="shared" si="3"/>
        <v>32</v>
      </c>
      <c r="Q67" s="73" t="str">
        <f t="shared" si="4"/>
        <v>43</v>
      </c>
      <c r="R67" s="73" t="str">
        <f t="shared" si="5"/>
        <v>94</v>
      </c>
      <c r="V67" s="73">
        <v>3711</v>
      </c>
      <c r="W67" s="73" t="s">
        <v>121</v>
      </c>
      <c r="Y67" s="283" t="str">
        <f t="shared" si="43"/>
        <v>37</v>
      </c>
      <c r="Z67" s="73" t="str">
        <f t="shared" si="44"/>
        <v>371</v>
      </c>
      <c r="AB67" t="s">
        <v>1864</v>
      </c>
      <c r="AC67" t="s">
        <v>1865</v>
      </c>
      <c r="AD67" s="73" t="s">
        <v>5142</v>
      </c>
      <c r="AE67" s="73" t="s">
        <v>5143</v>
      </c>
      <c r="AF67" s="73" t="s">
        <v>5160</v>
      </c>
      <c r="AG67" s="73" t="s">
        <v>5168</v>
      </c>
    </row>
    <row r="68" spans="1:33">
      <c r="A68" s="355">
        <v>8006</v>
      </c>
      <c r="B68" s="355" t="s">
        <v>45</v>
      </c>
      <c r="C68" s="356">
        <v>43</v>
      </c>
      <c r="D68" s="357" t="s">
        <v>95</v>
      </c>
      <c r="E68" s="356">
        <v>3223</v>
      </c>
      <c r="F68" s="357" t="s">
        <v>87</v>
      </c>
      <c r="G68" s="358" t="s">
        <v>175</v>
      </c>
      <c r="H68" s="357" t="s">
        <v>1231</v>
      </c>
      <c r="I68" s="357" t="str">
        <f t="shared" si="45"/>
        <v>0942</v>
      </c>
      <c r="J68" s="359">
        <v>0</v>
      </c>
      <c r="K68" s="359">
        <f t="shared" ref="K68:K116" si="46">L68-J68</f>
        <v>0</v>
      </c>
      <c r="L68" s="359">
        <v>0</v>
      </c>
      <c r="M68" s="81"/>
      <c r="O68" s="73" t="str">
        <f t="shared" si="2"/>
        <v>322</v>
      </c>
      <c r="P68" s="73" t="str">
        <f t="shared" si="3"/>
        <v>32</v>
      </c>
      <c r="Q68" s="73" t="str">
        <f t="shared" si="4"/>
        <v>43</v>
      </c>
      <c r="R68" s="73" t="str">
        <f t="shared" si="5"/>
        <v>94</v>
      </c>
      <c r="V68" s="73">
        <v>3712</v>
      </c>
      <c r="W68" s="73" t="s">
        <v>139</v>
      </c>
      <c r="Y68" s="283" t="str">
        <f t="shared" si="43"/>
        <v>37</v>
      </c>
      <c r="Z68" s="73" t="str">
        <f t="shared" si="44"/>
        <v>371</v>
      </c>
      <c r="AB68" t="s">
        <v>1866</v>
      </c>
      <c r="AC68" t="s">
        <v>1867</v>
      </c>
      <c r="AD68" s="73" t="s">
        <v>5152</v>
      </c>
      <c r="AE68" s="73" t="s">
        <v>5153</v>
      </c>
      <c r="AF68" s="73" t="s">
        <v>5160</v>
      </c>
      <c r="AG68" s="73" t="s">
        <v>5173</v>
      </c>
    </row>
    <row r="69" spans="1:33">
      <c r="A69" s="355">
        <v>8006</v>
      </c>
      <c r="B69" s="355" t="s">
        <v>45</v>
      </c>
      <c r="C69" s="356">
        <v>43</v>
      </c>
      <c r="D69" s="357" t="s">
        <v>95</v>
      </c>
      <c r="E69" s="356">
        <v>3224</v>
      </c>
      <c r="F69" s="357" t="s">
        <v>92</v>
      </c>
      <c r="G69" s="358" t="s">
        <v>175</v>
      </c>
      <c r="H69" s="357" t="s">
        <v>1231</v>
      </c>
      <c r="I69" s="357" t="str">
        <f t="shared" si="45"/>
        <v>0942</v>
      </c>
      <c r="J69" s="359">
        <v>0</v>
      </c>
      <c r="K69" s="359">
        <f t="shared" si="46"/>
        <v>0</v>
      </c>
      <c r="L69" s="359">
        <v>0</v>
      </c>
      <c r="M69" s="81"/>
      <c r="O69" s="73" t="str">
        <f t="shared" si="2"/>
        <v>322</v>
      </c>
      <c r="P69" s="73" t="str">
        <f t="shared" si="3"/>
        <v>32</v>
      </c>
      <c r="Q69" s="73" t="str">
        <f t="shared" si="4"/>
        <v>43</v>
      </c>
      <c r="R69" s="73" t="str">
        <f t="shared" si="5"/>
        <v>94</v>
      </c>
      <c r="V69" s="73">
        <v>3713</v>
      </c>
      <c r="W69" s="73" t="s">
        <v>166</v>
      </c>
      <c r="Y69" s="283" t="str">
        <f t="shared" si="43"/>
        <v>37</v>
      </c>
      <c r="Z69" s="73" t="str">
        <f t="shared" si="44"/>
        <v>371</v>
      </c>
      <c r="AB69" t="s">
        <v>1869</v>
      </c>
      <c r="AC69" t="s">
        <v>1870</v>
      </c>
      <c r="AD69" s="73" t="s">
        <v>5142</v>
      </c>
      <c r="AE69" s="73" t="s">
        <v>5143</v>
      </c>
      <c r="AF69" s="73" t="s">
        <v>5160</v>
      </c>
      <c r="AG69" s="73" t="s">
        <v>5168</v>
      </c>
    </row>
    <row r="70" spans="1:33">
      <c r="A70" s="355">
        <v>8006</v>
      </c>
      <c r="B70" s="355" t="s">
        <v>45</v>
      </c>
      <c r="C70" s="356">
        <v>43</v>
      </c>
      <c r="D70" s="357" t="s">
        <v>95</v>
      </c>
      <c r="E70" s="356">
        <v>3225</v>
      </c>
      <c r="F70" s="357" t="s">
        <v>99</v>
      </c>
      <c r="G70" s="358" t="s">
        <v>175</v>
      </c>
      <c r="H70" s="357" t="s">
        <v>1231</v>
      </c>
      <c r="I70" s="357" t="str">
        <f t="shared" si="45"/>
        <v>0942</v>
      </c>
      <c r="J70" s="359">
        <v>0</v>
      </c>
      <c r="K70" s="359">
        <f t="shared" si="46"/>
        <v>0</v>
      </c>
      <c r="L70" s="359">
        <v>0</v>
      </c>
      <c r="M70" s="81"/>
      <c r="O70" s="73" t="str">
        <f t="shared" si="2"/>
        <v>322</v>
      </c>
      <c r="P70" s="73" t="str">
        <f t="shared" si="3"/>
        <v>32</v>
      </c>
      <c r="Q70" s="73" t="str">
        <f t="shared" si="4"/>
        <v>43</v>
      </c>
      <c r="R70" s="73" t="str">
        <f t="shared" si="5"/>
        <v>94</v>
      </c>
      <c r="V70" s="73">
        <v>3714</v>
      </c>
      <c r="W70" s="73" t="s">
        <v>185</v>
      </c>
      <c r="Y70" s="283" t="str">
        <f t="shared" si="43"/>
        <v>37</v>
      </c>
      <c r="Z70" s="73" t="str">
        <f t="shared" si="44"/>
        <v>371</v>
      </c>
      <c r="AB70" t="s">
        <v>1871</v>
      </c>
      <c r="AC70" t="s">
        <v>1872</v>
      </c>
      <c r="AD70" s="73" t="s">
        <v>5136</v>
      </c>
      <c r="AE70" s="73" t="s">
        <v>5137</v>
      </c>
      <c r="AF70" s="73" t="s">
        <v>5162</v>
      </c>
      <c r="AG70" s="73" t="s">
        <v>5163</v>
      </c>
    </row>
    <row r="71" spans="1:33">
      <c r="A71" s="355">
        <v>8006</v>
      </c>
      <c r="B71" s="355" t="s">
        <v>45</v>
      </c>
      <c r="C71" s="356">
        <v>43</v>
      </c>
      <c r="D71" s="357" t="s">
        <v>95</v>
      </c>
      <c r="E71" s="356">
        <v>3227</v>
      </c>
      <c r="F71" s="357" t="s">
        <v>116</v>
      </c>
      <c r="G71" s="358" t="s">
        <v>175</v>
      </c>
      <c r="H71" s="357" t="s">
        <v>1231</v>
      </c>
      <c r="I71" s="357" t="str">
        <f t="shared" si="45"/>
        <v>0942</v>
      </c>
      <c r="J71" s="359">
        <v>0</v>
      </c>
      <c r="K71" s="359">
        <f t="shared" si="46"/>
        <v>0</v>
      </c>
      <c r="L71" s="359">
        <v>0</v>
      </c>
      <c r="M71" s="81"/>
      <c r="O71" s="73" t="str">
        <f t="shared" ref="O71:O128" si="47">LEFT(E71,3)</f>
        <v>322</v>
      </c>
      <c r="P71" s="73" t="str">
        <f t="shared" ref="P71:P128" si="48">LEFT(E71,2)</f>
        <v>32</v>
      </c>
      <c r="Q71" s="73" t="str">
        <f t="shared" ref="Q71:Q128" si="49">LEFT(C71,3)</f>
        <v>43</v>
      </c>
      <c r="R71" s="73" t="str">
        <f t="shared" ref="R71:R128" si="50">MID(I71,2,2)</f>
        <v>94</v>
      </c>
      <c r="V71" s="73">
        <v>3715</v>
      </c>
      <c r="W71" s="73" t="s">
        <v>125</v>
      </c>
      <c r="Y71" s="283" t="str">
        <f t="shared" si="43"/>
        <v>37</v>
      </c>
      <c r="Z71" s="73" t="str">
        <f t="shared" si="44"/>
        <v>371</v>
      </c>
      <c r="AB71" t="s">
        <v>1873</v>
      </c>
      <c r="AC71" t="s">
        <v>1874</v>
      </c>
      <c r="AD71" s="73" t="s">
        <v>5136</v>
      </c>
      <c r="AE71" s="73" t="s">
        <v>5137</v>
      </c>
      <c r="AF71" s="73" t="s">
        <v>5162</v>
      </c>
      <c r="AG71" s="73" t="s">
        <v>5163</v>
      </c>
    </row>
    <row r="72" spans="1:33">
      <c r="A72" s="355">
        <v>8006</v>
      </c>
      <c r="B72" s="355" t="s">
        <v>45</v>
      </c>
      <c r="C72" s="356">
        <v>43</v>
      </c>
      <c r="D72" s="357" t="s">
        <v>95</v>
      </c>
      <c r="E72" s="356">
        <v>3231</v>
      </c>
      <c r="F72" s="357" t="s">
        <v>100</v>
      </c>
      <c r="G72" s="358" t="s">
        <v>175</v>
      </c>
      <c r="H72" s="357" t="s">
        <v>1231</v>
      </c>
      <c r="I72" s="357" t="str">
        <f t="shared" si="45"/>
        <v>0942</v>
      </c>
      <c r="J72" s="359">
        <v>10000</v>
      </c>
      <c r="K72" s="359">
        <f t="shared" si="46"/>
        <v>0</v>
      </c>
      <c r="L72" s="359">
        <v>10000</v>
      </c>
      <c r="M72" s="81"/>
      <c r="O72" s="73" t="str">
        <f t="shared" si="47"/>
        <v>323</v>
      </c>
      <c r="P72" s="73" t="str">
        <f t="shared" si="48"/>
        <v>32</v>
      </c>
      <c r="Q72" s="73" t="str">
        <f t="shared" si="49"/>
        <v>43</v>
      </c>
      <c r="R72" s="73" t="str">
        <f t="shared" si="50"/>
        <v>94</v>
      </c>
      <c r="V72" s="73">
        <v>3721</v>
      </c>
      <c r="W72" s="73" t="s">
        <v>65</v>
      </c>
      <c r="Y72" s="283" t="str">
        <f t="shared" si="43"/>
        <v>37</v>
      </c>
      <c r="Z72" s="73" t="str">
        <f t="shared" si="44"/>
        <v>372</v>
      </c>
      <c r="AB72" t="s">
        <v>1875</v>
      </c>
      <c r="AC72" t="s">
        <v>1876</v>
      </c>
      <c r="AD72" s="73" t="s">
        <v>5136</v>
      </c>
      <c r="AE72" s="73" t="s">
        <v>5137</v>
      </c>
      <c r="AF72" s="73" t="s">
        <v>5162</v>
      </c>
      <c r="AG72" s="73" t="s">
        <v>5163</v>
      </c>
    </row>
    <row r="73" spans="1:33">
      <c r="A73" s="355">
        <v>8006</v>
      </c>
      <c r="B73" s="355" t="s">
        <v>45</v>
      </c>
      <c r="C73" s="356">
        <v>43</v>
      </c>
      <c r="D73" s="357" t="s">
        <v>95</v>
      </c>
      <c r="E73" s="356">
        <v>3232</v>
      </c>
      <c r="F73" s="357" t="s">
        <v>88</v>
      </c>
      <c r="G73" s="358" t="s">
        <v>175</v>
      </c>
      <c r="H73" s="357" t="s">
        <v>1231</v>
      </c>
      <c r="I73" s="357" t="str">
        <f t="shared" si="45"/>
        <v>0942</v>
      </c>
      <c r="J73" s="359">
        <v>0</v>
      </c>
      <c r="K73" s="359">
        <f t="shared" si="46"/>
        <v>0</v>
      </c>
      <c r="L73" s="359">
        <v>0</v>
      </c>
      <c r="M73" s="81"/>
      <c r="O73" s="73" t="str">
        <f t="shared" si="47"/>
        <v>323</v>
      </c>
      <c r="P73" s="73" t="str">
        <f t="shared" si="48"/>
        <v>32</v>
      </c>
      <c r="Q73" s="73" t="str">
        <f t="shared" si="49"/>
        <v>43</v>
      </c>
      <c r="R73" s="73" t="str">
        <f t="shared" si="50"/>
        <v>94</v>
      </c>
      <c r="V73" s="73">
        <v>3722</v>
      </c>
      <c r="W73" s="73" t="s">
        <v>148</v>
      </c>
      <c r="Y73" s="283" t="str">
        <f t="shared" si="43"/>
        <v>37</v>
      </c>
      <c r="Z73" s="73" t="str">
        <f t="shared" si="44"/>
        <v>372</v>
      </c>
      <c r="AB73" t="s">
        <v>1877</v>
      </c>
      <c r="AC73" t="s">
        <v>1878</v>
      </c>
      <c r="AD73" s="73" t="s">
        <v>5136</v>
      </c>
      <c r="AE73" s="73" t="s">
        <v>5137</v>
      </c>
      <c r="AF73" s="73" t="s">
        <v>5162</v>
      </c>
      <c r="AG73" s="73" t="s">
        <v>5163</v>
      </c>
    </row>
    <row r="74" spans="1:33">
      <c r="A74" s="355">
        <v>8006</v>
      </c>
      <c r="B74" s="355" t="s">
        <v>45</v>
      </c>
      <c r="C74" s="356">
        <v>43</v>
      </c>
      <c r="D74" s="357" t="s">
        <v>95</v>
      </c>
      <c r="E74" s="356">
        <v>3233</v>
      </c>
      <c r="F74" s="357" t="s">
        <v>77</v>
      </c>
      <c r="G74" s="358" t="s">
        <v>175</v>
      </c>
      <c r="H74" s="357" t="s">
        <v>1231</v>
      </c>
      <c r="I74" s="357" t="str">
        <f t="shared" si="45"/>
        <v>0942</v>
      </c>
      <c r="J74" s="359">
        <v>5000</v>
      </c>
      <c r="K74" s="359">
        <f t="shared" si="46"/>
        <v>0</v>
      </c>
      <c r="L74" s="359">
        <v>5000</v>
      </c>
      <c r="M74" s="81"/>
      <c r="O74" s="73" t="str">
        <f t="shared" si="47"/>
        <v>323</v>
      </c>
      <c r="P74" s="73" t="str">
        <f t="shared" si="48"/>
        <v>32</v>
      </c>
      <c r="Q74" s="73" t="str">
        <f t="shared" si="49"/>
        <v>43</v>
      </c>
      <c r="R74" s="73" t="str">
        <f t="shared" si="50"/>
        <v>94</v>
      </c>
      <c r="V74" s="73">
        <v>3723</v>
      </c>
      <c r="W74" s="73" t="s">
        <v>103</v>
      </c>
      <c r="Y74" s="283" t="str">
        <f t="shared" si="43"/>
        <v>37</v>
      </c>
      <c r="Z74" s="73" t="str">
        <f t="shared" si="44"/>
        <v>372</v>
      </c>
      <c r="AB74" t="s">
        <v>1879</v>
      </c>
      <c r="AC74" t="s">
        <v>1880</v>
      </c>
      <c r="AD74" s="73" t="s">
        <v>5136</v>
      </c>
      <c r="AE74" s="73" t="s">
        <v>5137</v>
      </c>
      <c r="AF74" s="73" t="s">
        <v>5162</v>
      </c>
      <c r="AG74" s="73" t="s">
        <v>5163</v>
      </c>
    </row>
    <row r="75" spans="1:33">
      <c r="A75" s="355">
        <v>8006</v>
      </c>
      <c r="B75" s="355" t="s">
        <v>45</v>
      </c>
      <c r="C75" s="356">
        <v>43</v>
      </c>
      <c r="D75" s="357" t="s">
        <v>95</v>
      </c>
      <c r="E75" s="356">
        <v>3234</v>
      </c>
      <c r="F75" s="357" t="s">
        <v>89</v>
      </c>
      <c r="G75" s="358" t="s">
        <v>175</v>
      </c>
      <c r="H75" s="357" t="s">
        <v>1231</v>
      </c>
      <c r="I75" s="357" t="str">
        <f t="shared" si="45"/>
        <v>0942</v>
      </c>
      <c r="J75" s="359">
        <v>0</v>
      </c>
      <c r="K75" s="359">
        <f t="shared" si="46"/>
        <v>0</v>
      </c>
      <c r="L75" s="359">
        <v>0</v>
      </c>
      <c r="M75" s="81"/>
      <c r="O75" s="73" t="str">
        <f t="shared" si="47"/>
        <v>323</v>
      </c>
      <c r="P75" s="73" t="str">
        <f t="shared" si="48"/>
        <v>32</v>
      </c>
      <c r="Q75" s="73" t="str">
        <f t="shared" si="49"/>
        <v>43</v>
      </c>
      <c r="R75" s="73" t="str">
        <f t="shared" si="50"/>
        <v>94</v>
      </c>
      <c r="V75" s="73">
        <v>3811</v>
      </c>
      <c r="W75" s="73" t="s">
        <v>55</v>
      </c>
      <c r="Y75" s="283" t="str">
        <f t="shared" si="43"/>
        <v>38</v>
      </c>
      <c r="Z75" s="73" t="str">
        <f t="shared" si="44"/>
        <v>381</v>
      </c>
      <c r="AB75" t="s">
        <v>1881</v>
      </c>
      <c r="AC75" t="s">
        <v>1882</v>
      </c>
      <c r="AD75" s="73" t="s">
        <v>5136</v>
      </c>
      <c r="AE75" s="73" t="s">
        <v>5137</v>
      </c>
      <c r="AF75" s="73" t="s">
        <v>5162</v>
      </c>
      <c r="AG75" s="73" t="s">
        <v>5163</v>
      </c>
    </row>
    <row r="76" spans="1:33">
      <c r="A76" s="355">
        <v>8006</v>
      </c>
      <c r="B76" s="355" t="s">
        <v>45</v>
      </c>
      <c r="C76" s="356">
        <v>43</v>
      </c>
      <c r="D76" s="357" t="s">
        <v>95</v>
      </c>
      <c r="E76" s="356">
        <v>3235</v>
      </c>
      <c r="F76" s="357" t="s">
        <v>108</v>
      </c>
      <c r="G76" s="358" t="s">
        <v>175</v>
      </c>
      <c r="H76" s="357" t="s">
        <v>1231</v>
      </c>
      <c r="I76" s="357" t="str">
        <f t="shared" si="45"/>
        <v>0942</v>
      </c>
      <c r="J76" s="359">
        <v>1600</v>
      </c>
      <c r="K76" s="359">
        <f t="shared" si="46"/>
        <v>0</v>
      </c>
      <c r="L76" s="359">
        <v>1600</v>
      </c>
      <c r="M76" s="81"/>
      <c r="O76" s="73" t="str">
        <f t="shared" si="47"/>
        <v>323</v>
      </c>
      <c r="P76" s="73" t="str">
        <f t="shared" si="48"/>
        <v>32</v>
      </c>
      <c r="Q76" s="73" t="str">
        <f t="shared" si="49"/>
        <v>43</v>
      </c>
      <c r="R76" s="73" t="str">
        <f t="shared" si="50"/>
        <v>94</v>
      </c>
      <c r="V76" s="73">
        <v>3812</v>
      </c>
      <c r="W76" s="73" t="s">
        <v>149</v>
      </c>
      <c r="Y76" s="283" t="str">
        <f t="shared" si="43"/>
        <v>38</v>
      </c>
      <c r="Z76" s="73" t="str">
        <f t="shared" si="44"/>
        <v>381</v>
      </c>
      <c r="AB76" t="s">
        <v>953</v>
      </c>
      <c r="AC76" t="s">
        <v>954</v>
      </c>
      <c r="AD76" s="73" t="s">
        <v>5136</v>
      </c>
      <c r="AE76" s="73" t="s">
        <v>5137</v>
      </c>
      <c r="AF76" s="73" t="s">
        <v>5162</v>
      </c>
      <c r="AG76" s="73" t="s">
        <v>5163</v>
      </c>
    </row>
    <row r="77" spans="1:33">
      <c r="A77" s="355">
        <v>8006</v>
      </c>
      <c r="B77" s="355" t="s">
        <v>45</v>
      </c>
      <c r="C77" s="356">
        <v>43</v>
      </c>
      <c r="D77" s="357" t="s">
        <v>95</v>
      </c>
      <c r="E77" s="356">
        <v>3236</v>
      </c>
      <c r="F77" s="357" t="s">
        <v>53</v>
      </c>
      <c r="G77" s="358" t="s">
        <v>175</v>
      </c>
      <c r="H77" s="357" t="s">
        <v>1231</v>
      </c>
      <c r="I77" s="357" t="str">
        <f t="shared" si="45"/>
        <v>0942</v>
      </c>
      <c r="J77" s="359">
        <v>0</v>
      </c>
      <c r="K77" s="359">
        <f t="shared" si="46"/>
        <v>0</v>
      </c>
      <c r="L77" s="359">
        <v>0</v>
      </c>
      <c r="M77" s="81"/>
      <c r="O77" s="73" t="str">
        <f t="shared" si="47"/>
        <v>323</v>
      </c>
      <c r="P77" s="73" t="str">
        <f t="shared" si="48"/>
        <v>32</v>
      </c>
      <c r="Q77" s="73" t="str">
        <f t="shared" si="49"/>
        <v>43</v>
      </c>
      <c r="R77" s="73" t="str">
        <f t="shared" si="50"/>
        <v>94</v>
      </c>
      <c r="V77" s="73">
        <v>3813</v>
      </c>
      <c r="W77" s="73" t="s">
        <v>93</v>
      </c>
      <c r="Y77" s="283" t="str">
        <f t="shared" ref="Y77:Y84" si="51">LEFT(V77,2)</f>
        <v>38</v>
      </c>
      <c r="Z77" s="73" t="str">
        <f t="shared" ref="Z77:Z84" si="52">LEFT(V77,3)</f>
        <v>381</v>
      </c>
      <c r="AB77" t="s">
        <v>1883</v>
      </c>
      <c r="AC77" t="s">
        <v>1884</v>
      </c>
      <c r="AD77" s="73" t="s">
        <v>5138</v>
      </c>
      <c r="AE77" s="73" t="s">
        <v>5139</v>
      </c>
      <c r="AF77" s="73" t="s">
        <v>5160</v>
      </c>
      <c r="AG77" s="73" t="s">
        <v>5170</v>
      </c>
    </row>
    <row r="78" spans="1:33">
      <c r="A78" s="355">
        <v>8006</v>
      </c>
      <c r="B78" s="355" t="s">
        <v>45</v>
      </c>
      <c r="C78" s="356">
        <v>43</v>
      </c>
      <c r="D78" s="357" t="s">
        <v>95</v>
      </c>
      <c r="E78" s="356">
        <v>3237</v>
      </c>
      <c r="F78" s="357" t="s">
        <v>66</v>
      </c>
      <c r="G78" s="358" t="s">
        <v>175</v>
      </c>
      <c r="H78" s="357" t="s">
        <v>1231</v>
      </c>
      <c r="I78" s="357" t="str">
        <f t="shared" si="45"/>
        <v>0942</v>
      </c>
      <c r="J78" s="359">
        <v>150000</v>
      </c>
      <c r="K78" s="359">
        <f t="shared" si="46"/>
        <v>0</v>
      </c>
      <c r="L78" s="359">
        <v>150000</v>
      </c>
      <c r="M78" s="81"/>
      <c r="O78" s="73" t="str">
        <f t="shared" si="47"/>
        <v>323</v>
      </c>
      <c r="P78" s="73" t="str">
        <f t="shared" si="48"/>
        <v>32</v>
      </c>
      <c r="Q78" s="73" t="str">
        <f t="shared" si="49"/>
        <v>43</v>
      </c>
      <c r="R78" s="73" t="str">
        <f t="shared" si="50"/>
        <v>94</v>
      </c>
      <c r="V78" s="73">
        <v>3821</v>
      </c>
      <c r="W78" s="73" t="s">
        <v>167</v>
      </c>
      <c r="Y78" s="283" t="str">
        <f t="shared" si="51"/>
        <v>38</v>
      </c>
      <c r="Z78" s="73" t="str">
        <f t="shared" si="52"/>
        <v>382</v>
      </c>
      <c r="AB78" t="s">
        <v>3458</v>
      </c>
      <c r="AC78" t="s">
        <v>3459</v>
      </c>
      <c r="AD78" s="73" t="s">
        <v>5138</v>
      </c>
      <c r="AE78" s="73" t="s">
        <v>5139</v>
      </c>
      <c r="AF78" s="73" t="s">
        <v>5160</v>
      </c>
      <c r="AG78" s="73" t="s">
        <v>5170</v>
      </c>
    </row>
    <row r="79" spans="1:33">
      <c r="A79" s="355">
        <v>8006</v>
      </c>
      <c r="B79" s="355" t="s">
        <v>45</v>
      </c>
      <c r="C79" s="356">
        <v>43</v>
      </c>
      <c r="D79" s="357" t="s">
        <v>95</v>
      </c>
      <c r="E79" s="356">
        <v>3238</v>
      </c>
      <c r="F79" s="357" t="s">
        <v>101</v>
      </c>
      <c r="G79" s="358" t="s">
        <v>175</v>
      </c>
      <c r="H79" s="357" t="s">
        <v>1231</v>
      </c>
      <c r="I79" s="357" t="str">
        <f t="shared" si="45"/>
        <v>0942</v>
      </c>
      <c r="J79" s="359">
        <v>100</v>
      </c>
      <c r="K79" s="359">
        <f t="shared" si="46"/>
        <v>0</v>
      </c>
      <c r="L79" s="359">
        <v>100</v>
      </c>
      <c r="M79" s="81"/>
      <c r="O79" s="73" t="str">
        <f t="shared" ref="O79" si="53">LEFT(E79,3)</f>
        <v>323</v>
      </c>
      <c r="P79" s="73" t="str">
        <f t="shared" ref="P79" si="54">LEFT(E79,2)</f>
        <v>32</v>
      </c>
      <c r="Q79" s="73" t="str">
        <f t="shared" ref="Q79" si="55">LEFT(C79,3)</f>
        <v>43</v>
      </c>
      <c r="R79" s="73" t="str">
        <f t="shared" ref="R79" si="56">MID(I79,2,2)</f>
        <v>94</v>
      </c>
      <c r="V79" s="73">
        <v>3831</v>
      </c>
      <c r="W79" s="73" t="s">
        <v>150</v>
      </c>
      <c r="Y79" s="283" t="str">
        <f t="shared" ref="Y79" si="57">LEFT(V79,2)</f>
        <v>38</v>
      </c>
      <c r="Z79" s="73" t="str">
        <f t="shared" ref="Z79" si="58">LEFT(V79,3)</f>
        <v>383</v>
      </c>
      <c r="AB79" t="s">
        <v>1885</v>
      </c>
      <c r="AC79" t="s">
        <v>1886</v>
      </c>
      <c r="AD79" s="73" t="s">
        <v>5136</v>
      </c>
      <c r="AE79" s="73" t="s">
        <v>5137</v>
      </c>
      <c r="AF79" s="73" t="s">
        <v>5162</v>
      </c>
      <c r="AG79" s="73" t="s">
        <v>5163</v>
      </c>
    </row>
    <row r="80" spans="1:33">
      <c r="A80" s="355">
        <v>8006</v>
      </c>
      <c r="B80" s="355" t="s">
        <v>45</v>
      </c>
      <c r="C80" s="356">
        <v>43</v>
      </c>
      <c r="D80" s="357" t="s">
        <v>95</v>
      </c>
      <c r="E80" s="356">
        <v>3239</v>
      </c>
      <c r="F80" s="357" t="s">
        <v>82</v>
      </c>
      <c r="G80" s="358" t="s">
        <v>175</v>
      </c>
      <c r="H80" s="357" t="s">
        <v>1231</v>
      </c>
      <c r="I80" s="357" t="str">
        <f t="shared" si="45"/>
        <v>0942</v>
      </c>
      <c r="J80" s="359">
        <v>25000</v>
      </c>
      <c r="K80" s="359">
        <f t="shared" si="46"/>
        <v>0</v>
      </c>
      <c r="L80" s="359">
        <v>25000</v>
      </c>
      <c r="M80" s="81"/>
      <c r="O80" s="73" t="str">
        <f t="shared" si="47"/>
        <v>323</v>
      </c>
      <c r="P80" s="73" t="str">
        <f t="shared" si="48"/>
        <v>32</v>
      </c>
      <c r="Q80" s="73" t="str">
        <f t="shared" si="49"/>
        <v>43</v>
      </c>
      <c r="R80" s="73" t="str">
        <f t="shared" si="50"/>
        <v>94</v>
      </c>
      <c r="V80" s="73">
        <v>3831</v>
      </c>
      <c r="W80" s="73" t="s">
        <v>150</v>
      </c>
      <c r="Y80" s="283" t="str">
        <f t="shared" si="51"/>
        <v>38</v>
      </c>
      <c r="Z80" s="73" t="str">
        <f t="shared" si="52"/>
        <v>383</v>
      </c>
      <c r="AB80" t="s">
        <v>1885</v>
      </c>
      <c r="AC80" t="s">
        <v>1886</v>
      </c>
      <c r="AD80" s="73" t="s">
        <v>5136</v>
      </c>
      <c r="AE80" s="73" t="s">
        <v>5137</v>
      </c>
      <c r="AF80" s="73" t="s">
        <v>5162</v>
      </c>
      <c r="AG80" s="73" t="s">
        <v>5163</v>
      </c>
    </row>
    <row r="81" spans="1:33">
      <c r="A81" s="355">
        <v>8006</v>
      </c>
      <c r="B81" s="355" t="s">
        <v>45</v>
      </c>
      <c r="C81" s="356">
        <v>43</v>
      </c>
      <c r="D81" s="357" t="s">
        <v>95</v>
      </c>
      <c r="E81" s="356">
        <v>3241</v>
      </c>
      <c r="F81" s="357" t="s">
        <v>80</v>
      </c>
      <c r="G81" s="358" t="s">
        <v>175</v>
      </c>
      <c r="H81" s="357" t="s">
        <v>1231</v>
      </c>
      <c r="I81" s="357" t="str">
        <f t="shared" si="45"/>
        <v>0942</v>
      </c>
      <c r="J81" s="359">
        <v>50000</v>
      </c>
      <c r="K81" s="359">
        <f t="shared" si="46"/>
        <v>0</v>
      </c>
      <c r="L81" s="359">
        <v>50000</v>
      </c>
      <c r="M81" s="81"/>
      <c r="O81" s="73" t="str">
        <f t="shared" si="47"/>
        <v>324</v>
      </c>
      <c r="P81" s="73" t="str">
        <f t="shared" si="48"/>
        <v>32</v>
      </c>
      <c r="Q81" s="73" t="str">
        <f t="shared" si="49"/>
        <v>43</v>
      </c>
      <c r="R81" s="73" t="str">
        <f t="shared" si="50"/>
        <v>94</v>
      </c>
      <c r="V81" s="73">
        <v>3832</v>
      </c>
      <c r="W81" s="73" t="s">
        <v>188</v>
      </c>
      <c r="Y81" s="283" t="str">
        <f t="shared" si="51"/>
        <v>38</v>
      </c>
      <c r="Z81" s="73" t="str">
        <f t="shared" si="52"/>
        <v>383</v>
      </c>
      <c r="AB81" t="s">
        <v>1887</v>
      </c>
      <c r="AC81" t="s">
        <v>1888</v>
      </c>
      <c r="AD81" s="73" t="s">
        <v>5138</v>
      </c>
      <c r="AE81" s="73" t="s">
        <v>5139</v>
      </c>
      <c r="AF81" s="73" t="s">
        <v>5160</v>
      </c>
      <c r="AG81" s="73" t="s">
        <v>5170</v>
      </c>
    </row>
    <row r="82" spans="1:33">
      <c r="A82" s="355">
        <v>8006</v>
      </c>
      <c r="B82" s="355" t="s">
        <v>45</v>
      </c>
      <c r="C82" s="356">
        <v>43</v>
      </c>
      <c r="D82" s="357" t="s">
        <v>95</v>
      </c>
      <c r="E82" s="356">
        <v>3292</v>
      </c>
      <c r="F82" s="357" t="s">
        <v>74</v>
      </c>
      <c r="G82" s="358" t="s">
        <v>175</v>
      </c>
      <c r="H82" s="357" t="s">
        <v>1231</v>
      </c>
      <c r="I82" s="357" t="str">
        <f t="shared" si="45"/>
        <v>0942</v>
      </c>
      <c r="J82" s="359">
        <v>0</v>
      </c>
      <c r="K82" s="359">
        <f t="shared" si="46"/>
        <v>0</v>
      </c>
      <c r="L82" s="359">
        <v>0</v>
      </c>
      <c r="M82" s="81"/>
      <c r="O82" s="73" t="str">
        <f t="shared" si="47"/>
        <v>329</v>
      </c>
      <c r="P82" s="73" t="str">
        <f t="shared" si="48"/>
        <v>32</v>
      </c>
      <c r="Q82" s="73" t="str">
        <f t="shared" si="49"/>
        <v>43</v>
      </c>
      <c r="R82" s="73" t="str">
        <f t="shared" si="50"/>
        <v>94</v>
      </c>
      <c r="V82" s="73">
        <v>3833</v>
      </c>
      <c r="W82" s="73" t="s">
        <v>151</v>
      </c>
      <c r="Y82" s="283" t="str">
        <f t="shared" si="51"/>
        <v>38</v>
      </c>
      <c r="Z82" s="73" t="str">
        <f t="shared" si="52"/>
        <v>383</v>
      </c>
      <c r="AB82" t="s">
        <v>1889</v>
      </c>
      <c r="AC82" t="s">
        <v>1890</v>
      </c>
      <c r="AD82" s="73" t="s">
        <v>5138</v>
      </c>
      <c r="AE82" s="73" t="s">
        <v>5139</v>
      </c>
      <c r="AF82" s="73" t="s">
        <v>5160</v>
      </c>
      <c r="AG82" s="73" t="s">
        <v>5170</v>
      </c>
    </row>
    <row r="83" spans="1:33">
      <c r="A83" s="355">
        <v>8006</v>
      </c>
      <c r="B83" s="355" t="s">
        <v>45</v>
      </c>
      <c r="C83" s="356">
        <v>43</v>
      </c>
      <c r="D83" s="357" t="s">
        <v>95</v>
      </c>
      <c r="E83" s="356">
        <v>3293</v>
      </c>
      <c r="F83" s="357" t="s">
        <v>83</v>
      </c>
      <c r="G83" s="358" t="s">
        <v>175</v>
      </c>
      <c r="H83" s="357" t="s">
        <v>1231</v>
      </c>
      <c r="I83" s="357" t="str">
        <f t="shared" si="45"/>
        <v>0942</v>
      </c>
      <c r="J83" s="359">
        <v>2000</v>
      </c>
      <c r="K83" s="359">
        <f t="shared" si="46"/>
        <v>0</v>
      </c>
      <c r="L83" s="359">
        <v>2000</v>
      </c>
      <c r="M83" s="81"/>
      <c r="O83" s="73" t="str">
        <f t="shared" si="47"/>
        <v>329</v>
      </c>
      <c r="P83" s="73" t="str">
        <f t="shared" si="48"/>
        <v>32</v>
      </c>
      <c r="Q83" s="73" t="str">
        <f t="shared" si="49"/>
        <v>43</v>
      </c>
      <c r="R83" s="73" t="str">
        <f t="shared" si="50"/>
        <v>94</v>
      </c>
      <c r="V83" s="73">
        <v>3834</v>
      </c>
      <c r="W83" s="73" t="s">
        <v>152</v>
      </c>
      <c r="Y83" s="283" t="str">
        <f t="shared" si="51"/>
        <v>38</v>
      </c>
      <c r="Z83" s="73" t="str">
        <f t="shared" si="52"/>
        <v>383</v>
      </c>
      <c r="AB83" t="s">
        <v>1629</v>
      </c>
      <c r="AC83" t="s">
        <v>1630</v>
      </c>
      <c r="AD83" s="73" t="s">
        <v>5136</v>
      </c>
      <c r="AE83" s="73" t="s">
        <v>5137</v>
      </c>
      <c r="AF83" s="73" t="s">
        <v>5162</v>
      </c>
      <c r="AG83" s="73" t="s">
        <v>5163</v>
      </c>
    </row>
    <row r="84" spans="1:33">
      <c r="A84" s="355">
        <v>8006</v>
      </c>
      <c r="B84" s="355" t="s">
        <v>45</v>
      </c>
      <c r="C84" s="356">
        <v>43</v>
      </c>
      <c r="D84" s="357" t="s">
        <v>95</v>
      </c>
      <c r="E84" s="356">
        <v>3294</v>
      </c>
      <c r="F84" s="357" t="s">
        <v>84</v>
      </c>
      <c r="G84" s="358" t="s">
        <v>175</v>
      </c>
      <c r="H84" s="357" t="s">
        <v>1231</v>
      </c>
      <c r="I84" s="357" t="str">
        <f t="shared" si="45"/>
        <v>0942</v>
      </c>
      <c r="J84" s="359">
        <v>0</v>
      </c>
      <c r="K84" s="359">
        <f t="shared" si="46"/>
        <v>0</v>
      </c>
      <c r="L84" s="359">
        <v>0</v>
      </c>
      <c r="M84" s="81"/>
      <c r="O84" s="73" t="str">
        <f t="shared" si="47"/>
        <v>329</v>
      </c>
      <c r="P84" s="73" t="str">
        <f t="shared" si="48"/>
        <v>32</v>
      </c>
      <c r="Q84" s="73" t="str">
        <f t="shared" si="49"/>
        <v>43</v>
      </c>
      <c r="R84" s="73" t="str">
        <f t="shared" si="50"/>
        <v>94</v>
      </c>
      <c r="V84" s="73">
        <v>3835</v>
      </c>
      <c r="W84" s="73" t="s">
        <v>153</v>
      </c>
      <c r="Y84" s="283" t="str">
        <f t="shared" si="51"/>
        <v>38</v>
      </c>
      <c r="Z84" s="73" t="str">
        <f t="shared" si="52"/>
        <v>383</v>
      </c>
      <c r="AB84" t="s">
        <v>1891</v>
      </c>
      <c r="AC84" t="s">
        <v>1892</v>
      </c>
      <c r="AD84" s="73" t="s">
        <v>5138</v>
      </c>
      <c r="AE84" s="73" t="s">
        <v>5139</v>
      </c>
      <c r="AF84" s="73" t="s">
        <v>5160</v>
      </c>
      <c r="AG84" s="73" t="s">
        <v>5170</v>
      </c>
    </row>
    <row r="85" spans="1:33">
      <c r="A85" s="355">
        <v>8006</v>
      </c>
      <c r="B85" s="355" t="s">
        <v>45</v>
      </c>
      <c r="C85" s="356">
        <v>43</v>
      </c>
      <c r="D85" s="357" t="s">
        <v>95</v>
      </c>
      <c r="E85" s="356">
        <v>3295</v>
      </c>
      <c r="F85" s="357" t="s">
        <v>54</v>
      </c>
      <c r="G85" s="358" t="s">
        <v>175</v>
      </c>
      <c r="H85" s="357" t="s">
        <v>1231</v>
      </c>
      <c r="I85" s="357" t="str">
        <f t="shared" si="45"/>
        <v>0942</v>
      </c>
      <c r="J85" s="359">
        <v>0</v>
      </c>
      <c r="K85" s="359">
        <f t="shared" si="46"/>
        <v>0</v>
      </c>
      <c r="L85" s="359">
        <v>0</v>
      </c>
      <c r="M85" s="81"/>
      <c r="O85" s="73" t="str">
        <f t="shared" si="47"/>
        <v>329</v>
      </c>
      <c r="P85" s="73" t="str">
        <f t="shared" si="48"/>
        <v>32</v>
      </c>
      <c r="Q85" s="73" t="str">
        <f t="shared" si="49"/>
        <v>43</v>
      </c>
      <c r="R85" s="73" t="str">
        <f t="shared" si="50"/>
        <v>94</v>
      </c>
      <c r="V85" s="121">
        <v>3861</v>
      </c>
      <c r="W85" s="73" t="s">
        <v>656</v>
      </c>
      <c r="X85" s="121"/>
      <c r="Y85" s="283" t="str">
        <f>LEFT(V85,2)</f>
        <v>38</v>
      </c>
      <c r="Z85" s="121" t="str">
        <f>LEFT(V85,3)</f>
        <v>386</v>
      </c>
      <c r="AB85" t="s">
        <v>1893</v>
      </c>
      <c r="AC85" t="s">
        <v>1894</v>
      </c>
      <c r="AD85" s="73" t="s">
        <v>5142</v>
      </c>
      <c r="AE85" s="73" t="s">
        <v>5143</v>
      </c>
      <c r="AF85" s="73" t="s">
        <v>5160</v>
      </c>
      <c r="AG85" s="73" t="s">
        <v>5168</v>
      </c>
    </row>
    <row r="86" spans="1:33">
      <c r="A86" s="355">
        <v>8006</v>
      </c>
      <c r="B86" s="355" t="s">
        <v>45</v>
      </c>
      <c r="C86" s="356">
        <v>43</v>
      </c>
      <c r="D86" s="357" t="s">
        <v>95</v>
      </c>
      <c r="E86" s="356">
        <v>3299</v>
      </c>
      <c r="F86" s="357" t="s">
        <v>57</v>
      </c>
      <c r="G86" s="358" t="s">
        <v>175</v>
      </c>
      <c r="H86" s="357" t="s">
        <v>1231</v>
      </c>
      <c r="I86" s="357" t="str">
        <f t="shared" si="45"/>
        <v>0942</v>
      </c>
      <c r="J86" s="359">
        <v>400000</v>
      </c>
      <c r="K86" s="359">
        <f t="shared" si="46"/>
        <v>0</v>
      </c>
      <c r="L86" s="359">
        <v>400000</v>
      </c>
      <c r="M86" s="81"/>
      <c r="O86" s="73" t="str">
        <f t="shared" si="47"/>
        <v>329</v>
      </c>
      <c r="P86" s="73" t="str">
        <f t="shared" si="48"/>
        <v>32</v>
      </c>
      <c r="Q86" s="73" t="str">
        <f t="shared" si="49"/>
        <v>43</v>
      </c>
      <c r="R86" s="73" t="str">
        <f t="shared" si="50"/>
        <v>94</v>
      </c>
      <c r="V86" s="120">
        <v>3862</v>
      </c>
      <c r="W86" s="73" t="s">
        <v>657</v>
      </c>
      <c r="Y86" s="283" t="str">
        <f>LEFT(V86,2)</f>
        <v>38</v>
      </c>
      <c r="Z86" s="73" t="str">
        <f>LEFT(V86,3)</f>
        <v>386</v>
      </c>
      <c r="AB86" t="s">
        <v>1895</v>
      </c>
      <c r="AC86" t="s">
        <v>1896</v>
      </c>
      <c r="AD86" s="73" t="s">
        <v>5142</v>
      </c>
      <c r="AE86" s="73" t="s">
        <v>5143</v>
      </c>
      <c r="AF86" s="73" t="s">
        <v>5160</v>
      </c>
      <c r="AG86" s="73" t="s">
        <v>5168</v>
      </c>
    </row>
    <row r="87" spans="1:33">
      <c r="A87" s="355">
        <v>8006</v>
      </c>
      <c r="B87" s="355" t="s">
        <v>45</v>
      </c>
      <c r="C87" s="356">
        <v>43</v>
      </c>
      <c r="D87" s="357" t="s">
        <v>95</v>
      </c>
      <c r="E87" s="356">
        <v>3431</v>
      </c>
      <c r="F87" s="357" t="s">
        <v>5265</v>
      </c>
      <c r="G87" s="358" t="s">
        <v>175</v>
      </c>
      <c r="H87" s="357" t="s">
        <v>1231</v>
      </c>
      <c r="I87" s="357" t="str">
        <f t="shared" si="45"/>
        <v>0942</v>
      </c>
      <c r="J87" s="359">
        <v>100</v>
      </c>
      <c r="K87" s="359">
        <f t="shared" si="46"/>
        <v>0</v>
      </c>
      <c r="L87" s="359">
        <v>100</v>
      </c>
      <c r="M87" s="81"/>
      <c r="O87" s="73" t="str">
        <f t="shared" si="47"/>
        <v>343</v>
      </c>
      <c r="P87" s="73" t="str">
        <f t="shared" si="48"/>
        <v>34</v>
      </c>
      <c r="Q87" s="73" t="str">
        <f t="shared" si="49"/>
        <v>43</v>
      </c>
      <c r="R87" s="73" t="str">
        <f t="shared" si="50"/>
        <v>94</v>
      </c>
      <c r="V87" s="120">
        <v>3863</v>
      </c>
      <c r="W87" s="73" t="s">
        <v>658</v>
      </c>
      <c r="Y87" s="283" t="str">
        <f>LEFT(V87,2)</f>
        <v>38</v>
      </c>
      <c r="Z87" s="73" t="str">
        <f>LEFT(V87,3)</f>
        <v>386</v>
      </c>
      <c r="AB87" t="s">
        <v>1897</v>
      </c>
      <c r="AC87" t="s">
        <v>1898</v>
      </c>
      <c r="AD87" s="73" t="s">
        <v>5142</v>
      </c>
      <c r="AE87" s="73" t="s">
        <v>5143</v>
      </c>
      <c r="AF87" s="73" t="s">
        <v>5160</v>
      </c>
      <c r="AG87" s="73" t="s">
        <v>5168</v>
      </c>
    </row>
    <row r="88" spans="1:33">
      <c r="A88" s="355">
        <v>8006</v>
      </c>
      <c r="B88" s="355" t="s">
        <v>45</v>
      </c>
      <c r="C88" s="356">
        <v>43</v>
      </c>
      <c r="D88" s="357" t="s">
        <v>95</v>
      </c>
      <c r="E88" s="356">
        <v>3432</v>
      </c>
      <c r="F88" s="357" t="s">
        <v>5266</v>
      </c>
      <c r="G88" s="358" t="s">
        <v>175</v>
      </c>
      <c r="H88" s="357" t="s">
        <v>1231</v>
      </c>
      <c r="I88" s="357" t="str">
        <f t="shared" si="45"/>
        <v>0942</v>
      </c>
      <c r="J88" s="359">
        <v>0</v>
      </c>
      <c r="K88" s="359">
        <f t="shared" si="46"/>
        <v>0</v>
      </c>
      <c r="L88" s="359">
        <v>0</v>
      </c>
      <c r="M88" s="81"/>
      <c r="O88" s="73" t="str">
        <f t="shared" si="47"/>
        <v>343</v>
      </c>
      <c r="P88" s="73" t="str">
        <f t="shared" si="48"/>
        <v>34</v>
      </c>
      <c r="Q88" s="73" t="str">
        <f t="shared" si="49"/>
        <v>43</v>
      </c>
      <c r="R88" s="73" t="str">
        <f t="shared" si="50"/>
        <v>94</v>
      </c>
      <c r="V88" s="73">
        <v>4111</v>
      </c>
      <c r="W88" s="73" t="s">
        <v>154</v>
      </c>
      <c r="Y88" s="283" t="str">
        <f t="shared" ref="Y88:Y115" si="59">LEFT(V88,2)</f>
        <v>41</v>
      </c>
      <c r="Z88" s="73" t="str">
        <f t="shared" ref="Z88:Z121" si="60">LEFT(V88,3)</f>
        <v>411</v>
      </c>
      <c r="AB88" t="s">
        <v>1899</v>
      </c>
      <c r="AC88" t="s">
        <v>1900</v>
      </c>
      <c r="AD88" s="73" t="s">
        <v>5142</v>
      </c>
      <c r="AE88" s="73" t="s">
        <v>5143</v>
      </c>
      <c r="AF88" s="73" t="s">
        <v>5160</v>
      </c>
      <c r="AG88" s="73" t="s">
        <v>5168</v>
      </c>
    </row>
    <row r="89" spans="1:33">
      <c r="A89" s="355">
        <v>8006</v>
      </c>
      <c r="B89" s="355" t="s">
        <v>45</v>
      </c>
      <c r="C89" s="356">
        <v>43</v>
      </c>
      <c r="D89" s="357" t="s">
        <v>95</v>
      </c>
      <c r="E89" s="356">
        <v>3721</v>
      </c>
      <c r="F89" s="357" t="s">
        <v>65</v>
      </c>
      <c r="G89" s="358" t="s">
        <v>175</v>
      </c>
      <c r="H89" s="357" t="s">
        <v>1231</v>
      </c>
      <c r="I89" s="357" t="str">
        <f t="shared" si="45"/>
        <v>0942</v>
      </c>
      <c r="J89" s="359">
        <v>15000</v>
      </c>
      <c r="K89" s="359">
        <f t="shared" si="46"/>
        <v>0</v>
      </c>
      <c r="L89" s="359">
        <v>15000</v>
      </c>
      <c r="M89" s="81"/>
      <c r="O89" s="73" t="str">
        <f t="shared" si="47"/>
        <v>372</v>
      </c>
      <c r="P89" s="73" t="str">
        <f t="shared" si="48"/>
        <v>37</v>
      </c>
      <c r="Q89" s="73" t="str">
        <f t="shared" si="49"/>
        <v>43</v>
      </c>
      <c r="R89" s="73" t="str">
        <f t="shared" si="50"/>
        <v>94</v>
      </c>
      <c r="V89" s="73">
        <v>4123</v>
      </c>
      <c r="W89" s="73" t="s">
        <v>126</v>
      </c>
      <c r="Y89" s="283" t="str">
        <f t="shared" si="59"/>
        <v>41</v>
      </c>
      <c r="Z89" s="73" t="str">
        <f t="shared" si="60"/>
        <v>412</v>
      </c>
      <c r="AB89" t="s">
        <v>1631</v>
      </c>
      <c r="AC89" t="s">
        <v>1632</v>
      </c>
      <c r="AD89" s="73" t="s">
        <v>5136</v>
      </c>
      <c r="AE89" s="73" t="s">
        <v>5137</v>
      </c>
      <c r="AF89" s="73" t="s">
        <v>5162</v>
      </c>
      <c r="AG89" s="73" t="s">
        <v>5163</v>
      </c>
    </row>
    <row r="90" spans="1:33">
      <c r="A90" s="355">
        <v>8006</v>
      </c>
      <c r="B90" s="355" t="s">
        <v>45</v>
      </c>
      <c r="C90" s="356">
        <v>43</v>
      </c>
      <c r="D90" s="357" t="s">
        <v>95</v>
      </c>
      <c r="E90" s="356">
        <v>3811</v>
      </c>
      <c r="F90" s="357" t="s">
        <v>55</v>
      </c>
      <c r="G90" s="358" t="s">
        <v>175</v>
      </c>
      <c r="H90" s="357" t="s">
        <v>1231</v>
      </c>
      <c r="I90" s="357" t="str">
        <f t="shared" si="45"/>
        <v>0942</v>
      </c>
      <c r="J90" s="359">
        <v>1000</v>
      </c>
      <c r="K90" s="359">
        <f t="shared" si="46"/>
        <v>0</v>
      </c>
      <c r="L90" s="359">
        <v>1000</v>
      </c>
      <c r="M90" s="81"/>
      <c r="N90" s="318"/>
      <c r="O90" s="73" t="str">
        <f t="shared" si="47"/>
        <v>381</v>
      </c>
      <c r="P90" s="73" t="str">
        <f t="shared" si="48"/>
        <v>38</v>
      </c>
      <c r="Q90" s="73" t="str">
        <f t="shared" si="49"/>
        <v>43</v>
      </c>
      <c r="R90" s="73" t="str">
        <f t="shared" si="50"/>
        <v>94</v>
      </c>
      <c r="V90" s="73">
        <v>4124</v>
      </c>
      <c r="W90" s="73" t="s">
        <v>112</v>
      </c>
      <c r="Y90" s="283" t="str">
        <f t="shared" si="59"/>
        <v>41</v>
      </c>
      <c r="Z90" s="73" t="str">
        <f t="shared" si="60"/>
        <v>412</v>
      </c>
      <c r="AB90" t="s">
        <v>1631</v>
      </c>
      <c r="AC90" t="s">
        <v>1632</v>
      </c>
      <c r="AD90" s="73" t="s">
        <v>5138</v>
      </c>
      <c r="AE90" s="73" t="s">
        <v>5139</v>
      </c>
      <c r="AF90" s="73" t="s">
        <v>5160</v>
      </c>
      <c r="AG90" s="73" t="s">
        <v>5170</v>
      </c>
    </row>
    <row r="91" spans="1:33">
      <c r="A91" s="355">
        <v>8006</v>
      </c>
      <c r="B91" s="355" t="s">
        <v>45</v>
      </c>
      <c r="C91" s="356">
        <v>43</v>
      </c>
      <c r="D91" s="357" t="s">
        <v>95</v>
      </c>
      <c r="E91" s="356">
        <v>3812</v>
      </c>
      <c r="F91" s="357" t="s">
        <v>149</v>
      </c>
      <c r="G91" s="358" t="s">
        <v>175</v>
      </c>
      <c r="H91" s="357" t="s">
        <v>1231</v>
      </c>
      <c r="I91" s="357" t="str">
        <f t="shared" si="45"/>
        <v>0942</v>
      </c>
      <c r="J91" s="359">
        <v>0</v>
      </c>
      <c r="K91" s="359">
        <f t="shared" si="46"/>
        <v>0</v>
      </c>
      <c r="L91" s="359">
        <v>0</v>
      </c>
      <c r="M91" s="81"/>
      <c r="O91" s="73" t="str">
        <f t="shared" si="47"/>
        <v>381</v>
      </c>
      <c r="P91" s="73" t="str">
        <f t="shared" si="48"/>
        <v>38</v>
      </c>
      <c r="Q91" s="73" t="str">
        <f t="shared" si="49"/>
        <v>43</v>
      </c>
      <c r="R91" s="73" t="str">
        <f t="shared" si="50"/>
        <v>94</v>
      </c>
      <c r="V91" s="73">
        <v>4126</v>
      </c>
      <c r="W91" s="73" t="s">
        <v>156</v>
      </c>
      <c r="Y91" s="283" t="str">
        <f t="shared" si="59"/>
        <v>41</v>
      </c>
      <c r="Z91" s="73" t="str">
        <f t="shared" si="60"/>
        <v>412</v>
      </c>
      <c r="AB91" t="s">
        <v>946</v>
      </c>
      <c r="AC91" t="s">
        <v>947</v>
      </c>
      <c r="AD91" s="73" t="s">
        <v>5138</v>
      </c>
      <c r="AE91" s="73" t="s">
        <v>5139</v>
      </c>
      <c r="AF91" s="73" t="s">
        <v>5160</v>
      </c>
      <c r="AG91" s="73" t="s">
        <v>5170</v>
      </c>
    </row>
    <row r="92" spans="1:33">
      <c r="A92" s="355">
        <v>8006</v>
      </c>
      <c r="B92" s="355" t="s">
        <v>45</v>
      </c>
      <c r="C92" s="356">
        <v>43</v>
      </c>
      <c r="D92" s="357" t="s">
        <v>95</v>
      </c>
      <c r="E92" s="356">
        <v>4212</v>
      </c>
      <c r="F92" s="357" t="s">
        <v>60</v>
      </c>
      <c r="G92" s="358" t="s">
        <v>175</v>
      </c>
      <c r="H92" s="357" t="s">
        <v>1231</v>
      </c>
      <c r="I92" s="357" t="str">
        <f t="shared" si="45"/>
        <v>0942</v>
      </c>
      <c r="J92" s="359">
        <v>0</v>
      </c>
      <c r="K92" s="359">
        <f t="shared" si="46"/>
        <v>0</v>
      </c>
      <c r="L92" s="359">
        <v>0</v>
      </c>
      <c r="M92" s="81"/>
      <c r="O92" s="73" t="str">
        <f t="shared" si="47"/>
        <v>421</v>
      </c>
      <c r="P92" s="73" t="str">
        <f t="shared" si="48"/>
        <v>42</v>
      </c>
      <c r="Q92" s="73" t="str">
        <f t="shared" si="49"/>
        <v>43</v>
      </c>
      <c r="R92" s="73" t="str">
        <f t="shared" si="50"/>
        <v>94</v>
      </c>
      <c r="V92" s="73">
        <v>4211</v>
      </c>
      <c r="W92" s="73" t="s">
        <v>170</v>
      </c>
      <c r="Y92" s="283" t="str">
        <f t="shared" si="59"/>
        <v>42</v>
      </c>
      <c r="Z92" s="73" t="str">
        <f t="shared" si="60"/>
        <v>421</v>
      </c>
      <c r="AB92" t="s">
        <v>948</v>
      </c>
      <c r="AC92" t="s">
        <v>949</v>
      </c>
      <c r="AD92" s="73" t="s">
        <v>5138</v>
      </c>
      <c r="AE92" s="73" t="s">
        <v>5139</v>
      </c>
      <c r="AF92" s="73" t="s">
        <v>5160</v>
      </c>
      <c r="AG92" s="73" t="s">
        <v>5170</v>
      </c>
    </row>
    <row r="93" spans="1:33">
      <c r="A93" s="355">
        <v>8006</v>
      </c>
      <c r="B93" s="355" t="s">
        <v>45</v>
      </c>
      <c r="C93" s="356">
        <v>43</v>
      </c>
      <c r="D93" s="357" t="s">
        <v>95</v>
      </c>
      <c r="E93" s="356">
        <v>4221</v>
      </c>
      <c r="F93" s="357" t="s">
        <v>94</v>
      </c>
      <c r="G93" s="358" t="s">
        <v>175</v>
      </c>
      <c r="H93" s="357" t="s">
        <v>1231</v>
      </c>
      <c r="I93" s="357" t="str">
        <f t="shared" ref="I93" si="61">IFERROR(VLOOKUP(G93,$AB$6:$AF$321,3,FALSE),"")</f>
        <v>0942</v>
      </c>
      <c r="J93" s="359">
        <v>6000</v>
      </c>
      <c r="K93" s="359">
        <f t="shared" si="46"/>
        <v>0</v>
      </c>
      <c r="L93" s="359">
        <v>6000</v>
      </c>
      <c r="M93" s="81"/>
      <c r="O93" s="73" t="str">
        <f t="shared" si="47"/>
        <v>422</v>
      </c>
      <c r="P93" s="73" t="str">
        <f t="shared" si="48"/>
        <v>42</v>
      </c>
      <c r="Q93" s="73" t="str">
        <f t="shared" si="49"/>
        <v>43</v>
      </c>
      <c r="R93" s="73" t="str">
        <f t="shared" si="50"/>
        <v>94</v>
      </c>
      <c r="V93" s="73">
        <v>3713</v>
      </c>
      <c r="W93" s="73" t="s">
        <v>166</v>
      </c>
      <c r="Y93" s="283" t="str">
        <f t="shared" si="59"/>
        <v>37</v>
      </c>
      <c r="Z93" s="73" t="str">
        <f t="shared" si="60"/>
        <v>371</v>
      </c>
      <c r="AB93" t="s">
        <v>1869</v>
      </c>
      <c r="AC93" t="s">
        <v>1870</v>
      </c>
      <c r="AD93" s="73" t="s">
        <v>5142</v>
      </c>
      <c r="AE93" s="73" t="s">
        <v>5143</v>
      </c>
      <c r="AF93" s="73" t="s">
        <v>5160</v>
      </c>
      <c r="AG93" s="73" t="s">
        <v>5168</v>
      </c>
    </row>
    <row r="94" spans="1:33">
      <c r="A94" s="355">
        <v>8006</v>
      </c>
      <c r="B94" s="355" t="s">
        <v>45</v>
      </c>
      <c r="C94" s="356">
        <v>43</v>
      </c>
      <c r="D94" s="357" t="s">
        <v>95</v>
      </c>
      <c r="E94" s="356">
        <v>4223</v>
      </c>
      <c r="F94" s="357" t="s">
        <v>117</v>
      </c>
      <c r="G94" s="358" t="s">
        <v>175</v>
      </c>
      <c r="H94" s="357" t="s">
        <v>1231</v>
      </c>
      <c r="I94" s="357" t="str">
        <f t="shared" si="45"/>
        <v>0942</v>
      </c>
      <c r="J94" s="359">
        <v>0</v>
      </c>
      <c r="K94" s="359">
        <f t="shared" si="46"/>
        <v>0</v>
      </c>
      <c r="L94" s="359">
        <v>0</v>
      </c>
      <c r="M94" s="81"/>
      <c r="O94" s="73" t="str">
        <f t="shared" ref="O94:O95" si="62">LEFT(E94,3)</f>
        <v>422</v>
      </c>
      <c r="P94" s="73" t="str">
        <f t="shared" ref="P94:P95" si="63">LEFT(E94,2)</f>
        <v>42</v>
      </c>
      <c r="Q94" s="73" t="str">
        <f t="shared" ref="Q94:Q95" si="64">LEFT(C94,3)</f>
        <v>43</v>
      </c>
      <c r="R94" s="73" t="str">
        <f t="shared" ref="R94:R95" si="65">MID(I94,2,2)</f>
        <v>94</v>
      </c>
      <c r="V94" s="73">
        <v>4222</v>
      </c>
      <c r="W94" s="73" t="s">
        <v>104</v>
      </c>
      <c r="Y94" s="283" t="str">
        <f t="shared" ref="Y94:Y95" si="66">LEFT(V94,2)</f>
        <v>42</v>
      </c>
      <c r="Z94" s="73" t="str">
        <f t="shared" ref="Z94:Z95" si="67">LEFT(V94,3)</f>
        <v>422</v>
      </c>
      <c r="AB94" t="s">
        <v>1919</v>
      </c>
      <c r="AC94" t="s">
        <v>1920</v>
      </c>
      <c r="AD94" s="73" t="s">
        <v>5138</v>
      </c>
      <c r="AE94" s="73" t="s">
        <v>5139</v>
      </c>
      <c r="AF94" s="73" t="s">
        <v>5160</v>
      </c>
      <c r="AG94" s="73" t="s">
        <v>5170</v>
      </c>
    </row>
    <row r="95" spans="1:33">
      <c r="A95" s="355">
        <v>8006</v>
      </c>
      <c r="B95" s="355" t="s">
        <v>45</v>
      </c>
      <c r="C95" s="356">
        <v>43</v>
      </c>
      <c r="D95" s="357" t="s">
        <v>95</v>
      </c>
      <c r="E95" s="356">
        <v>4224</v>
      </c>
      <c r="F95" s="357" t="s">
        <v>110</v>
      </c>
      <c r="G95" s="358" t="s">
        <v>175</v>
      </c>
      <c r="H95" s="357" t="s">
        <v>1231</v>
      </c>
      <c r="I95" s="357" t="str">
        <f t="shared" si="45"/>
        <v>0942</v>
      </c>
      <c r="J95" s="359">
        <v>80000</v>
      </c>
      <c r="K95" s="359">
        <f t="shared" si="46"/>
        <v>0</v>
      </c>
      <c r="L95" s="359">
        <v>80000</v>
      </c>
      <c r="M95" s="81"/>
      <c r="O95" s="73" t="str">
        <f t="shared" si="62"/>
        <v>422</v>
      </c>
      <c r="P95" s="73" t="str">
        <f t="shared" si="63"/>
        <v>42</v>
      </c>
      <c r="Q95" s="73" t="str">
        <f t="shared" si="64"/>
        <v>43</v>
      </c>
      <c r="R95" s="73" t="str">
        <f t="shared" si="65"/>
        <v>94</v>
      </c>
      <c r="V95" s="73">
        <v>4224</v>
      </c>
      <c r="W95" s="73" t="s">
        <v>110</v>
      </c>
      <c r="Y95" s="283" t="str">
        <f t="shared" si="66"/>
        <v>42</v>
      </c>
      <c r="Z95" s="73" t="str">
        <f t="shared" si="67"/>
        <v>422</v>
      </c>
      <c r="AB95" t="s">
        <v>1923</v>
      </c>
      <c r="AC95" t="s">
        <v>1924</v>
      </c>
      <c r="AD95" s="73" t="s">
        <v>5138</v>
      </c>
      <c r="AE95" s="73" t="s">
        <v>5139</v>
      </c>
      <c r="AF95" s="73" t="s">
        <v>5160</v>
      </c>
      <c r="AG95" s="73" t="s">
        <v>5170</v>
      </c>
    </row>
    <row r="96" spans="1:33">
      <c r="A96" s="355">
        <v>8006</v>
      </c>
      <c r="B96" s="355" t="s">
        <v>45</v>
      </c>
      <c r="C96" s="356">
        <v>43</v>
      </c>
      <c r="D96" s="357" t="s">
        <v>95</v>
      </c>
      <c r="E96" s="356">
        <v>4225</v>
      </c>
      <c r="F96" s="357" t="s">
        <v>114</v>
      </c>
      <c r="G96" s="358" t="s">
        <v>175</v>
      </c>
      <c r="H96" s="357" t="s">
        <v>1231</v>
      </c>
      <c r="I96" s="357" t="str">
        <f t="shared" si="45"/>
        <v>0942</v>
      </c>
      <c r="J96" s="359">
        <v>0</v>
      </c>
      <c r="K96" s="359">
        <f t="shared" si="46"/>
        <v>0</v>
      </c>
      <c r="L96" s="359">
        <v>0</v>
      </c>
      <c r="M96" s="81"/>
      <c r="O96" s="73" t="str">
        <f>LEFT(E96,3)</f>
        <v>422</v>
      </c>
      <c r="P96" s="73" t="str">
        <f>LEFT(E96,2)</f>
        <v>42</v>
      </c>
      <c r="Q96" s="73" t="str">
        <f>LEFT(C96,3)</f>
        <v>43</v>
      </c>
      <c r="R96" s="73" t="str">
        <f>MID(I96,2,2)</f>
        <v>94</v>
      </c>
      <c r="V96" s="73">
        <v>4225</v>
      </c>
      <c r="W96" s="73" t="s">
        <v>114</v>
      </c>
      <c r="Y96" s="283" t="str">
        <f>LEFT(V96,2)</f>
        <v>42</v>
      </c>
      <c r="Z96" s="73" t="str">
        <f>LEFT(V96,3)</f>
        <v>422</v>
      </c>
      <c r="AB96" t="s">
        <v>1925</v>
      </c>
      <c r="AC96" t="s">
        <v>1926</v>
      </c>
      <c r="AD96" s="73" t="s">
        <v>5138</v>
      </c>
      <c r="AE96" s="73" t="s">
        <v>5139</v>
      </c>
      <c r="AF96" s="73" t="s">
        <v>5160</v>
      </c>
      <c r="AG96" s="73" t="s">
        <v>5170</v>
      </c>
    </row>
    <row r="97" spans="1:33">
      <c r="A97" s="355">
        <v>8006</v>
      </c>
      <c r="B97" s="355" t="s">
        <v>45</v>
      </c>
      <c r="C97" s="356">
        <v>43</v>
      </c>
      <c r="D97" s="357" t="s">
        <v>95</v>
      </c>
      <c r="E97" s="356">
        <v>4227</v>
      </c>
      <c r="F97" s="357" t="s">
        <v>127</v>
      </c>
      <c r="G97" s="358" t="s">
        <v>175</v>
      </c>
      <c r="H97" s="357" t="s">
        <v>1231</v>
      </c>
      <c r="I97" s="357" t="str">
        <f t="shared" si="45"/>
        <v>0942</v>
      </c>
      <c r="J97" s="359">
        <v>0</v>
      </c>
      <c r="K97" s="359">
        <f t="shared" si="46"/>
        <v>0</v>
      </c>
      <c r="L97" s="359">
        <v>0</v>
      </c>
      <c r="M97" s="81"/>
      <c r="N97" s="318"/>
      <c r="O97" s="73" t="str">
        <f t="shared" ref="O97" si="68">LEFT(E97,3)</f>
        <v>422</v>
      </c>
      <c r="P97" s="73" t="str">
        <f t="shared" ref="P97" si="69">LEFT(E97,2)</f>
        <v>42</v>
      </c>
      <c r="Q97" s="73" t="str">
        <f t="shared" ref="Q97" si="70">LEFT(C97,3)</f>
        <v>43</v>
      </c>
      <c r="R97" s="73" t="str">
        <f t="shared" ref="R97" si="71">MID(I97,2,2)</f>
        <v>94</v>
      </c>
      <c r="V97" s="73">
        <v>4226</v>
      </c>
      <c r="W97" s="73" t="s">
        <v>159</v>
      </c>
      <c r="Y97" s="283" t="str">
        <f t="shared" ref="Y97" si="72">LEFT(V97,2)</f>
        <v>42</v>
      </c>
      <c r="Z97" s="73" t="str">
        <f t="shared" ref="Z97" si="73">LEFT(V97,3)</f>
        <v>422</v>
      </c>
      <c r="AB97" t="s">
        <v>1927</v>
      </c>
      <c r="AC97" t="s">
        <v>1928</v>
      </c>
      <c r="AD97" s="73" t="s">
        <v>5138</v>
      </c>
      <c r="AE97" s="73" t="s">
        <v>5139</v>
      </c>
      <c r="AF97" s="73" t="s">
        <v>5160</v>
      </c>
      <c r="AG97" s="73" t="s">
        <v>5170</v>
      </c>
    </row>
    <row r="98" spans="1:33">
      <c r="A98" s="355">
        <v>8006</v>
      </c>
      <c r="B98" s="355" t="s">
        <v>45</v>
      </c>
      <c r="C98" s="356">
        <v>43</v>
      </c>
      <c r="D98" s="357" t="s">
        <v>95</v>
      </c>
      <c r="E98" s="356">
        <v>4241</v>
      </c>
      <c r="F98" s="357" t="s">
        <v>105</v>
      </c>
      <c r="G98" s="358" t="s">
        <v>175</v>
      </c>
      <c r="H98" s="357" t="s">
        <v>1231</v>
      </c>
      <c r="I98" s="357" t="str">
        <f t="shared" si="45"/>
        <v>0942</v>
      </c>
      <c r="J98" s="359">
        <v>0</v>
      </c>
      <c r="K98" s="359">
        <f t="shared" si="46"/>
        <v>0</v>
      </c>
      <c r="L98" s="359">
        <v>0</v>
      </c>
      <c r="M98" s="81"/>
      <c r="O98" s="73" t="str">
        <f>LEFT(E98,3)</f>
        <v>424</v>
      </c>
      <c r="P98" s="73" t="str">
        <f>LEFT(E98,2)</f>
        <v>42</v>
      </c>
      <c r="Q98" s="73" t="str">
        <f>LEFT(C98,3)</f>
        <v>43</v>
      </c>
      <c r="R98" s="73" t="str">
        <f>MID(I98,2,2)</f>
        <v>94</v>
      </c>
      <c r="V98" s="73">
        <v>4212</v>
      </c>
      <c r="W98" s="73" t="s">
        <v>60</v>
      </c>
      <c r="Y98" s="283" t="str">
        <f>LEFT(V98,2)</f>
        <v>42</v>
      </c>
      <c r="Z98" s="73" t="str">
        <f>LEFT(V98,3)</f>
        <v>421</v>
      </c>
      <c r="AB98" t="s">
        <v>955</v>
      </c>
      <c r="AC98" t="s">
        <v>956</v>
      </c>
      <c r="AD98" s="73" t="s">
        <v>5136</v>
      </c>
      <c r="AE98" s="73" t="s">
        <v>5137</v>
      </c>
      <c r="AF98" s="73" t="s">
        <v>5162</v>
      </c>
      <c r="AG98" s="73" t="s">
        <v>5163</v>
      </c>
    </row>
    <row r="99" spans="1:33">
      <c r="A99" s="355">
        <v>8006</v>
      </c>
      <c r="B99" s="355" t="s">
        <v>45</v>
      </c>
      <c r="C99" s="356">
        <v>43</v>
      </c>
      <c r="D99" s="357" t="s">
        <v>95</v>
      </c>
      <c r="E99" s="356">
        <v>4262</v>
      </c>
      <c r="F99" s="357" t="s">
        <v>106</v>
      </c>
      <c r="G99" s="358" t="s">
        <v>175</v>
      </c>
      <c r="H99" s="357" t="s">
        <v>1231</v>
      </c>
      <c r="I99" s="357" t="str">
        <f t="shared" si="45"/>
        <v>0942</v>
      </c>
      <c r="J99" s="359">
        <v>0</v>
      </c>
      <c r="K99" s="359">
        <f t="shared" si="46"/>
        <v>0</v>
      </c>
      <c r="L99" s="359">
        <v>0</v>
      </c>
      <c r="M99" s="81"/>
      <c r="O99" s="73" t="str">
        <f t="shared" si="47"/>
        <v>426</v>
      </c>
      <c r="P99" s="73" t="str">
        <f t="shared" si="48"/>
        <v>42</v>
      </c>
      <c r="Q99" s="73" t="str">
        <f t="shared" si="49"/>
        <v>43</v>
      </c>
      <c r="R99" s="73" t="str">
        <f t="shared" si="50"/>
        <v>94</v>
      </c>
      <c r="V99" s="73">
        <v>4212</v>
      </c>
      <c r="W99" s="73" t="s">
        <v>60</v>
      </c>
      <c r="Y99" s="283" t="str">
        <f t="shared" si="59"/>
        <v>42</v>
      </c>
      <c r="Z99" s="73" t="str">
        <f t="shared" si="60"/>
        <v>421</v>
      </c>
      <c r="AB99" t="s">
        <v>955</v>
      </c>
      <c r="AC99" t="s">
        <v>956</v>
      </c>
      <c r="AD99" s="73" t="s">
        <v>5136</v>
      </c>
      <c r="AE99" s="73" t="s">
        <v>5137</v>
      </c>
      <c r="AF99" s="73" t="s">
        <v>5162</v>
      </c>
      <c r="AG99" s="73" t="s">
        <v>5163</v>
      </c>
    </row>
    <row r="100" spans="1:33">
      <c r="A100" s="355">
        <v>8006</v>
      </c>
      <c r="B100" s="355" t="s">
        <v>45</v>
      </c>
      <c r="C100" s="356">
        <v>43</v>
      </c>
      <c r="D100" s="357" t="s">
        <v>95</v>
      </c>
      <c r="E100" s="356">
        <v>4511</v>
      </c>
      <c r="F100" s="357" t="s">
        <v>119</v>
      </c>
      <c r="G100" s="358" t="s">
        <v>175</v>
      </c>
      <c r="H100" s="357" t="s">
        <v>1231</v>
      </c>
      <c r="I100" s="357" t="str">
        <f t="shared" ref="I100:I121" si="74">IFERROR(VLOOKUP(G100,$AB$6:$AF$321,3,FALSE),"")</f>
        <v>0942</v>
      </c>
      <c r="J100" s="359">
        <v>0</v>
      </c>
      <c r="K100" s="359">
        <f t="shared" si="46"/>
        <v>0</v>
      </c>
      <c r="L100" s="359">
        <v>0</v>
      </c>
      <c r="M100" s="81"/>
      <c r="O100" s="73" t="str">
        <f t="shared" si="47"/>
        <v>451</v>
      </c>
      <c r="P100" s="73" t="str">
        <f t="shared" si="48"/>
        <v>45</v>
      </c>
      <c r="Q100" s="73" t="str">
        <f t="shared" si="49"/>
        <v>43</v>
      </c>
      <c r="R100" s="73" t="str">
        <f t="shared" si="50"/>
        <v>94</v>
      </c>
      <c r="V100" s="73">
        <v>4213</v>
      </c>
      <c r="W100" s="73" t="s">
        <v>157</v>
      </c>
      <c r="Y100" s="283" t="str">
        <f t="shared" si="59"/>
        <v>42</v>
      </c>
      <c r="Z100" s="73" t="str">
        <f t="shared" si="60"/>
        <v>421</v>
      </c>
      <c r="AB100" t="s">
        <v>1633</v>
      </c>
      <c r="AC100" t="s">
        <v>1634</v>
      </c>
      <c r="AD100" s="73" t="s">
        <v>5136</v>
      </c>
      <c r="AE100" s="73" t="s">
        <v>5137</v>
      </c>
      <c r="AF100" s="73" t="s">
        <v>5162</v>
      </c>
      <c r="AG100" s="73" t="s">
        <v>5163</v>
      </c>
    </row>
    <row r="101" spans="1:33">
      <c r="A101" s="355">
        <v>8006</v>
      </c>
      <c r="B101" s="355" t="s">
        <v>45</v>
      </c>
      <c r="C101" s="356">
        <v>52</v>
      </c>
      <c r="D101" s="357" t="s">
        <v>107</v>
      </c>
      <c r="E101" s="356">
        <v>3111</v>
      </c>
      <c r="F101" s="357" t="s">
        <v>47</v>
      </c>
      <c r="G101" s="358" t="s">
        <v>175</v>
      </c>
      <c r="H101" s="357" t="s">
        <v>1231</v>
      </c>
      <c r="I101" s="357" t="str">
        <f t="shared" si="74"/>
        <v>0942</v>
      </c>
      <c r="J101" s="359">
        <v>0</v>
      </c>
      <c r="K101" s="359">
        <f t="shared" si="46"/>
        <v>0</v>
      </c>
      <c r="L101" s="359">
        <v>0</v>
      </c>
      <c r="M101" s="81"/>
      <c r="O101" s="73" t="str">
        <f t="shared" si="47"/>
        <v>311</v>
      </c>
      <c r="P101" s="73" t="str">
        <f t="shared" si="48"/>
        <v>31</v>
      </c>
      <c r="Q101" s="73" t="str">
        <f t="shared" si="49"/>
        <v>52</v>
      </c>
      <c r="R101" s="73" t="str">
        <f t="shared" si="50"/>
        <v>94</v>
      </c>
      <c r="V101" s="73">
        <v>4214</v>
      </c>
      <c r="W101" s="73" t="s">
        <v>158</v>
      </c>
      <c r="Y101" s="283" t="str">
        <f t="shared" si="59"/>
        <v>42</v>
      </c>
      <c r="Z101" s="73" t="str">
        <f t="shared" si="60"/>
        <v>421</v>
      </c>
      <c r="AB101" t="s">
        <v>1917</v>
      </c>
      <c r="AC101" t="s">
        <v>1918</v>
      </c>
      <c r="AD101" s="73" t="s">
        <v>5136</v>
      </c>
      <c r="AE101" s="73" t="s">
        <v>5137</v>
      </c>
      <c r="AF101" s="73" t="s">
        <v>5162</v>
      </c>
      <c r="AG101" s="73" t="s">
        <v>5163</v>
      </c>
    </row>
    <row r="102" spans="1:33">
      <c r="A102" s="355">
        <v>8006</v>
      </c>
      <c r="B102" s="355" t="s">
        <v>45</v>
      </c>
      <c r="C102" s="356">
        <v>52</v>
      </c>
      <c r="D102" s="357" t="s">
        <v>107</v>
      </c>
      <c r="E102" s="356">
        <v>3121</v>
      </c>
      <c r="F102" s="357" t="s">
        <v>50</v>
      </c>
      <c r="G102" s="358" t="s">
        <v>175</v>
      </c>
      <c r="H102" s="357" t="s">
        <v>1231</v>
      </c>
      <c r="I102" s="357" t="str">
        <f t="shared" si="74"/>
        <v>0942</v>
      </c>
      <c r="J102" s="359">
        <v>0</v>
      </c>
      <c r="K102" s="359">
        <f t="shared" si="46"/>
        <v>0</v>
      </c>
      <c r="L102" s="359">
        <v>0</v>
      </c>
      <c r="M102" s="81"/>
      <c r="O102" s="73" t="str">
        <f t="shared" ref="O102" si="75">LEFT(E102,3)</f>
        <v>312</v>
      </c>
      <c r="P102" s="73" t="str">
        <f t="shared" ref="P102" si="76">LEFT(E102,2)</f>
        <v>31</v>
      </c>
      <c r="Q102" s="73" t="str">
        <f t="shared" ref="Q102" si="77">LEFT(C102,3)</f>
        <v>52</v>
      </c>
      <c r="R102" s="73" t="str">
        <f t="shared" ref="R102" si="78">MID(I102,2,2)</f>
        <v>94</v>
      </c>
      <c r="V102" s="73">
        <v>4214</v>
      </c>
      <c r="W102" s="73" t="s">
        <v>158</v>
      </c>
      <c r="Y102" s="283" t="str">
        <f t="shared" ref="Y102" si="79">LEFT(V102,2)</f>
        <v>42</v>
      </c>
      <c r="Z102" s="73" t="str">
        <f t="shared" ref="Z102" si="80">LEFT(V102,3)</f>
        <v>421</v>
      </c>
      <c r="AB102" t="s">
        <v>1917</v>
      </c>
      <c r="AC102" t="s">
        <v>1918</v>
      </c>
      <c r="AD102" s="73" t="s">
        <v>5136</v>
      </c>
      <c r="AE102" s="73" t="s">
        <v>5137</v>
      </c>
      <c r="AF102" s="73" t="s">
        <v>5162</v>
      </c>
      <c r="AG102" s="73" t="s">
        <v>5163</v>
      </c>
    </row>
    <row r="103" spans="1:33">
      <c r="A103" s="355">
        <v>8006</v>
      </c>
      <c r="B103" s="355" t="s">
        <v>45</v>
      </c>
      <c r="C103" s="356">
        <v>52</v>
      </c>
      <c r="D103" s="357" t="s">
        <v>107</v>
      </c>
      <c r="E103" s="356">
        <v>3132</v>
      </c>
      <c r="F103" s="357" t="s">
        <v>51</v>
      </c>
      <c r="G103" s="358" t="s">
        <v>175</v>
      </c>
      <c r="H103" s="357" t="s">
        <v>1231</v>
      </c>
      <c r="I103" s="357" t="str">
        <f t="shared" si="74"/>
        <v>0942</v>
      </c>
      <c r="J103" s="359">
        <v>0</v>
      </c>
      <c r="K103" s="359">
        <f t="shared" si="46"/>
        <v>0</v>
      </c>
      <c r="L103" s="359">
        <v>0</v>
      </c>
      <c r="M103" s="81"/>
      <c r="O103" s="73" t="str">
        <f t="shared" ref="O103" si="81">LEFT(E103,3)</f>
        <v>313</v>
      </c>
      <c r="P103" s="73" t="str">
        <f t="shared" ref="P103" si="82">LEFT(E103,2)</f>
        <v>31</v>
      </c>
      <c r="Q103" s="73" t="str">
        <f t="shared" ref="Q103" si="83">LEFT(C103,3)</f>
        <v>52</v>
      </c>
      <c r="R103" s="73" t="str">
        <f t="shared" ref="R103" si="84">MID(I103,2,2)</f>
        <v>94</v>
      </c>
      <c r="V103" s="73">
        <v>4214</v>
      </c>
      <c r="W103" s="73" t="s">
        <v>158</v>
      </c>
      <c r="Y103" s="283" t="str">
        <f t="shared" ref="Y103" si="85">LEFT(V103,2)</f>
        <v>42</v>
      </c>
      <c r="Z103" s="73" t="str">
        <f t="shared" ref="Z103" si="86">LEFT(V103,3)</f>
        <v>421</v>
      </c>
      <c r="AB103" t="s">
        <v>1917</v>
      </c>
      <c r="AC103" t="s">
        <v>1918</v>
      </c>
      <c r="AD103" s="73" t="s">
        <v>5136</v>
      </c>
      <c r="AE103" s="73" t="s">
        <v>5137</v>
      </c>
      <c r="AF103" s="73" t="s">
        <v>5162</v>
      </c>
      <c r="AG103" s="73" t="s">
        <v>5163</v>
      </c>
    </row>
    <row r="104" spans="1:33">
      <c r="A104" s="355">
        <v>8006</v>
      </c>
      <c r="B104" s="355" t="s">
        <v>45</v>
      </c>
      <c r="C104" s="356">
        <v>52</v>
      </c>
      <c r="D104" s="357" t="s">
        <v>107</v>
      </c>
      <c r="E104" s="356">
        <v>3211</v>
      </c>
      <c r="F104" s="357" t="s">
        <v>78</v>
      </c>
      <c r="G104" s="358" t="s">
        <v>175</v>
      </c>
      <c r="H104" s="357" t="s">
        <v>1231</v>
      </c>
      <c r="I104" s="357" t="str">
        <f t="shared" si="74"/>
        <v>0942</v>
      </c>
      <c r="J104" s="359">
        <v>1000</v>
      </c>
      <c r="K104" s="359">
        <f t="shared" si="46"/>
        <v>118000</v>
      </c>
      <c r="L104" s="359">
        <v>119000</v>
      </c>
      <c r="M104" s="81"/>
      <c r="O104" s="73" t="str">
        <f t="shared" ref="O104:O107" si="87">LEFT(E104,3)</f>
        <v>321</v>
      </c>
      <c r="P104" s="73" t="str">
        <f t="shared" ref="P104:P107" si="88">LEFT(E104,2)</f>
        <v>32</v>
      </c>
      <c r="Q104" s="73" t="str">
        <f t="shared" ref="Q104:Q107" si="89">LEFT(C104,3)</f>
        <v>52</v>
      </c>
      <c r="R104" s="73" t="str">
        <f t="shared" ref="R104:R107" si="90">MID(I104,2,2)</f>
        <v>94</v>
      </c>
      <c r="V104" s="73">
        <v>4214</v>
      </c>
      <c r="W104" s="73" t="s">
        <v>158</v>
      </c>
      <c r="Y104" s="283" t="str">
        <f t="shared" ref="Y104:Y107" si="91">LEFT(V104,2)</f>
        <v>42</v>
      </c>
      <c r="Z104" s="73" t="str">
        <f t="shared" ref="Z104:Z107" si="92">LEFT(V104,3)</f>
        <v>421</v>
      </c>
      <c r="AB104" t="s">
        <v>1917</v>
      </c>
      <c r="AC104" t="s">
        <v>1918</v>
      </c>
      <c r="AD104" s="73" t="s">
        <v>5136</v>
      </c>
      <c r="AE104" s="73" t="s">
        <v>5137</v>
      </c>
      <c r="AF104" s="73" t="s">
        <v>5162</v>
      </c>
      <c r="AG104" s="73" t="s">
        <v>5163</v>
      </c>
    </row>
    <row r="105" spans="1:33">
      <c r="A105" s="355">
        <v>8006</v>
      </c>
      <c r="B105" s="355" t="s">
        <v>45</v>
      </c>
      <c r="C105" s="356">
        <v>52</v>
      </c>
      <c r="D105" s="357" t="s">
        <v>107</v>
      </c>
      <c r="E105" s="356">
        <v>3212</v>
      </c>
      <c r="F105" s="357" t="s">
        <v>52</v>
      </c>
      <c r="G105" s="358" t="s">
        <v>175</v>
      </c>
      <c r="H105" s="357" t="s">
        <v>1231</v>
      </c>
      <c r="I105" s="357" t="str">
        <f t="shared" si="74"/>
        <v>0942</v>
      </c>
      <c r="J105" s="359">
        <v>0</v>
      </c>
      <c r="K105" s="359">
        <f t="shared" si="46"/>
        <v>0</v>
      </c>
      <c r="L105" s="359">
        <v>0</v>
      </c>
      <c r="M105" s="81"/>
      <c r="O105" s="73" t="str">
        <f>LEFT(E105,3)</f>
        <v>321</v>
      </c>
      <c r="P105" s="73" t="str">
        <f>LEFT(E105,2)</f>
        <v>32</v>
      </c>
      <c r="Q105" s="73" t="str">
        <f>LEFT(C105,3)</f>
        <v>52</v>
      </c>
      <c r="R105" s="73" t="str">
        <f>MID(I105,2,2)</f>
        <v>94</v>
      </c>
      <c r="V105" s="73">
        <v>4221</v>
      </c>
      <c r="W105" s="73" t="s">
        <v>94</v>
      </c>
      <c r="Y105" s="283" t="str">
        <f>LEFT(V105,2)</f>
        <v>42</v>
      </c>
      <c r="Z105" s="73" t="str">
        <f>LEFT(V105,3)</f>
        <v>422</v>
      </c>
      <c r="AB105" t="s">
        <v>1635</v>
      </c>
      <c r="AC105" t="s">
        <v>1636</v>
      </c>
      <c r="AD105" s="73" t="s">
        <v>5138</v>
      </c>
      <c r="AE105" s="73" t="s">
        <v>5139</v>
      </c>
      <c r="AF105" s="73" t="s">
        <v>5160</v>
      </c>
      <c r="AG105" s="73" t="s">
        <v>5170</v>
      </c>
    </row>
    <row r="106" spans="1:33">
      <c r="A106" s="355">
        <v>8006</v>
      </c>
      <c r="B106" s="355" t="s">
        <v>45</v>
      </c>
      <c r="C106" s="356">
        <v>52</v>
      </c>
      <c r="D106" s="357" t="s">
        <v>107</v>
      </c>
      <c r="E106" s="356">
        <v>3221</v>
      </c>
      <c r="F106" s="357" t="s">
        <v>79</v>
      </c>
      <c r="G106" s="358" t="s">
        <v>175</v>
      </c>
      <c r="H106" s="357" t="s">
        <v>1231</v>
      </c>
      <c r="I106" s="357" t="str">
        <f t="shared" si="74"/>
        <v>0942</v>
      </c>
      <c r="J106" s="359">
        <v>0</v>
      </c>
      <c r="K106" s="359">
        <f t="shared" si="46"/>
        <v>0</v>
      </c>
      <c r="L106" s="359">
        <v>0</v>
      </c>
      <c r="M106" s="81"/>
      <c r="O106" s="73" t="str">
        <f t="shared" si="87"/>
        <v>322</v>
      </c>
      <c r="P106" s="73" t="str">
        <f t="shared" si="88"/>
        <v>32</v>
      </c>
      <c r="Q106" s="73" t="str">
        <f t="shared" si="89"/>
        <v>52</v>
      </c>
      <c r="R106" s="73" t="str">
        <f t="shared" si="90"/>
        <v>94</v>
      </c>
      <c r="V106" s="73">
        <v>3813</v>
      </c>
      <c r="W106" s="73" t="s">
        <v>93</v>
      </c>
      <c r="Y106" s="283" t="str">
        <f t="shared" si="91"/>
        <v>38</v>
      </c>
      <c r="Z106" s="73" t="str">
        <f t="shared" si="92"/>
        <v>381</v>
      </c>
      <c r="AB106" t="s">
        <v>1883</v>
      </c>
      <c r="AC106" t="s">
        <v>1884</v>
      </c>
      <c r="AD106" s="73" t="s">
        <v>5138</v>
      </c>
      <c r="AE106" s="73" t="s">
        <v>5139</v>
      </c>
      <c r="AF106" s="73" t="s">
        <v>5160</v>
      </c>
      <c r="AG106" s="73" t="s">
        <v>5170</v>
      </c>
    </row>
    <row r="107" spans="1:33">
      <c r="A107" s="355">
        <v>8006</v>
      </c>
      <c r="B107" s="355" t="s">
        <v>45</v>
      </c>
      <c r="C107" s="356">
        <v>52</v>
      </c>
      <c r="D107" s="357" t="s">
        <v>107</v>
      </c>
      <c r="E107" s="356">
        <v>3239</v>
      </c>
      <c r="F107" s="357" t="s">
        <v>82</v>
      </c>
      <c r="G107" s="358" t="s">
        <v>175</v>
      </c>
      <c r="H107" s="357" t="s">
        <v>1231</v>
      </c>
      <c r="I107" s="357" t="str">
        <f t="shared" si="74"/>
        <v>0942</v>
      </c>
      <c r="J107" s="359">
        <v>0</v>
      </c>
      <c r="K107" s="359">
        <f t="shared" si="46"/>
        <v>0</v>
      </c>
      <c r="L107" s="359">
        <v>0</v>
      </c>
      <c r="M107" s="81"/>
      <c r="O107" s="73" t="str">
        <f t="shared" si="87"/>
        <v>323</v>
      </c>
      <c r="P107" s="73" t="str">
        <f t="shared" si="88"/>
        <v>32</v>
      </c>
      <c r="Q107" s="73" t="str">
        <f t="shared" si="89"/>
        <v>52</v>
      </c>
      <c r="R107" s="73" t="str">
        <f t="shared" si="90"/>
        <v>94</v>
      </c>
      <c r="V107" s="73">
        <v>3832</v>
      </c>
      <c r="W107" s="73" t="s">
        <v>188</v>
      </c>
      <c r="Y107" s="283" t="str">
        <f t="shared" si="91"/>
        <v>38</v>
      </c>
      <c r="Z107" s="73" t="str">
        <f t="shared" si="92"/>
        <v>383</v>
      </c>
      <c r="AB107" t="s">
        <v>1887</v>
      </c>
      <c r="AC107" t="s">
        <v>1888</v>
      </c>
      <c r="AD107" s="73" t="s">
        <v>5138</v>
      </c>
      <c r="AE107" s="73" t="s">
        <v>5139</v>
      </c>
      <c r="AF107" s="73" t="s">
        <v>5160</v>
      </c>
      <c r="AG107" s="73" t="s">
        <v>5170</v>
      </c>
    </row>
    <row r="108" spans="1:33">
      <c r="A108" s="355">
        <v>8006</v>
      </c>
      <c r="B108" s="355" t="s">
        <v>45</v>
      </c>
      <c r="C108" s="356">
        <v>52</v>
      </c>
      <c r="D108" s="357" t="s">
        <v>107</v>
      </c>
      <c r="E108" s="356">
        <v>3241</v>
      </c>
      <c r="F108" s="357" t="s">
        <v>80</v>
      </c>
      <c r="G108" s="358" t="s">
        <v>175</v>
      </c>
      <c r="H108" s="357" t="s">
        <v>1231</v>
      </c>
      <c r="I108" s="357" t="str">
        <f t="shared" si="74"/>
        <v>0942</v>
      </c>
      <c r="J108" s="359">
        <v>0</v>
      </c>
      <c r="K108" s="359">
        <f t="shared" si="46"/>
        <v>0</v>
      </c>
      <c r="L108" s="359">
        <v>0</v>
      </c>
      <c r="M108" s="81"/>
      <c r="N108" s="318"/>
      <c r="O108" s="73" t="str">
        <f t="shared" si="47"/>
        <v>324</v>
      </c>
      <c r="P108" s="73" t="str">
        <f t="shared" si="48"/>
        <v>32</v>
      </c>
      <c r="Q108" s="73" t="str">
        <f t="shared" si="49"/>
        <v>52</v>
      </c>
      <c r="R108" s="73" t="str">
        <f t="shared" si="50"/>
        <v>94</v>
      </c>
      <c r="V108" s="73">
        <v>4221</v>
      </c>
      <c r="W108" s="73" t="s">
        <v>94</v>
      </c>
      <c r="Y108" s="283" t="str">
        <f t="shared" si="59"/>
        <v>42</v>
      </c>
      <c r="Z108" s="73" t="str">
        <f t="shared" si="60"/>
        <v>422</v>
      </c>
      <c r="AB108" t="s">
        <v>1635</v>
      </c>
      <c r="AC108" t="s">
        <v>1636</v>
      </c>
      <c r="AD108" s="73" t="s">
        <v>5138</v>
      </c>
      <c r="AE108" s="73" t="s">
        <v>5139</v>
      </c>
      <c r="AF108" s="73" t="s">
        <v>5160</v>
      </c>
      <c r="AG108" s="73" t="s">
        <v>5170</v>
      </c>
    </row>
    <row r="109" spans="1:33">
      <c r="A109" s="355">
        <v>8006</v>
      </c>
      <c r="B109" s="355" t="s">
        <v>45</v>
      </c>
      <c r="C109" s="356">
        <v>52</v>
      </c>
      <c r="D109" s="357" t="s">
        <v>107</v>
      </c>
      <c r="E109" s="356">
        <v>3721</v>
      </c>
      <c r="F109" s="357" t="s">
        <v>65</v>
      </c>
      <c r="G109" s="358" t="s">
        <v>175</v>
      </c>
      <c r="H109" s="357" t="s">
        <v>1231</v>
      </c>
      <c r="I109" s="357" t="str">
        <f t="shared" si="74"/>
        <v>0942</v>
      </c>
      <c r="J109" s="359">
        <v>0</v>
      </c>
      <c r="K109" s="359">
        <f t="shared" si="46"/>
        <v>0</v>
      </c>
      <c r="L109" s="359">
        <v>0</v>
      </c>
      <c r="M109" s="81"/>
      <c r="O109" s="73" t="str">
        <f t="shared" si="47"/>
        <v>372</v>
      </c>
      <c r="P109" s="73" t="str">
        <f t="shared" si="48"/>
        <v>37</v>
      </c>
      <c r="Q109" s="73" t="str">
        <f t="shared" si="49"/>
        <v>52</v>
      </c>
      <c r="R109" s="73" t="str">
        <f t="shared" si="50"/>
        <v>94</v>
      </c>
      <c r="V109" s="73">
        <v>4222</v>
      </c>
      <c r="W109" s="73" t="s">
        <v>104</v>
      </c>
      <c r="Y109" s="283" t="str">
        <f t="shared" si="59"/>
        <v>42</v>
      </c>
      <c r="Z109" s="73" t="str">
        <f t="shared" si="60"/>
        <v>422</v>
      </c>
      <c r="AB109" t="s">
        <v>1919</v>
      </c>
      <c r="AC109" t="s">
        <v>1920</v>
      </c>
      <c r="AD109" s="73" t="s">
        <v>5138</v>
      </c>
      <c r="AE109" s="73" t="s">
        <v>5139</v>
      </c>
      <c r="AF109" s="73" t="s">
        <v>5160</v>
      </c>
      <c r="AG109" s="73" t="s">
        <v>5170</v>
      </c>
    </row>
    <row r="110" spans="1:33">
      <c r="A110" s="355">
        <v>8006</v>
      </c>
      <c r="B110" s="355" t="s">
        <v>45</v>
      </c>
      <c r="C110" s="356">
        <v>52</v>
      </c>
      <c r="D110" s="357" t="s">
        <v>107</v>
      </c>
      <c r="E110" s="356">
        <v>3722</v>
      </c>
      <c r="F110" s="357" t="s">
        <v>148</v>
      </c>
      <c r="G110" s="358" t="s">
        <v>175</v>
      </c>
      <c r="H110" s="357" t="s">
        <v>1231</v>
      </c>
      <c r="I110" s="357" t="str">
        <f t="shared" si="74"/>
        <v>0942</v>
      </c>
      <c r="J110" s="359">
        <v>119000</v>
      </c>
      <c r="K110" s="359">
        <f t="shared" si="46"/>
        <v>-18995</v>
      </c>
      <c r="L110" s="359">
        <v>100005</v>
      </c>
      <c r="M110" s="81"/>
      <c r="N110" s="318"/>
      <c r="O110" s="73" t="str">
        <f t="shared" si="47"/>
        <v>372</v>
      </c>
      <c r="P110" s="73" t="str">
        <f t="shared" si="48"/>
        <v>37</v>
      </c>
      <c r="Q110" s="73" t="str">
        <f t="shared" si="49"/>
        <v>52</v>
      </c>
      <c r="R110" s="73" t="str">
        <f t="shared" si="50"/>
        <v>94</v>
      </c>
      <c r="V110" s="73">
        <v>4223</v>
      </c>
      <c r="W110" s="73" t="s">
        <v>117</v>
      </c>
      <c r="Y110" s="283" t="str">
        <f t="shared" si="59"/>
        <v>42</v>
      </c>
      <c r="Z110" s="73" t="str">
        <f t="shared" si="60"/>
        <v>422</v>
      </c>
      <c r="AB110" t="s">
        <v>1921</v>
      </c>
      <c r="AC110" t="s">
        <v>1922</v>
      </c>
      <c r="AD110" s="73" t="s">
        <v>5138</v>
      </c>
      <c r="AE110" s="73" t="s">
        <v>5139</v>
      </c>
      <c r="AF110" s="73" t="s">
        <v>5160</v>
      </c>
      <c r="AG110" s="73" t="s">
        <v>5170</v>
      </c>
    </row>
    <row r="111" spans="1:33">
      <c r="A111" s="355">
        <v>8006</v>
      </c>
      <c r="B111" s="355" t="s">
        <v>45</v>
      </c>
      <c r="C111" s="356">
        <v>52</v>
      </c>
      <c r="D111" s="357" t="s">
        <v>107</v>
      </c>
      <c r="E111" s="356">
        <v>3237</v>
      </c>
      <c r="F111" s="357" t="s">
        <v>66</v>
      </c>
      <c r="G111" s="358" t="s">
        <v>175</v>
      </c>
      <c r="H111" s="357" t="s">
        <v>1231</v>
      </c>
      <c r="I111" s="357" t="str">
        <f t="shared" si="74"/>
        <v>0942</v>
      </c>
      <c r="J111" s="359"/>
      <c r="K111" s="359">
        <f t="shared" si="46"/>
        <v>0</v>
      </c>
      <c r="L111" s="359"/>
      <c r="M111" s="81"/>
      <c r="O111" s="73" t="str">
        <f t="shared" si="47"/>
        <v>323</v>
      </c>
      <c r="P111" s="73" t="str">
        <f t="shared" si="48"/>
        <v>32</v>
      </c>
      <c r="Q111" s="73" t="str">
        <f t="shared" si="49"/>
        <v>52</v>
      </c>
      <c r="R111" s="73" t="str">
        <f t="shared" si="50"/>
        <v>94</v>
      </c>
      <c r="V111" s="73">
        <v>4224</v>
      </c>
      <c r="W111" s="73" t="s">
        <v>110</v>
      </c>
      <c r="Y111" s="283" t="str">
        <f t="shared" si="59"/>
        <v>42</v>
      </c>
      <c r="Z111" s="73" t="str">
        <f t="shared" si="60"/>
        <v>422</v>
      </c>
      <c r="AB111" t="s">
        <v>1923</v>
      </c>
      <c r="AC111" t="s">
        <v>1924</v>
      </c>
      <c r="AD111" s="73" t="s">
        <v>5138</v>
      </c>
      <c r="AE111" s="73" t="s">
        <v>5139</v>
      </c>
      <c r="AF111" s="73" t="s">
        <v>5160</v>
      </c>
      <c r="AG111" s="73" t="s">
        <v>5170</v>
      </c>
    </row>
    <row r="112" spans="1:33" hidden="1">
      <c r="A112" s="355">
        <v>8006</v>
      </c>
      <c r="B112" s="355" t="s">
        <v>45</v>
      </c>
      <c r="C112" s="356">
        <v>11</v>
      </c>
      <c r="D112" s="357" t="s">
        <v>46</v>
      </c>
      <c r="E112" s="356">
        <v>3211</v>
      </c>
      <c r="F112" s="357" t="s">
        <v>78</v>
      </c>
      <c r="G112" s="358" t="s">
        <v>674</v>
      </c>
      <c r="H112" s="357" t="s">
        <v>675</v>
      </c>
      <c r="I112" s="357" t="str">
        <f t="shared" si="74"/>
        <v>0942</v>
      </c>
      <c r="J112" s="359">
        <v>0</v>
      </c>
      <c r="K112" s="359">
        <f t="shared" si="46"/>
        <v>0</v>
      </c>
      <c r="L112" s="359">
        <v>0</v>
      </c>
      <c r="M112" s="81"/>
      <c r="O112" s="73" t="str">
        <f t="shared" ref="O112" si="93">LEFT(E112,3)</f>
        <v>321</v>
      </c>
      <c r="P112" s="73" t="str">
        <f t="shared" ref="P112" si="94">LEFT(E112,2)</f>
        <v>32</v>
      </c>
      <c r="Q112" s="73" t="str">
        <f t="shared" ref="Q112" si="95">LEFT(C112,3)</f>
        <v>11</v>
      </c>
      <c r="R112" s="73" t="str">
        <f t="shared" ref="R112" si="96">MID(I112,2,2)</f>
        <v>94</v>
      </c>
      <c r="V112" s="73">
        <v>4224</v>
      </c>
      <c r="W112" s="73" t="s">
        <v>110</v>
      </c>
      <c r="Y112" s="283" t="str">
        <f t="shared" ref="Y112" si="97">LEFT(V112,2)</f>
        <v>42</v>
      </c>
      <c r="Z112" s="73" t="str">
        <f t="shared" ref="Z112" si="98">LEFT(V112,3)</f>
        <v>422</v>
      </c>
      <c r="AB112" t="s">
        <v>1923</v>
      </c>
      <c r="AC112" t="s">
        <v>1924</v>
      </c>
      <c r="AD112" s="73" t="s">
        <v>5138</v>
      </c>
      <c r="AE112" s="73" t="s">
        <v>5139</v>
      </c>
      <c r="AF112" s="73" t="s">
        <v>5160</v>
      </c>
      <c r="AG112" s="73" t="s">
        <v>5170</v>
      </c>
    </row>
    <row r="113" spans="1:33" hidden="1">
      <c r="A113" s="355">
        <v>8006</v>
      </c>
      <c r="B113" s="355" t="s">
        <v>45</v>
      </c>
      <c r="C113" s="356">
        <v>11</v>
      </c>
      <c r="D113" s="357" t="s">
        <v>46</v>
      </c>
      <c r="E113" s="356">
        <v>3231</v>
      </c>
      <c r="F113" s="357" t="s">
        <v>100</v>
      </c>
      <c r="G113" s="358" t="s">
        <v>674</v>
      </c>
      <c r="H113" s="357" t="s">
        <v>675</v>
      </c>
      <c r="I113" s="357" t="str">
        <f t="shared" si="74"/>
        <v>0942</v>
      </c>
      <c r="J113" s="359">
        <v>0</v>
      </c>
      <c r="K113" s="359">
        <f t="shared" si="46"/>
        <v>0</v>
      </c>
      <c r="L113" s="359">
        <v>0</v>
      </c>
      <c r="M113" s="81"/>
      <c r="N113" s="318"/>
      <c r="O113" s="73" t="str">
        <f t="shared" si="47"/>
        <v>323</v>
      </c>
      <c r="P113" s="73" t="str">
        <f t="shared" si="48"/>
        <v>32</v>
      </c>
      <c r="Q113" s="73" t="str">
        <f t="shared" si="49"/>
        <v>11</v>
      </c>
      <c r="R113" s="73" t="str">
        <f t="shared" si="50"/>
        <v>94</v>
      </c>
      <c r="V113" s="73">
        <v>4226</v>
      </c>
      <c r="W113" s="73" t="s">
        <v>159</v>
      </c>
      <c r="Y113" s="283" t="str">
        <f t="shared" si="59"/>
        <v>42</v>
      </c>
      <c r="Z113" s="73" t="str">
        <f t="shared" si="60"/>
        <v>422</v>
      </c>
      <c r="AB113" t="s">
        <v>1927</v>
      </c>
      <c r="AC113" t="s">
        <v>1928</v>
      </c>
      <c r="AD113" s="73" t="s">
        <v>5138</v>
      </c>
      <c r="AE113" s="73" t="s">
        <v>5139</v>
      </c>
      <c r="AF113" s="73" t="s">
        <v>5160</v>
      </c>
      <c r="AG113" s="73" t="s">
        <v>5170</v>
      </c>
    </row>
    <row r="114" spans="1:33" hidden="1">
      <c r="A114" s="355">
        <v>8006</v>
      </c>
      <c r="B114" s="355" t="s">
        <v>45</v>
      </c>
      <c r="C114" s="356">
        <v>11</v>
      </c>
      <c r="D114" s="357" t="s">
        <v>46</v>
      </c>
      <c r="E114" s="356">
        <v>3233</v>
      </c>
      <c r="F114" s="357" t="s">
        <v>77</v>
      </c>
      <c r="G114" s="358" t="s">
        <v>674</v>
      </c>
      <c r="H114" s="357" t="s">
        <v>675</v>
      </c>
      <c r="I114" s="357" t="str">
        <f t="shared" si="74"/>
        <v>0942</v>
      </c>
      <c r="J114" s="359">
        <v>0</v>
      </c>
      <c r="K114" s="359">
        <f t="shared" si="46"/>
        <v>0</v>
      </c>
      <c r="L114" s="359">
        <v>0</v>
      </c>
      <c r="M114" s="81"/>
      <c r="O114" s="73" t="str">
        <f t="shared" si="47"/>
        <v>323</v>
      </c>
      <c r="P114" s="73" t="str">
        <f t="shared" si="48"/>
        <v>32</v>
      </c>
      <c r="Q114" s="73" t="str">
        <f t="shared" si="49"/>
        <v>11</v>
      </c>
      <c r="R114" s="73" t="str">
        <f t="shared" si="50"/>
        <v>94</v>
      </c>
      <c r="V114" s="73">
        <v>4227</v>
      </c>
      <c r="W114" s="73" t="s">
        <v>127</v>
      </c>
      <c r="Y114" s="283" t="str">
        <f t="shared" si="59"/>
        <v>42</v>
      </c>
      <c r="Z114" s="73" t="str">
        <f t="shared" si="60"/>
        <v>422</v>
      </c>
      <c r="AB114" t="s">
        <v>1929</v>
      </c>
      <c r="AC114" t="s">
        <v>1930</v>
      </c>
      <c r="AD114" s="73" t="s">
        <v>5138</v>
      </c>
      <c r="AE114" s="73" t="s">
        <v>5139</v>
      </c>
      <c r="AF114" s="73" t="s">
        <v>5160</v>
      </c>
      <c r="AG114" s="73" t="s">
        <v>5170</v>
      </c>
    </row>
    <row r="115" spans="1:33" hidden="1">
      <c r="A115" s="355">
        <v>8006</v>
      </c>
      <c r="B115" s="355" t="s">
        <v>45</v>
      </c>
      <c r="C115" s="356">
        <v>11</v>
      </c>
      <c r="D115" s="357" t="s">
        <v>46</v>
      </c>
      <c r="E115" s="356">
        <v>3241</v>
      </c>
      <c r="F115" s="357" t="s">
        <v>80</v>
      </c>
      <c r="G115" s="358" t="s">
        <v>674</v>
      </c>
      <c r="H115" s="357" t="s">
        <v>675</v>
      </c>
      <c r="I115" s="357" t="str">
        <f t="shared" si="74"/>
        <v>0942</v>
      </c>
      <c r="J115" s="359">
        <v>0</v>
      </c>
      <c r="K115" s="359">
        <f t="shared" si="46"/>
        <v>0</v>
      </c>
      <c r="L115" s="359">
        <v>0</v>
      </c>
      <c r="M115" s="81"/>
      <c r="O115" s="73" t="str">
        <f t="shared" si="47"/>
        <v>324</v>
      </c>
      <c r="P115" s="73" t="str">
        <f t="shared" si="48"/>
        <v>32</v>
      </c>
      <c r="Q115" s="73" t="str">
        <f t="shared" si="49"/>
        <v>11</v>
      </c>
      <c r="R115" s="73" t="str">
        <f t="shared" si="50"/>
        <v>94</v>
      </c>
      <c r="V115" s="73">
        <v>4231</v>
      </c>
      <c r="W115" s="73" t="s">
        <v>160</v>
      </c>
      <c r="Y115" s="283" t="str">
        <f t="shared" si="59"/>
        <v>42</v>
      </c>
      <c r="Z115" s="73" t="str">
        <f t="shared" si="60"/>
        <v>423</v>
      </c>
      <c r="AB115" t="s">
        <v>1931</v>
      </c>
      <c r="AC115" t="s">
        <v>1932</v>
      </c>
      <c r="AD115" s="73" t="s">
        <v>5138</v>
      </c>
      <c r="AE115" s="73" t="s">
        <v>5139</v>
      </c>
      <c r="AF115" s="73" t="s">
        <v>5160</v>
      </c>
      <c r="AG115" s="73" t="s">
        <v>5170</v>
      </c>
    </row>
    <row r="116" spans="1:33" hidden="1">
      <c r="A116" s="355">
        <v>8006</v>
      </c>
      <c r="B116" s="355" t="s">
        <v>45</v>
      </c>
      <c r="C116" s="356">
        <v>11</v>
      </c>
      <c r="D116" s="357" t="s">
        <v>46</v>
      </c>
      <c r="E116" s="356">
        <v>3293</v>
      </c>
      <c r="F116" s="357" t="s">
        <v>83</v>
      </c>
      <c r="G116" s="358" t="s">
        <v>674</v>
      </c>
      <c r="H116" s="357" t="s">
        <v>675</v>
      </c>
      <c r="I116" s="357" t="str">
        <f t="shared" si="74"/>
        <v>0942</v>
      </c>
      <c r="J116" s="359">
        <v>0</v>
      </c>
      <c r="K116" s="359">
        <f t="shared" si="46"/>
        <v>0</v>
      </c>
      <c r="L116" s="359">
        <v>0</v>
      </c>
      <c r="M116" s="81"/>
      <c r="O116" s="73" t="str">
        <f t="shared" si="47"/>
        <v>329</v>
      </c>
      <c r="P116" s="73" t="str">
        <f t="shared" si="48"/>
        <v>32</v>
      </c>
      <c r="Q116" s="73" t="str">
        <f t="shared" si="49"/>
        <v>11</v>
      </c>
      <c r="R116" s="73" t="str">
        <f t="shared" si="50"/>
        <v>94</v>
      </c>
      <c r="V116" s="73">
        <v>4233</v>
      </c>
      <c r="W116" s="73" t="s">
        <v>168</v>
      </c>
      <c r="Y116" s="283" t="str">
        <f t="shared" ref="Y116:Y126" si="99">LEFT(V116,2)</f>
        <v>42</v>
      </c>
      <c r="Z116" s="73" t="str">
        <f t="shared" si="60"/>
        <v>423</v>
      </c>
      <c r="AB116" t="s">
        <v>1933</v>
      </c>
      <c r="AC116" t="s">
        <v>1934</v>
      </c>
      <c r="AD116" s="73" t="s">
        <v>5136</v>
      </c>
      <c r="AE116" s="73" t="s">
        <v>5137</v>
      </c>
      <c r="AF116" s="73" t="s">
        <v>5162</v>
      </c>
      <c r="AG116" s="73" t="s">
        <v>5163</v>
      </c>
    </row>
    <row r="117" spans="1:33" hidden="1">
      <c r="A117" s="355"/>
      <c r="B117" s="355"/>
      <c r="C117" s="356"/>
      <c r="D117" s="357"/>
      <c r="E117" s="356"/>
      <c r="F117" s="357"/>
      <c r="G117" s="358"/>
      <c r="H117" s="357"/>
      <c r="I117" s="357" t="str">
        <f t="shared" si="74"/>
        <v/>
      </c>
      <c r="J117" s="359"/>
      <c r="K117" s="359"/>
      <c r="L117" s="359"/>
      <c r="M117" s="81"/>
      <c r="O117" s="73" t="str">
        <f t="shared" si="47"/>
        <v/>
      </c>
      <c r="P117" s="73" t="str">
        <f t="shared" si="48"/>
        <v/>
      </c>
      <c r="Q117" s="73" t="str">
        <f t="shared" si="49"/>
        <v/>
      </c>
      <c r="R117" s="73" t="str">
        <f t="shared" si="50"/>
        <v/>
      </c>
      <c r="V117" s="73">
        <v>4241</v>
      </c>
      <c r="W117" s="73" t="s">
        <v>105</v>
      </c>
      <c r="Y117" s="283" t="str">
        <f t="shared" si="99"/>
        <v>42</v>
      </c>
      <c r="Z117" s="73" t="str">
        <f t="shared" si="60"/>
        <v>424</v>
      </c>
      <c r="AB117" t="s">
        <v>1637</v>
      </c>
      <c r="AC117" t="s">
        <v>1638</v>
      </c>
      <c r="AD117" s="73" t="s">
        <v>5150</v>
      </c>
      <c r="AE117" s="73" t="s">
        <v>5151</v>
      </c>
      <c r="AF117" s="73" t="s">
        <v>5160</v>
      </c>
      <c r="AG117" s="73" t="s">
        <v>5171</v>
      </c>
    </row>
    <row r="118" spans="1:33" hidden="1">
      <c r="A118" s="355"/>
      <c r="B118" s="355"/>
      <c r="C118" s="356"/>
      <c r="D118" s="357"/>
      <c r="E118" s="356"/>
      <c r="F118" s="357"/>
      <c r="G118" s="358"/>
      <c r="H118" s="357"/>
      <c r="I118" s="357" t="str">
        <f t="shared" si="74"/>
        <v/>
      </c>
      <c r="J118" s="359"/>
      <c r="K118" s="359"/>
      <c r="L118" s="359"/>
      <c r="M118" s="81"/>
      <c r="O118" s="73" t="str">
        <f t="shared" si="47"/>
        <v/>
      </c>
      <c r="P118" s="73" t="str">
        <f t="shared" si="48"/>
        <v/>
      </c>
      <c r="Q118" s="73" t="str">
        <f t="shared" si="49"/>
        <v/>
      </c>
      <c r="R118" s="73" t="str">
        <f t="shared" si="50"/>
        <v/>
      </c>
      <c r="V118" s="73">
        <v>4242</v>
      </c>
      <c r="W118" s="73" t="s">
        <v>137</v>
      </c>
      <c r="Y118" s="283" t="str">
        <f t="shared" si="99"/>
        <v>42</v>
      </c>
      <c r="Z118" s="73" t="str">
        <f t="shared" si="60"/>
        <v>424</v>
      </c>
      <c r="AB118" t="s">
        <v>1935</v>
      </c>
      <c r="AC118" t="s">
        <v>1936</v>
      </c>
      <c r="AD118" s="73" t="s">
        <v>5138</v>
      </c>
      <c r="AE118" s="73" t="s">
        <v>5139</v>
      </c>
      <c r="AF118" s="73" t="s">
        <v>5160</v>
      </c>
      <c r="AG118" s="73" t="s">
        <v>5170</v>
      </c>
    </row>
    <row r="119" spans="1:33" hidden="1">
      <c r="A119" s="355"/>
      <c r="B119" s="355"/>
      <c r="C119" s="356"/>
      <c r="D119" s="357"/>
      <c r="E119" s="356"/>
      <c r="F119" s="357"/>
      <c r="G119" s="358"/>
      <c r="H119" s="357"/>
      <c r="I119" s="357" t="str">
        <f t="shared" si="74"/>
        <v/>
      </c>
      <c r="J119" s="359"/>
      <c r="K119" s="359"/>
      <c r="L119" s="359"/>
      <c r="M119" s="81"/>
      <c r="O119" s="73" t="str">
        <f t="shared" ref="O119" si="100">LEFT(E119,3)</f>
        <v/>
      </c>
      <c r="P119" s="73" t="str">
        <f t="shared" ref="P119" si="101">LEFT(E119,2)</f>
        <v/>
      </c>
      <c r="Q119" s="73" t="str">
        <f t="shared" ref="Q119" si="102">LEFT(C119,3)</f>
        <v/>
      </c>
      <c r="R119" s="73" t="str">
        <f t="shared" ref="R119" si="103">MID(I119,2,2)</f>
        <v/>
      </c>
      <c r="V119" s="73">
        <v>4242</v>
      </c>
      <c r="W119" s="73" t="s">
        <v>137</v>
      </c>
      <c r="Y119" s="283" t="str">
        <f t="shared" ref="Y119" si="104">LEFT(V119,2)</f>
        <v>42</v>
      </c>
      <c r="Z119" s="73" t="str">
        <f t="shared" ref="Z119" si="105">LEFT(V119,3)</f>
        <v>424</v>
      </c>
      <c r="AB119" t="s">
        <v>1935</v>
      </c>
      <c r="AC119" t="s">
        <v>1936</v>
      </c>
      <c r="AD119" s="73" t="s">
        <v>5138</v>
      </c>
      <c r="AE119" s="73" t="s">
        <v>5139</v>
      </c>
      <c r="AF119" s="73" t="s">
        <v>5160</v>
      </c>
      <c r="AG119" s="73" t="s">
        <v>5170</v>
      </c>
    </row>
    <row r="120" spans="1:33" hidden="1">
      <c r="A120" s="355"/>
      <c r="B120" s="355"/>
      <c r="C120" s="356"/>
      <c r="D120" s="357"/>
      <c r="E120" s="356"/>
      <c r="F120" s="357"/>
      <c r="G120" s="358"/>
      <c r="H120" s="357"/>
      <c r="I120" s="357" t="str">
        <f t="shared" si="74"/>
        <v/>
      </c>
      <c r="J120" s="359"/>
      <c r="K120" s="359"/>
      <c r="L120" s="359"/>
      <c r="M120" s="81"/>
      <c r="O120" s="73" t="str">
        <f t="shared" si="47"/>
        <v/>
      </c>
      <c r="P120" s="73" t="str">
        <f t="shared" si="48"/>
        <v/>
      </c>
      <c r="Q120" s="73" t="str">
        <f t="shared" si="49"/>
        <v/>
      </c>
      <c r="R120" s="73" t="str">
        <f t="shared" si="50"/>
        <v/>
      </c>
      <c r="V120" s="73">
        <v>4244</v>
      </c>
      <c r="W120" s="73" t="s">
        <v>169</v>
      </c>
      <c r="Y120" s="283" t="str">
        <f t="shared" si="99"/>
        <v>42</v>
      </c>
      <c r="Z120" s="73" t="str">
        <f t="shared" si="60"/>
        <v>424</v>
      </c>
      <c r="AB120" t="s">
        <v>1639</v>
      </c>
      <c r="AC120" t="s">
        <v>1640</v>
      </c>
      <c r="AD120" s="73" t="s">
        <v>5136</v>
      </c>
      <c r="AE120" s="73" t="s">
        <v>5137</v>
      </c>
      <c r="AF120" s="73" t="s">
        <v>5162</v>
      </c>
      <c r="AG120" s="73" t="s">
        <v>5163</v>
      </c>
    </row>
    <row r="121" spans="1:33" hidden="1">
      <c r="A121" s="355"/>
      <c r="B121" s="355"/>
      <c r="C121" s="356"/>
      <c r="D121" s="357"/>
      <c r="E121" s="356"/>
      <c r="F121" s="357"/>
      <c r="G121" s="358"/>
      <c r="H121" s="357"/>
      <c r="I121" s="357" t="str">
        <f t="shared" si="74"/>
        <v/>
      </c>
      <c r="J121" s="359"/>
      <c r="K121" s="359"/>
      <c r="L121" s="359"/>
      <c r="M121" s="81"/>
      <c r="N121" s="318"/>
      <c r="O121" s="73" t="str">
        <f t="shared" si="47"/>
        <v/>
      </c>
      <c r="P121" s="73" t="str">
        <f t="shared" si="48"/>
        <v/>
      </c>
      <c r="Q121" s="73" t="str">
        <f t="shared" si="49"/>
        <v/>
      </c>
      <c r="R121" s="73" t="str">
        <f t="shared" si="50"/>
        <v/>
      </c>
      <c r="V121" s="73">
        <v>4251</v>
      </c>
      <c r="W121" s="73" t="s">
        <v>161</v>
      </c>
      <c r="Y121" s="283" t="str">
        <f t="shared" si="99"/>
        <v>42</v>
      </c>
      <c r="Z121" s="73" t="str">
        <f t="shared" si="60"/>
        <v>425</v>
      </c>
      <c r="AB121" t="s">
        <v>957</v>
      </c>
      <c r="AC121" t="s">
        <v>958</v>
      </c>
      <c r="AD121" s="73" t="s">
        <v>5136</v>
      </c>
      <c r="AE121" s="73" t="s">
        <v>5137</v>
      </c>
      <c r="AF121" s="73" t="s">
        <v>5162</v>
      </c>
      <c r="AG121" s="73" t="s">
        <v>5163</v>
      </c>
    </row>
    <row r="122" spans="1:33" hidden="1">
      <c r="A122" s="355"/>
      <c r="B122" s="355"/>
      <c r="C122" s="356"/>
      <c r="D122" s="357"/>
      <c r="E122" s="356"/>
      <c r="F122" s="357"/>
      <c r="G122" s="358"/>
      <c r="H122" s="357"/>
      <c r="I122" s="357" t="str">
        <f t="shared" ref="I122:I185" si="106">IFERROR(VLOOKUP(G122,$AB$6:$AF$324,3,FALSE),"")</f>
        <v/>
      </c>
      <c r="J122" s="359"/>
      <c r="K122" s="359"/>
      <c r="L122" s="359"/>
      <c r="M122" s="81"/>
      <c r="O122" s="73" t="str">
        <f t="shared" si="47"/>
        <v/>
      </c>
      <c r="P122" s="73" t="str">
        <f t="shared" si="48"/>
        <v/>
      </c>
      <c r="Q122" s="73" t="str">
        <f t="shared" si="49"/>
        <v/>
      </c>
      <c r="R122" s="73" t="str">
        <f t="shared" si="50"/>
        <v/>
      </c>
      <c r="V122" s="73">
        <v>5431</v>
      </c>
      <c r="W122" s="73" t="s">
        <v>260</v>
      </c>
      <c r="Y122" s="283" t="str">
        <f t="shared" si="99"/>
        <v>54</v>
      </c>
      <c r="Z122" s="73" t="str">
        <f t="shared" ref="Z122:Z126" si="107">LEFT(V122,3)</f>
        <v>543</v>
      </c>
      <c r="AB122" t="s">
        <v>959</v>
      </c>
      <c r="AC122" t="s">
        <v>1647</v>
      </c>
      <c r="AD122" s="73" t="s">
        <v>5136</v>
      </c>
      <c r="AE122" s="73" t="s">
        <v>5137</v>
      </c>
      <c r="AF122" s="73" t="s">
        <v>5162</v>
      </c>
      <c r="AG122" s="73" t="s">
        <v>5163</v>
      </c>
    </row>
    <row r="123" spans="1:33" hidden="1">
      <c r="A123" s="355"/>
      <c r="B123" s="355"/>
      <c r="C123" s="356"/>
      <c r="D123" s="357"/>
      <c r="E123" s="356"/>
      <c r="F123" s="357"/>
      <c r="G123" s="358"/>
      <c r="H123" s="357"/>
      <c r="I123" s="357" t="str">
        <f t="shared" si="106"/>
        <v/>
      </c>
      <c r="J123" s="359"/>
      <c r="K123" s="359"/>
      <c r="L123" s="359"/>
      <c r="M123" s="81"/>
      <c r="O123" s="73" t="str">
        <f t="shared" si="47"/>
        <v/>
      </c>
      <c r="P123" s="73" t="str">
        <f t="shared" si="48"/>
        <v/>
      </c>
      <c r="Q123" s="73" t="str">
        <f t="shared" si="49"/>
        <v/>
      </c>
      <c r="R123" s="73" t="str">
        <f t="shared" si="50"/>
        <v/>
      </c>
      <c r="V123" s="73">
        <v>5443</v>
      </c>
      <c r="W123" s="73" t="s">
        <v>641</v>
      </c>
      <c r="Y123" s="283" t="str">
        <f t="shared" si="99"/>
        <v>54</v>
      </c>
      <c r="Z123" s="73" t="str">
        <f t="shared" si="107"/>
        <v>544</v>
      </c>
      <c r="AB123" t="s">
        <v>1976</v>
      </c>
      <c r="AC123" t="s">
        <v>3462</v>
      </c>
      <c r="AD123" s="73" t="s">
        <v>5138</v>
      </c>
      <c r="AE123" s="73" t="s">
        <v>5139</v>
      </c>
      <c r="AF123" s="73" t="s">
        <v>5160</v>
      </c>
      <c r="AG123" s="73" t="s">
        <v>5170</v>
      </c>
    </row>
    <row r="124" spans="1:33" hidden="1">
      <c r="A124" s="355"/>
      <c r="B124" s="355"/>
      <c r="C124" s="356"/>
      <c r="D124" s="357"/>
      <c r="E124" s="356"/>
      <c r="F124" s="357"/>
      <c r="G124" s="358"/>
      <c r="H124" s="357"/>
      <c r="I124" s="357" t="str">
        <f t="shared" si="106"/>
        <v/>
      </c>
      <c r="J124" s="359"/>
      <c r="K124" s="359"/>
      <c r="L124" s="359"/>
      <c r="M124" s="81"/>
      <c r="O124" s="73" t="str">
        <f t="shared" si="47"/>
        <v/>
      </c>
      <c r="P124" s="73" t="str">
        <f t="shared" si="48"/>
        <v/>
      </c>
      <c r="Q124" s="73" t="str">
        <f t="shared" si="49"/>
        <v/>
      </c>
      <c r="R124" s="73" t="str">
        <f t="shared" si="50"/>
        <v/>
      </c>
      <c r="V124" s="73">
        <v>5445</v>
      </c>
      <c r="W124" s="73" t="s">
        <v>642</v>
      </c>
      <c r="Y124" s="283" t="str">
        <f t="shared" si="99"/>
        <v>54</v>
      </c>
      <c r="Z124" s="73" t="str">
        <f t="shared" si="107"/>
        <v>544</v>
      </c>
      <c r="AB124" t="s">
        <v>1977</v>
      </c>
      <c r="AC124" t="s">
        <v>1978</v>
      </c>
      <c r="AD124" s="73" t="s">
        <v>5134</v>
      </c>
      <c r="AE124" s="73" t="s">
        <v>5135</v>
      </c>
      <c r="AF124" s="73" t="s">
        <v>5160</v>
      </c>
      <c r="AG124" s="73" t="s">
        <v>5167</v>
      </c>
    </row>
    <row r="125" spans="1:33" hidden="1">
      <c r="A125" s="355"/>
      <c r="B125" s="355"/>
      <c r="C125" s="356"/>
      <c r="D125" s="357"/>
      <c r="E125" s="356"/>
      <c r="F125" s="357"/>
      <c r="G125" s="358"/>
      <c r="H125" s="357"/>
      <c r="I125" s="357" t="str">
        <f t="shared" si="106"/>
        <v/>
      </c>
      <c r="J125" s="359"/>
      <c r="K125" s="359"/>
      <c r="L125" s="359"/>
      <c r="M125" s="81"/>
      <c r="O125" s="73" t="str">
        <f t="shared" si="47"/>
        <v/>
      </c>
      <c r="P125" s="73" t="str">
        <f t="shared" si="48"/>
        <v/>
      </c>
      <c r="Q125" s="73" t="str">
        <f t="shared" si="49"/>
        <v/>
      </c>
      <c r="R125" s="73" t="str">
        <f t="shared" si="50"/>
        <v/>
      </c>
      <c r="V125" s="73">
        <v>5453</v>
      </c>
      <c r="W125" s="73" t="s">
        <v>643</v>
      </c>
      <c r="Y125" s="283" t="str">
        <f t="shared" si="99"/>
        <v>54</v>
      </c>
      <c r="Z125" s="73" t="str">
        <f t="shared" si="107"/>
        <v>545</v>
      </c>
      <c r="AB125" t="s">
        <v>1979</v>
      </c>
      <c r="AC125" t="s">
        <v>3463</v>
      </c>
      <c r="AD125" s="73" t="s">
        <v>5150</v>
      </c>
      <c r="AE125" s="73" t="s">
        <v>5151</v>
      </c>
      <c r="AF125" s="73" t="s">
        <v>5160</v>
      </c>
      <c r="AG125" s="73" t="s">
        <v>5171</v>
      </c>
    </row>
    <row r="126" spans="1:33" hidden="1">
      <c r="A126" s="355"/>
      <c r="B126" s="355"/>
      <c r="C126" s="356"/>
      <c r="D126" s="357"/>
      <c r="E126" s="356"/>
      <c r="F126" s="357"/>
      <c r="G126" s="358"/>
      <c r="H126" s="357"/>
      <c r="I126" s="357" t="str">
        <f t="shared" si="106"/>
        <v/>
      </c>
      <c r="J126" s="359"/>
      <c r="K126" s="359"/>
      <c r="L126" s="359"/>
      <c r="M126" s="81"/>
      <c r="N126" s="318"/>
      <c r="O126" s="73" t="str">
        <f t="shared" si="47"/>
        <v/>
      </c>
      <c r="P126" s="73" t="str">
        <f t="shared" si="48"/>
        <v/>
      </c>
      <c r="Q126" s="73" t="str">
        <f t="shared" si="49"/>
        <v/>
      </c>
      <c r="R126" s="73" t="str">
        <f t="shared" si="50"/>
        <v/>
      </c>
      <c r="V126" s="73">
        <v>5472</v>
      </c>
      <c r="W126" s="73" t="s">
        <v>644</v>
      </c>
      <c r="Y126" s="283" t="str">
        <f t="shared" si="99"/>
        <v>54</v>
      </c>
      <c r="Z126" s="73" t="str">
        <f t="shared" si="107"/>
        <v>547</v>
      </c>
      <c r="AB126" t="s">
        <v>3464</v>
      </c>
      <c r="AC126" t="s">
        <v>3465</v>
      </c>
      <c r="AD126" s="73" t="s">
        <v>5136</v>
      </c>
      <c r="AE126" s="73" t="s">
        <v>5137</v>
      </c>
      <c r="AF126" s="73" t="s">
        <v>5162</v>
      </c>
      <c r="AG126" s="73" t="s">
        <v>5163</v>
      </c>
    </row>
    <row r="127" spans="1:33" hidden="1">
      <c r="A127" s="355"/>
      <c r="B127" s="355"/>
      <c r="C127" s="356"/>
      <c r="D127" s="357"/>
      <c r="E127" s="356"/>
      <c r="F127" s="357"/>
      <c r="G127" s="358"/>
      <c r="H127" s="357"/>
      <c r="I127" s="357" t="str">
        <f t="shared" si="106"/>
        <v/>
      </c>
      <c r="J127" s="359"/>
      <c r="K127" s="359"/>
      <c r="L127" s="359"/>
      <c r="M127" s="81"/>
      <c r="O127" s="73" t="str">
        <f t="shared" si="47"/>
        <v/>
      </c>
      <c r="P127" s="73" t="str">
        <f t="shared" si="48"/>
        <v/>
      </c>
      <c r="Q127" s="73" t="str">
        <f t="shared" si="49"/>
        <v/>
      </c>
      <c r="R127" s="73" t="str">
        <f t="shared" si="50"/>
        <v/>
      </c>
      <c r="AB127" t="s">
        <v>1980</v>
      </c>
      <c r="AC127" t="s">
        <v>1981</v>
      </c>
      <c r="AD127" s="73" t="s">
        <v>5138</v>
      </c>
      <c r="AE127" s="73" t="s">
        <v>5139</v>
      </c>
      <c r="AF127" s="73" t="s">
        <v>5160</v>
      </c>
      <c r="AG127" s="73" t="s">
        <v>5170</v>
      </c>
    </row>
    <row r="128" spans="1:33" hidden="1">
      <c r="A128" s="355"/>
      <c r="B128" s="355"/>
      <c r="C128" s="356"/>
      <c r="D128" s="357"/>
      <c r="E128" s="356"/>
      <c r="F128" s="357"/>
      <c r="G128" s="358"/>
      <c r="H128" s="357"/>
      <c r="I128" s="357" t="str">
        <f t="shared" si="106"/>
        <v/>
      </c>
      <c r="J128" s="359"/>
      <c r="K128" s="359"/>
      <c r="L128" s="359"/>
      <c r="M128" s="81"/>
      <c r="N128" s="318"/>
      <c r="O128" s="73" t="str">
        <f t="shared" si="47"/>
        <v/>
      </c>
      <c r="P128" s="73" t="str">
        <f t="shared" si="48"/>
        <v/>
      </c>
      <c r="Q128" s="73" t="str">
        <f t="shared" si="49"/>
        <v/>
      </c>
      <c r="R128" s="73" t="str">
        <f t="shared" si="50"/>
        <v/>
      </c>
      <c r="AB128" t="s">
        <v>1982</v>
      </c>
      <c r="AC128" t="s">
        <v>1983</v>
      </c>
      <c r="AD128" s="73" t="s">
        <v>5142</v>
      </c>
      <c r="AE128" s="73" t="s">
        <v>5143</v>
      </c>
      <c r="AF128" s="73" t="s">
        <v>5160</v>
      </c>
      <c r="AG128" s="73" t="s">
        <v>5168</v>
      </c>
    </row>
    <row r="129" spans="1:33" hidden="1">
      <c r="A129" s="355"/>
      <c r="B129" s="355"/>
      <c r="C129" s="356"/>
      <c r="D129" s="357"/>
      <c r="E129" s="356"/>
      <c r="F129" s="357"/>
      <c r="G129" s="358"/>
      <c r="H129" s="357"/>
      <c r="I129" s="357" t="str">
        <f t="shared" si="106"/>
        <v/>
      </c>
      <c r="J129" s="359"/>
      <c r="K129" s="359"/>
      <c r="L129" s="359"/>
      <c r="M129" s="81"/>
      <c r="O129" s="73" t="str">
        <f t="shared" ref="O129:O192" si="108">LEFT(E129,3)</f>
        <v/>
      </c>
      <c r="P129" s="73" t="str">
        <f t="shared" ref="P129:P192" si="109">LEFT(E129,2)</f>
        <v/>
      </c>
      <c r="Q129" s="73" t="str">
        <f t="shared" ref="Q129:Q192" si="110">LEFT(C129,3)</f>
        <v/>
      </c>
      <c r="R129" s="73" t="str">
        <f t="shared" ref="R129:R192" si="111">MID(I129,2,2)</f>
        <v/>
      </c>
      <c r="AB129" t="s">
        <v>1984</v>
      </c>
      <c r="AC129" t="s">
        <v>1985</v>
      </c>
      <c r="AD129" s="73" t="s">
        <v>5136</v>
      </c>
      <c r="AE129" s="73" t="s">
        <v>5137</v>
      </c>
      <c r="AF129" s="73" t="s">
        <v>5162</v>
      </c>
      <c r="AG129" s="73" t="s">
        <v>5163</v>
      </c>
    </row>
    <row r="130" spans="1:33" hidden="1">
      <c r="A130" s="355"/>
      <c r="B130" s="355"/>
      <c r="C130" s="356"/>
      <c r="D130" s="357"/>
      <c r="E130" s="356"/>
      <c r="F130" s="357"/>
      <c r="G130" s="358"/>
      <c r="H130" s="357"/>
      <c r="I130" s="357" t="str">
        <f t="shared" si="106"/>
        <v/>
      </c>
      <c r="J130" s="359"/>
      <c r="K130" s="359"/>
      <c r="L130" s="359"/>
      <c r="M130" s="81"/>
      <c r="N130" s="318"/>
      <c r="O130" s="73" t="str">
        <f t="shared" si="108"/>
        <v/>
      </c>
      <c r="P130" s="73" t="str">
        <f t="shared" si="109"/>
        <v/>
      </c>
      <c r="Q130" s="73" t="str">
        <f t="shared" si="110"/>
        <v/>
      </c>
      <c r="R130" s="73" t="str">
        <f t="shared" si="111"/>
        <v/>
      </c>
      <c r="AB130" t="s">
        <v>3466</v>
      </c>
      <c r="AC130" t="s">
        <v>3467</v>
      </c>
      <c r="AD130" s="73" t="s">
        <v>5150</v>
      </c>
      <c r="AE130" s="73" t="s">
        <v>5151</v>
      </c>
      <c r="AF130" s="73" t="s">
        <v>5160</v>
      </c>
      <c r="AG130" s="73" t="s">
        <v>5171</v>
      </c>
    </row>
    <row r="131" spans="1:33" hidden="1">
      <c r="A131" s="355"/>
      <c r="B131" s="355"/>
      <c r="C131" s="356"/>
      <c r="D131" s="357"/>
      <c r="E131" s="356"/>
      <c r="F131" s="357"/>
      <c r="G131" s="358"/>
      <c r="H131" s="357"/>
      <c r="I131" s="357" t="str">
        <f t="shared" si="106"/>
        <v/>
      </c>
      <c r="J131" s="359"/>
      <c r="K131" s="359"/>
      <c r="L131" s="359"/>
      <c r="M131" s="81"/>
      <c r="O131" s="73" t="str">
        <f t="shared" si="108"/>
        <v/>
      </c>
      <c r="P131" s="73" t="str">
        <f t="shared" si="109"/>
        <v/>
      </c>
      <c r="Q131" s="73" t="str">
        <f t="shared" si="110"/>
        <v/>
      </c>
      <c r="R131" s="73" t="str">
        <f t="shared" si="111"/>
        <v/>
      </c>
      <c r="AB131" t="s">
        <v>1989</v>
      </c>
      <c r="AC131" t="s">
        <v>1990</v>
      </c>
      <c r="AD131" s="73" t="s">
        <v>5150</v>
      </c>
      <c r="AE131" s="73" t="s">
        <v>5151</v>
      </c>
      <c r="AF131" s="73" t="s">
        <v>5160</v>
      </c>
      <c r="AG131" s="73" t="s">
        <v>5171</v>
      </c>
    </row>
    <row r="132" spans="1:33" hidden="1">
      <c r="A132" s="355" t="str">
        <f>IF(C132="","",VLOOKUP('OPĆI DIO'!$C$3,'OPĆI DIO'!$L$6:$U$138,10,FALSE))</f>
        <v/>
      </c>
      <c r="B132" s="355" t="str">
        <f>IF(C132="","",VLOOKUP('OPĆI DIO'!$C$3,'OPĆI DIO'!$L$6:$U$138,9,FALSE))</f>
        <v/>
      </c>
      <c r="C132" s="356"/>
      <c r="D132" s="357" t="str">
        <f t="shared" ref="D132:D185" si="112">IFERROR(VLOOKUP(C132,$S$6:$T$27,2,FALSE),"")</f>
        <v/>
      </c>
      <c r="E132" s="356"/>
      <c r="F132" s="357" t="str">
        <f t="shared" ref="F132:F185" si="113">IFERROR(VLOOKUP(E132,$V$5:$X$126,2,FALSE),"")</f>
        <v/>
      </c>
      <c r="G132" s="358"/>
      <c r="H132" s="357" t="str">
        <f t="shared" ref="H132:H185" si="114">IFERROR(VLOOKUP(G132,$AB$6:$AC$324,2,FALSE),"")</f>
        <v/>
      </c>
      <c r="I132" s="357" t="str">
        <f t="shared" si="106"/>
        <v/>
      </c>
      <c r="J132" s="359"/>
      <c r="K132" s="359"/>
      <c r="L132" s="359"/>
      <c r="M132" s="81"/>
      <c r="O132" s="73" t="str">
        <f t="shared" si="108"/>
        <v/>
      </c>
      <c r="P132" s="73" t="str">
        <f t="shared" si="109"/>
        <v/>
      </c>
      <c r="Q132" s="73" t="str">
        <f t="shared" si="110"/>
        <v/>
      </c>
      <c r="R132" s="73" t="str">
        <f t="shared" si="111"/>
        <v/>
      </c>
      <c r="AB132" t="s">
        <v>1989</v>
      </c>
      <c r="AC132" t="s">
        <v>1990</v>
      </c>
      <c r="AD132" s="73" t="s">
        <v>5138</v>
      </c>
      <c r="AE132" s="73" t="s">
        <v>5139</v>
      </c>
      <c r="AF132" s="73" t="s">
        <v>5160</v>
      </c>
      <c r="AG132" s="73" t="s">
        <v>5170</v>
      </c>
    </row>
    <row r="133" spans="1:33" hidden="1">
      <c r="A133" s="355" t="str">
        <f>IF(C133="","",VLOOKUP('OPĆI DIO'!$C$3,'OPĆI DIO'!$L$6:$U$138,10,FALSE))</f>
        <v/>
      </c>
      <c r="B133" s="355" t="str">
        <f>IF(C133="","",VLOOKUP('OPĆI DIO'!$C$3,'OPĆI DIO'!$L$6:$U$138,9,FALSE))</f>
        <v/>
      </c>
      <c r="C133" s="356"/>
      <c r="D133" s="357" t="str">
        <f t="shared" si="112"/>
        <v/>
      </c>
      <c r="E133" s="356"/>
      <c r="F133" s="357" t="str">
        <f t="shared" si="113"/>
        <v/>
      </c>
      <c r="G133" s="358"/>
      <c r="H133" s="357" t="str">
        <f t="shared" si="114"/>
        <v/>
      </c>
      <c r="I133" s="357" t="str">
        <f t="shared" si="106"/>
        <v/>
      </c>
      <c r="J133" s="359"/>
      <c r="K133" s="359"/>
      <c r="L133" s="359"/>
      <c r="M133" s="81"/>
      <c r="O133" s="73" t="str">
        <f t="shared" si="108"/>
        <v/>
      </c>
      <c r="P133" s="73" t="str">
        <f t="shared" si="109"/>
        <v/>
      </c>
      <c r="Q133" s="73" t="str">
        <f t="shared" si="110"/>
        <v/>
      </c>
      <c r="R133" s="73" t="str">
        <f t="shared" si="111"/>
        <v/>
      </c>
      <c r="AB133" t="s">
        <v>1991</v>
      </c>
      <c r="AC133" t="s">
        <v>3468</v>
      </c>
      <c r="AD133" s="73" t="s">
        <v>5138</v>
      </c>
      <c r="AE133" s="73" t="s">
        <v>5139</v>
      </c>
      <c r="AF133" s="73" t="s">
        <v>5160</v>
      </c>
      <c r="AG133" s="73" t="s">
        <v>5170</v>
      </c>
    </row>
    <row r="134" spans="1:33" hidden="1">
      <c r="A134" s="355" t="str">
        <f>IF(C134="","",VLOOKUP('OPĆI DIO'!$C$3,'OPĆI DIO'!$L$6:$U$138,10,FALSE))</f>
        <v/>
      </c>
      <c r="B134" s="355" t="str">
        <f>IF(C134="","",VLOOKUP('OPĆI DIO'!$C$3,'OPĆI DIO'!$L$6:$U$138,9,FALSE))</f>
        <v/>
      </c>
      <c r="C134" s="356"/>
      <c r="D134" s="357" t="str">
        <f t="shared" si="112"/>
        <v/>
      </c>
      <c r="E134" s="356"/>
      <c r="F134" s="357" t="str">
        <f t="shared" si="113"/>
        <v/>
      </c>
      <c r="G134" s="358"/>
      <c r="H134" s="357" t="str">
        <f t="shared" si="114"/>
        <v/>
      </c>
      <c r="I134" s="357" t="str">
        <f t="shared" si="106"/>
        <v/>
      </c>
      <c r="J134" s="359"/>
      <c r="K134" s="359"/>
      <c r="L134" s="359"/>
      <c r="M134" s="81"/>
      <c r="O134" s="73" t="str">
        <f t="shared" si="108"/>
        <v/>
      </c>
      <c r="P134" s="73" t="str">
        <f t="shared" si="109"/>
        <v/>
      </c>
      <c r="Q134" s="73" t="str">
        <f t="shared" si="110"/>
        <v/>
      </c>
      <c r="R134" s="73" t="str">
        <f t="shared" si="111"/>
        <v/>
      </c>
      <c r="AB134" t="s">
        <v>1992</v>
      </c>
      <c r="AC134" t="s">
        <v>3469</v>
      </c>
      <c r="AD134" s="73" t="s">
        <v>5146</v>
      </c>
      <c r="AE134" s="73" t="s">
        <v>5147</v>
      </c>
      <c r="AF134" s="73" t="s">
        <v>5160</v>
      </c>
      <c r="AG134" s="73" t="s">
        <v>5167</v>
      </c>
    </row>
    <row r="135" spans="1:33" hidden="1">
      <c r="A135" s="355" t="str">
        <f>IF(C135="","",VLOOKUP('OPĆI DIO'!$C$3,'OPĆI DIO'!$L$6:$U$138,10,FALSE))</f>
        <v/>
      </c>
      <c r="B135" s="355" t="str">
        <f>IF(C135="","",VLOOKUP('OPĆI DIO'!$C$3,'OPĆI DIO'!$L$6:$U$138,9,FALSE))</f>
        <v/>
      </c>
      <c r="C135" s="356"/>
      <c r="D135" s="357" t="str">
        <f t="shared" si="112"/>
        <v/>
      </c>
      <c r="E135" s="356"/>
      <c r="F135" s="357" t="str">
        <f t="shared" si="113"/>
        <v/>
      </c>
      <c r="G135" s="358"/>
      <c r="H135" s="357" t="str">
        <f t="shared" si="114"/>
        <v/>
      </c>
      <c r="I135" s="357" t="str">
        <f t="shared" si="106"/>
        <v/>
      </c>
      <c r="J135" s="359"/>
      <c r="K135" s="359"/>
      <c r="L135" s="359"/>
      <c r="M135" s="81"/>
      <c r="O135" s="73" t="str">
        <f t="shared" si="108"/>
        <v/>
      </c>
      <c r="P135" s="73" t="str">
        <f t="shared" si="109"/>
        <v/>
      </c>
      <c r="Q135" s="73" t="str">
        <f t="shared" si="110"/>
        <v/>
      </c>
      <c r="R135" s="73" t="str">
        <f t="shared" si="111"/>
        <v/>
      </c>
      <c r="AB135" t="s">
        <v>3470</v>
      </c>
      <c r="AC135" t="s">
        <v>3471</v>
      </c>
      <c r="AD135" s="73" t="s">
        <v>5136</v>
      </c>
      <c r="AE135" s="73" t="s">
        <v>5137</v>
      </c>
      <c r="AF135" s="73" t="s">
        <v>5162</v>
      </c>
      <c r="AG135" s="73" t="s">
        <v>5163</v>
      </c>
    </row>
    <row r="136" spans="1:33" hidden="1">
      <c r="A136" s="355" t="str">
        <f>IF(C136="","",VLOOKUP('OPĆI DIO'!$C$3,'OPĆI DIO'!$L$6:$U$138,10,FALSE))</f>
        <v/>
      </c>
      <c r="B136" s="355" t="str">
        <f>IF(C136="","",VLOOKUP('OPĆI DIO'!$C$3,'OPĆI DIO'!$L$6:$U$138,9,FALSE))</f>
        <v/>
      </c>
      <c r="C136" s="356"/>
      <c r="D136" s="357" t="str">
        <f t="shared" si="112"/>
        <v/>
      </c>
      <c r="E136" s="356"/>
      <c r="F136" s="357" t="str">
        <f t="shared" si="113"/>
        <v/>
      </c>
      <c r="G136" s="358"/>
      <c r="H136" s="357" t="str">
        <f t="shared" si="114"/>
        <v/>
      </c>
      <c r="I136" s="357" t="str">
        <f t="shared" si="106"/>
        <v/>
      </c>
      <c r="J136" s="359"/>
      <c r="K136" s="359"/>
      <c r="L136" s="359"/>
      <c r="M136" s="81"/>
      <c r="O136" s="73" t="str">
        <f t="shared" si="108"/>
        <v/>
      </c>
      <c r="P136" s="73" t="str">
        <f t="shared" si="109"/>
        <v/>
      </c>
      <c r="Q136" s="73" t="str">
        <f t="shared" si="110"/>
        <v/>
      </c>
      <c r="R136" s="73" t="str">
        <f t="shared" si="111"/>
        <v/>
      </c>
      <c r="AB136" t="s">
        <v>1995</v>
      </c>
      <c r="AC136" t="s">
        <v>1996</v>
      </c>
      <c r="AD136" s="73" t="s">
        <v>5134</v>
      </c>
      <c r="AE136" s="73" t="s">
        <v>5135</v>
      </c>
      <c r="AF136" s="73" t="s">
        <v>5160</v>
      </c>
      <c r="AG136" s="73" t="s">
        <v>5167</v>
      </c>
    </row>
    <row r="137" spans="1:33" hidden="1">
      <c r="A137" s="355" t="str">
        <f>IF(C137="","",VLOOKUP('OPĆI DIO'!$C$3,'OPĆI DIO'!$L$6:$U$138,10,FALSE))</f>
        <v/>
      </c>
      <c r="B137" s="355" t="str">
        <f>IF(C137="","",VLOOKUP('OPĆI DIO'!$C$3,'OPĆI DIO'!$L$6:$U$138,9,FALSE))</f>
        <v/>
      </c>
      <c r="C137" s="356"/>
      <c r="D137" s="357" t="str">
        <f t="shared" si="112"/>
        <v/>
      </c>
      <c r="E137" s="356"/>
      <c r="F137" s="357" t="str">
        <f t="shared" si="113"/>
        <v/>
      </c>
      <c r="G137" s="358"/>
      <c r="H137" s="357" t="str">
        <f t="shared" si="114"/>
        <v/>
      </c>
      <c r="I137" s="357" t="str">
        <f t="shared" si="106"/>
        <v/>
      </c>
      <c r="J137" s="359"/>
      <c r="K137" s="359"/>
      <c r="L137" s="359"/>
      <c r="M137" s="81"/>
      <c r="O137" s="73" t="str">
        <f t="shared" si="108"/>
        <v/>
      </c>
      <c r="P137" s="73" t="str">
        <f t="shared" si="109"/>
        <v/>
      </c>
      <c r="Q137" s="73" t="str">
        <f t="shared" si="110"/>
        <v/>
      </c>
      <c r="R137" s="73" t="str">
        <f t="shared" si="111"/>
        <v/>
      </c>
      <c r="AB137" t="s">
        <v>1997</v>
      </c>
      <c r="AC137" t="s">
        <v>1998</v>
      </c>
      <c r="AD137" s="73" t="s">
        <v>5154</v>
      </c>
      <c r="AE137" s="73" t="s">
        <v>5155</v>
      </c>
      <c r="AF137" s="73" t="s">
        <v>5160</v>
      </c>
      <c r="AG137" s="73" t="s">
        <v>5172</v>
      </c>
    </row>
    <row r="138" spans="1:33" hidden="1">
      <c r="A138" s="355" t="str">
        <f>IF(C138="","",VLOOKUP('OPĆI DIO'!$C$3,'OPĆI DIO'!$L$6:$U$138,10,FALSE))</f>
        <v/>
      </c>
      <c r="B138" s="355" t="str">
        <f>IF(C138="","",VLOOKUP('OPĆI DIO'!$C$3,'OPĆI DIO'!$L$6:$U$138,9,FALSE))</f>
        <v/>
      </c>
      <c r="C138" s="356"/>
      <c r="D138" s="357" t="str">
        <f t="shared" si="112"/>
        <v/>
      </c>
      <c r="E138" s="356"/>
      <c r="F138" s="357" t="str">
        <f t="shared" si="113"/>
        <v/>
      </c>
      <c r="G138" s="358"/>
      <c r="H138" s="357" t="str">
        <f t="shared" si="114"/>
        <v/>
      </c>
      <c r="I138" s="357" t="str">
        <f t="shared" si="106"/>
        <v/>
      </c>
      <c r="J138" s="359"/>
      <c r="K138" s="359"/>
      <c r="L138" s="359"/>
      <c r="M138" s="81"/>
      <c r="O138" s="73" t="str">
        <f t="shared" si="108"/>
        <v/>
      </c>
      <c r="P138" s="73" t="str">
        <f t="shared" si="109"/>
        <v/>
      </c>
      <c r="Q138" s="73" t="str">
        <f t="shared" si="110"/>
        <v/>
      </c>
      <c r="R138" s="73" t="str">
        <f t="shared" si="111"/>
        <v/>
      </c>
      <c r="AB138" t="s">
        <v>2000</v>
      </c>
      <c r="AC138" t="s">
        <v>2001</v>
      </c>
      <c r="AD138" s="73" t="s">
        <v>5134</v>
      </c>
      <c r="AE138" s="73" t="s">
        <v>5135</v>
      </c>
      <c r="AF138" s="73" t="s">
        <v>5160</v>
      </c>
      <c r="AG138" s="73" t="s">
        <v>5167</v>
      </c>
    </row>
    <row r="139" spans="1:33" hidden="1">
      <c r="A139" s="355" t="str">
        <f>IF(C139="","",VLOOKUP('OPĆI DIO'!$C$3,'OPĆI DIO'!$L$6:$U$138,10,FALSE))</f>
        <v/>
      </c>
      <c r="B139" s="355" t="str">
        <f>IF(C139="","",VLOOKUP('OPĆI DIO'!$C$3,'OPĆI DIO'!$L$6:$U$138,9,FALSE))</f>
        <v/>
      </c>
      <c r="C139" s="356"/>
      <c r="D139" s="357" t="str">
        <f t="shared" si="112"/>
        <v/>
      </c>
      <c r="E139" s="356"/>
      <c r="F139" s="357" t="str">
        <f t="shared" si="113"/>
        <v/>
      </c>
      <c r="G139" s="358"/>
      <c r="H139" s="357" t="str">
        <f t="shared" si="114"/>
        <v/>
      </c>
      <c r="I139" s="357" t="str">
        <f t="shared" si="106"/>
        <v/>
      </c>
      <c r="J139" s="359"/>
      <c r="K139" s="359"/>
      <c r="L139" s="359"/>
      <c r="M139" s="81"/>
      <c r="O139" s="73" t="str">
        <f t="shared" si="108"/>
        <v/>
      </c>
      <c r="P139" s="73" t="str">
        <f t="shared" si="109"/>
        <v/>
      </c>
      <c r="Q139" s="73" t="str">
        <f t="shared" si="110"/>
        <v/>
      </c>
      <c r="R139" s="73" t="str">
        <f t="shared" si="111"/>
        <v/>
      </c>
      <c r="AB139" t="s">
        <v>1648</v>
      </c>
      <c r="AC139" t="s">
        <v>1649</v>
      </c>
      <c r="AD139" s="73" t="s">
        <v>5150</v>
      </c>
      <c r="AE139" s="73" t="s">
        <v>5151</v>
      </c>
      <c r="AF139" s="73" t="s">
        <v>5160</v>
      </c>
      <c r="AG139" s="73" t="s">
        <v>5171</v>
      </c>
    </row>
    <row r="140" spans="1:33" hidden="1">
      <c r="A140" s="355" t="str">
        <f>IF(C140="","",VLOOKUP('OPĆI DIO'!$C$3,'OPĆI DIO'!$L$6:$U$138,10,FALSE))</f>
        <v/>
      </c>
      <c r="B140" s="355" t="str">
        <f>IF(C140="","",VLOOKUP('OPĆI DIO'!$C$3,'OPĆI DIO'!$L$6:$U$138,9,FALSE))</f>
        <v/>
      </c>
      <c r="C140" s="356"/>
      <c r="D140" s="357" t="str">
        <f t="shared" si="112"/>
        <v/>
      </c>
      <c r="E140" s="356"/>
      <c r="F140" s="357" t="str">
        <f t="shared" si="113"/>
        <v/>
      </c>
      <c r="G140" s="358"/>
      <c r="H140" s="357" t="str">
        <f t="shared" si="114"/>
        <v/>
      </c>
      <c r="I140" s="357" t="str">
        <f t="shared" si="106"/>
        <v/>
      </c>
      <c r="J140" s="359"/>
      <c r="K140" s="359"/>
      <c r="L140" s="359"/>
      <c r="M140" s="81"/>
      <c r="O140" s="73" t="str">
        <f t="shared" si="108"/>
        <v/>
      </c>
      <c r="P140" s="73" t="str">
        <f t="shared" si="109"/>
        <v/>
      </c>
      <c r="Q140" s="73" t="str">
        <f t="shared" si="110"/>
        <v/>
      </c>
      <c r="R140" s="73" t="str">
        <f t="shared" si="111"/>
        <v/>
      </c>
      <c r="AB140" t="s">
        <v>2002</v>
      </c>
      <c r="AC140" t="s">
        <v>1987</v>
      </c>
      <c r="AD140" s="73" t="s">
        <v>5138</v>
      </c>
      <c r="AE140" s="73" t="s">
        <v>5139</v>
      </c>
      <c r="AF140" s="73" t="s">
        <v>5160</v>
      </c>
      <c r="AG140" s="73" t="s">
        <v>5170</v>
      </c>
    </row>
    <row r="141" spans="1:33" hidden="1">
      <c r="A141" s="355" t="str">
        <f>IF(C141="","",VLOOKUP('OPĆI DIO'!$C$3,'OPĆI DIO'!$L$6:$U$138,10,FALSE))</f>
        <v/>
      </c>
      <c r="B141" s="355" t="str">
        <f>IF(C141="","",VLOOKUP('OPĆI DIO'!$C$3,'OPĆI DIO'!$L$6:$U$138,9,FALSE))</f>
        <v/>
      </c>
      <c r="C141" s="356"/>
      <c r="D141" s="357" t="str">
        <f t="shared" si="112"/>
        <v/>
      </c>
      <c r="E141" s="356"/>
      <c r="F141" s="357" t="str">
        <f t="shared" si="113"/>
        <v/>
      </c>
      <c r="G141" s="358"/>
      <c r="H141" s="357" t="str">
        <f t="shared" si="114"/>
        <v/>
      </c>
      <c r="I141" s="357" t="str">
        <f t="shared" si="106"/>
        <v/>
      </c>
      <c r="J141" s="359"/>
      <c r="K141" s="359"/>
      <c r="L141" s="359"/>
      <c r="M141" s="81"/>
      <c r="O141" s="73" t="str">
        <f t="shared" si="108"/>
        <v/>
      </c>
      <c r="P141" s="73" t="str">
        <f t="shared" si="109"/>
        <v/>
      </c>
      <c r="Q141" s="73" t="str">
        <f t="shared" si="110"/>
        <v/>
      </c>
      <c r="R141" s="73" t="str">
        <f t="shared" si="111"/>
        <v/>
      </c>
      <c r="AB141" t="s">
        <v>2003</v>
      </c>
      <c r="AC141" t="s">
        <v>3472</v>
      </c>
      <c r="AD141" s="73" t="s">
        <v>5134</v>
      </c>
      <c r="AE141" s="73" t="s">
        <v>5135</v>
      </c>
      <c r="AF141" s="73" t="s">
        <v>5160</v>
      </c>
      <c r="AG141" s="73" t="s">
        <v>5167</v>
      </c>
    </row>
    <row r="142" spans="1:33" hidden="1">
      <c r="A142" s="355" t="str">
        <f>IF(C142="","",VLOOKUP('OPĆI DIO'!$C$3,'OPĆI DIO'!$L$6:$U$138,10,FALSE))</f>
        <v/>
      </c>
      <c r="B142" s="355" t="str">
        <f>IF(C142="","",VLOOKUP('OPĆI DIO'!$C$3,'OPĆI DIO'!$L$6:$U$138,9,FALSE))</f>
        <v/>
      </c>
      <c r="C142" s="356"/>
      <c r="D142" s="357" t="str">
        <f t="shared" si="112"/>
        <v/>
      </c>
      <c r="E142" s="356"/>
      <c r="F142" s="357" t="str">
        <f t="shared" si="113"/>
        <v/>
      </c>
      <c r="G142" s="358"/>
      <c r="H142" s="357" t="str">
        <f t="shared" si="114"/>
        <v/>
      </c>
      <c r="I142" s="357" t="str">
        <f t="shared" si="106"/>
        <v/>
      </c>
      <c r="J142" s="359"/>
      <c r="K142" s="359"/>
      <c r="L142" s="359"/>
      <c r="M142" s="81"/>
      <c r="O142" s="73" t="str">
        <f t="shared" si="108"/>
        <v/>
      </c>
      <c r="P142" s="73" t="str">
        <f t="shared" si="109"/>
        <v/>
      </c>
      <c r="Q142" s="73" t="str">
        <f t="shared" si="110"/>
        <v/>
      </c>
      <c r="R142" s="73" t="str">
        <f t="shared" si="111"/>
        <v/>
      </c>
      <c r="AB142" t="s">
        <v>3473</v>
      </c>
      <c r="AC142" t="s">
        <v>3474</v>
      </c>
      <c r="AD142" s="73" t="s">
        <v>5136</v>
      </c>
      <c r="AE142" s="73" t="s">
        <v>5137</v>
      </c>
      <c r="AF142" s="73" t="s">
        <v>5162</v>
      </c>
      <c r="AG142" s="73" t="s">
        <v>5163</v>
      </c>
    </row>
    <row r="143" spans="1:33" hidden="1">
      <c r="A143" s="355" t="str">
        <f>IF(C143="","",VLOOKUP('OPĆI DIO'!$C$3,'OPĆI DIO'!$L$6:$U$138,10,FALSE))</f>
        <v/>
      </c>
      <c r="B143" s="355" t="str">
        <f>IF(C143="","",VLOOKUP('OPĆI DIO'!$C$3,'OPĆI DIO'!$L$6:$U$138,9,FALSE))</f>
        <v/>
      </c>
      <c r="C143" s="356"/>
      <c r="D143" s="357" t="str">
        <f t="shared" si="112"/>
        <v/>
      </c>
      <c r="E143" s="356"/>
      <c r="F143" s="357" t="str">
        <f t="shared" si="113"/>
        <v/>
      </c>
      <c r="G143" s="358"/>
      <c r="H143" s="357" t="str">
        <f t="shared" si="114"/>
        <v/>
      </c>
      <c r="I143" s="357" t="str">
        <f t="shared" si="106"/>
        <v/>
      </c>
      <c r="J143" s="359"/>
      <c r="K143" s="359"/>
      <c r="L143" s="359"/>
      <c r="M143" s="81"/>
      <c r="O143" s="73" t="str">
        <f t="shared" si="108"/>
        <v/>
      </c>
      <c r="P143" s="73" t="str">
        <f t="shared" si="109"/>
        <v/>
      </c>
      <c r="Q143" s="73" t="str">
        <f t="shared" si="110"/>
        <v/>
      </c>
      <c r="R143" s="73" t="str">
        <f t="shared" si="111"/>
        <v/>
      </c>
      <c r="AB143" t="s">
        <v>3475</v>
      </c>
      <c r="AC143" t="s">
        <v>3476</v>
      </c>
      <c r="AD143" s="73" t="s">
        <v>5138</v>
      </c>
      <c r="AE143" s="73" t="s">
        <v>5139</v>
      </c>
      <c r="AF143" s="73" t="s">
        <v>5160</v>
      </c>
      <c r="AG143" s="73" t="s">
        <v>5170</v>
      </c>
    </row>
    <row r="144" spans="1:33" hidden="1">
      <c r="A144" s="355" t="str">
        <f>IF(C144="","",VLOOKUP('OPĆI DIO'!$C$3,'OPĆI DIO'!$L$6:$U$138,10,FALSE))</f>
        <v/>
      </c>
      <c r="B144" s="355" t="str">
        <f>IF(C144="","",VLOOKUP('OPĆI DIO'!$C$3,'OPĆI DIO'!$L$6:$U$138,9,FALSE))</f>
        <v/>
      </c>
      <c r="C144" s="356"/>
      <c r="D144" s="357" t="str">
        <f t="shared" si="112"/>
        <v/>
      </c>
      <c r="E144" s="356"/>
      <c r="F144" s="357" t="str">
        <f t="shared" si="113"/>
        <v/>
      </c>
      <c r="G144" s="358"/>
      <c r="H144" s="357" t="str">
        <f t="shared" si="114"/>
        <v/>
      </c>
      <c r="I144" s="357" t="str">
        <f t="shared" si="106"/>
        <v/>
      </c>
      <c r="J144" s="359"/>
      <c r="K144" s="359"/>
      <c r="L144" s="359"/>
      <c r="M144" s="81"/>
      <c r="O144" s="73" t="str">
        <f t="shared" si="108"/>
        <v/>
      </c>
      <c r="P144" s="73" t="str">
        <f t="shared" si="109"/>
        <v/>
      </c>
      <c r="Q144" s="73" t="str">
        <f t="shared" si="110"/>
        <v/>
      </c>
      <c r="R144" s="73" t="str">
        <f t="shared" si="111"/>
        <v/>
      </c>
      <c r="AB144" t="s">
        <v>952</v>
      </c>
      <c r="AC144" t="s">
        <v>997</v>
      </c>
      <c r="AD144" s="73" t="s">
        <v>5154</v>
      </c>
      <c r="AE144" s="73" t="s">
        <v>5155</v>
      </c>
      <c r="AF144" s="73" t="s">
        <v>5160</v>
      </c>
      <c r="AG144" s="73" t="s">
        <v>5172</v>
      </c>
    </row>
    <row r="145" spans="1:33" hidden="1">
      <c r="A145" s="355" t="str">
        <f>IF(C145="","",VLOOKUP('OPĆI DIO'!$C$3,'OPĆI DIO'!$L$6:$U$138,10,FALSE))</f>
        <v/>
      </c>
      <c r="B145" s="355" t="str">
        <f>IF(C145="","",VLOOKUP('OPĆI DIO'!$C$3,'OPĆI DIO'!$L$6:$U$138,9,FALSE))</f>
        <v/>
      </c>
      <c r="C145" s="356"/>
      <c r="D145" s="357" t="str">
        <f t="shared" si="112"/>
        <v/>
      </c>
      <c r="E145" s="356"/>
      <c r="F145" s="357" t="str">
        <f t="shared" si="113"/>
        <v/>
      </c>
      <c r="G145" s="358"/>
      <c r="H145" s="357" t="str">
        <f t="shared" si="114"/>
        <v/>
      </c>
      <c r="I145" s="357" t="str">
        <f t="shared" si="106"/>
        <v/>
      </c>
      <c r="J145" s="359"/>
      <c r="K145" s="359"/>
      <c r="L145" s="359"/>
      <c r="M145" s="81"/>
      <c r="O145" s="73" t="str">
        <f t="shared" si="108"/>
        <v/>
      </c>
      <c r="P145" s="73" t="str">
        <f t="shared" si="109"/>
        <v/>
      </c>
      <c r="Q145" s="73" t="str">
        <f t="shared" si="110"/>
        <v/>
      </c>
      <c r="R145" s="73" t="str">
        <f t="shared" si="111"/>
        <v/>
      </c>
      <c r="AB145" t="s">
        <v>3477</v>
      </c>
      <c r="AC145" t="s">
        <v>3478</v>
      </c>
      <c r="AD145" s="73" t="s">
        <v>5138</v>
      </c>
      <c r="AE145" s="73" t="s">
        <v>5139</v>
      </c>
      <c r="AF145" s="73" t="s">
        <v>5160</v>
      </c>
      <c r="AG145" s="73" t="s">
        <v>5170</v>
      </c>
    </row>
    <row r="146" spans="1:33" hidden="1">
      <c r="A146" s="355" t="str">
        <f>IF(C146="","",VLOOKUP('OPĆI DIO'!$C$3,'OPĆI DIO'!$L$6:$U$138,10,FALSE))</f>
        <v/>
      </c>
      <c r="B146" s="355" t="str">
        <f>IF(C146="","",VLOOKUP('OPĆI DIO'!$C$3,'OPĆI DIO'!$L$6:$U$138,9,FALSE))</f>
        <v/>
      </c>
      <c r="C146" s="356"/>
      <c r="D146" s="357" t="str">
        <f t="shared" si="112"/>
        <v/>
      </c>
      <c r="E146" s="356"/>
      <c r="F146" s="357" t="str">
        <f t="shared" si="113"/>
        <v/>
      </c>
      <c r="G146" s="358"/>
      <c r="H146" s="357" t="str">
        <f t="shared" si="114"/>
        <v/>
      </c>
      <c r="I146" s="357" t="str">
        <f t="shared" si="106"/>
        <v/>
      </c>
      <c r="J146" s="359"/>
      <c r="K146" s="359"/>
      <c r="L146" s="359"/>
      <c r="M146" s="81"/>
      <c r="O146" s="73" t="str">
        <f t="shared" si="108"/>
        <v/>
      </c>
      <c r="P146" s="73" t="str">
        <f t="shared" si="109"/>
        <v/>
      </c>
      <c r="Q146" s="73" t="str">
        <f t="shared" si="110"/>
        <v/>
      </c>
      <c r="R146" s="73" t="str">
        <f t="shared" si="111"/>
        <v/>
      </c>
      <c r="AB146" t="s">
        <v>48</v>
      </c>
      <c r="AC146" t="s">
        <v>49</v>
      </c>
      <c r="AD146" s="73" t="s">
        <v>5142</v>
      </c>
      <c r="AE146" s="73" t="s">
        <v>5143</v>
      </c>
      <c r="AF146" s="73" t="s">
        <v>5160</v>
      </c>
      <c r="AG146" s="73" t="s">
        <v>5168</v>
      </c>
    </row>
    <row r="147" spans="1:33" hidden="1">
      <c r="A147" s="355" t="str">
        <f>IF(C147="","",VLOOKUP('OPĆI DIO'!$C$3,'OPĆI DIO'!$L$6:$U$138,10,FALSE))</f>
        <v/>
      </c>
      <c r="B147" s="355" t="str">
        <f>IF(C147="","",VLOOKUP('OPĆI DIO'!$C$3,'OPĆI DIO'!$L$6:$U$138,9,FALSE))</f>
        <v/>
      </c>
      <c r="C147" s="356"/>
      <c r="D147" s="357" t="str">
        <f t="shared" si="112"/>
        <v/>
      </c>
      <c r="E147" s="356"/>
      <c r="F147" s="357" t="str">
        <f t="shared" si="113"/>
        <v/>
      </c>
      <c r="G147" s="358"/>
      <c r="H147" s="357" t="str">
        <f t="shared" si="114"/>
        <v/>
      </c>
      <c r="I147" s="357" t="str">
        <f t="shared" si="106"/>
        <v/>
      </c>
      <c r="J147" s="359"/>
      <c r="K147" s="359"/>
      <c r="L147" s="359"/>
      <c r="M147" s="81"/>
      <c r="N147" s="318"/>
      <c r="O147" s="73" t="str">
        <f t="shared" si="108"/>
        <v/>
      </c>
      <c r="P147" s="73" t="str">
        <f t="shared" si="109"/>
        <v/>
      </c>
      <c r="Q147" s="73" t="str">
        <f t="shared" si="110"/>
        <v/>
      </c>
      <c r="R147" s="73" t="str">
        <f t="shared" si="111"/>
        <v/>
      </c>
      <c r="AB147" t="s">
        <v>58</v>
      </c>
      <c r="AC147" t="s">
        <v>59</v>
      </c>
      <c r="AD147" s="73" t="s">
        <v>5142</v>
      </c>
      <c r="AE147" s="73" t="s">
        <v>5143</v>
      </c>
      <c r="AF147" s="73" t="s">
        <v>5160</v>
      </c>
      <c r="AG147" s="73" t="s">
        <v>5168</v>
      </c>
    </row>
    <row r="148" spans="1:33" hidden="1">
      <c r="A148" s="355" t="str">
        <f>IF(C148="","",VLOOKUP('OPĆI DIO'!$C$3,'OPĆI DIO'!$L$6:$U$138,10,FALSE))</f>
        <v/>
      </c>
      <c r="B148" s="355" t="str">
        <f>IF(C148="","",VLOOKUP('OPĆI DIO'!$C$3,'OPĆI DIO'!$L$6:$U$138,9,FALSE))</f>
        <v/>
      </c>
      <c r="C148" s="356"/>
      <c r="D148" s="357" t="str">
        <f t="shared" si="112"/>
        <v/>
      </c>
      <c r="E148" s="356"/>
      <c r="F148" s="357" t="str">
        <f t="shared" si="113"/>
        <v/>
      </c>
      <c r="G148" s="358"/>
      <c r="H148" s="357" t="str">
        <f t="shared" si="114"/>
        <v/>
      </c>
      <c r="I148" s="357" t="str">
        <f t="shared" si="106"/>
        <v/>
      </c>
      <c r="J148" s="359"/>
      <c r="K148" s="359"/>
      <c r="L148" s="359"/>
      <c r="M148" s="81"/>
      <c r="N148" s="318"/>
      <c r="O148" s="73" t="str">
        <f t="shared" si="108"/>
        <v/>
      </c>
      <c r="P148" s="73" t="str">
        <f t="shared" si="109"/>
        <v/>
      </c>
      <c r="Q148" s="73" t="str">
        <f t="shared" si="110"/>
        <v/>
      </c>
      <c r="R148" s="73" t="str">
        <f t="shared" si="111"/>
        <v/>
      </c>
      <c r="AB148" t="s">
        <v>61</v>
      </c>
      <c r="AC148" t="s">
        <v>62</v>
      </c>
      <c r="AD148" s="73" t="s">
        <v>5142</v>
      </c>
      <c r="AE148" s="73" t="s">
        <v>5143</v>
      </c>
      <c r="AF148" s="73" t="s">
        <v>5160</v>
      </c>
      <c r="AG148" s="73" t="s">
        <v>5168</v>
      </c>
    </row>
    <row r="149" spans="1:33" hidden="1">
      <c r="A149" s="355" t="str">
        <f>IF(C149="","",VLOOKUP('OPĆI DIO'!$C$3,'OPĆI DIO'!$L$6:$U$138,10,FALSE))</f>
        <v/>
      </c>
      <c r="B149" s="355" t="str">
        <f>IF(C149="","",VLOOKUP('OPĆI DIO'!$C$3,'OPĆI DIO'!$L$6:$U$138,9,FALSE))</f>
        <v/>
      </c>
      <c r="C149" s="356"/>
      <c r="D149" s="357" t="str">
        <f t="shared" si="112"/>
        <v/>
      </c>
      <c r="E149" s="356"/>
      <c r="F149" s="357" t="str">
        <f t="shared" si="113"/>
        <v/>
      </c>
      <c r="G149" s="358"/>
      <c r="H149" s="357" t="str">
        <f t="shared" si="114"/>
        <v/>
      </c>
      <c r="I149" s="357" t="str">
        <f t="shared" si="106"/>
        <v/>
      </c>
      <c r="J149" s="359"/>
      <c r="K149" s="359"/>
      <c r="L149" s="359"/>
      <c r="M149" s="81"/>
      <c r="N149" s="318"/>
      <c r="O149" s="73" t="str">
        <f t="shared" si="108"/>
        <v/>
      </c>
      <c r="P149" s="73" t="str">
        <f t="shared" si="109"/>
        <v/>
      </c>
      <c r="Q149" s="73" t="str">
        <f t="shared" si="110"/>
        <v/>
      </c>
      <c r="R149" s="73" t="str">
        <f t="shared" si="111"/>
        <v/>
      </c>
      <c r="AB149" t="s">
        <v>63</v>
      </c>
      <c r="AC149" t="s">
        <v>64</v>
      </c>
      <c r="AD149" s="73" t="s">
        <v>5142</v>
      </c>
      <c r="AE149" s="73" t="s">
        <v>5143</v>
      </c>
      <c r="AF149" s="73" t="s">
        <v>5160</v>
      </c>
      <c r="AG149" s="73" t="s">
        <v>5168</v>
      </c>
    </row>
    <row r="150" spans="1:33" hidden="1">
      <c r="A150" s="355" t="str">
        <f>IF(C150="","",VLOOKUP('OPĆI DIO'!$C$3,'OPĆI DIO'!$L$6:$U$138,10,FALSE))</f>
        <v/>
      </c>
      <c r="B150" s="355" t="str">
        <f>IF(C150="","",VLOOKUP('OPĆI DIO'!$C$3,'OPĆI DIO'!$L$6:$U$138,9,FALSE))</f>
        <v/>
      </c>
      <c r="C150" s="356"/>
      <c r="D150" s="357" t="str">
        <f t="shared" si="112"/>
        <v/>
      </c>
      <c r="E150" s="356"/>
      <c r="F150" s="357" t="str">
        <f t="shared" si="113"/>
        <v/>
      </c>
      <c r="G150" s="358"/>
      <c r="H150" s="357" t="str">
        <f t="shared" si="114"/>
        <v/>
      </c>
      <c r="I150" s="357" t="str">
        <f t="shared" si="106"/>
        <v/>
      </c>
      <c r="J150" s="359"/>
      <c r="K150" s="359"/>
      <c r="L150" s="359"/>
      <c r="M150" s="81"/>
      <c r="N150" s="318"/>
      <c r="O150" s="73" t="str">
        <f t="shared" si="108"/>
        <v/>
      </c>
      <c r="P150" s="73" t="str">
        <f t="shared" si="109"/>
        <v/>
      </c>
      <c r="Q150" s="73" t="str">
        <f t="shared" si="110"/>
        <v/>
      </c>
      <c r="R150" s="73" t="str">
        <f t="shared" si="111"/>
        <v/>
      </c>
      <c r="AB150" t="s">
        <v>670</v>
      </c>
      <c r="AC150" t="s">
        <v>671</v>
      </c>
      <c r="AD150" s="73" t="s">
        <v>5142</v>
      </c>
      <c r="AE150" s="73" t="s">
        <v>5143</v>
      </c>
      <c r="AF150" s="73" t="s">
        <v>5160</v>
      </c>
      <c r="AG150" s="73" t="s">
        <v>5168</v>
      </c>
    </row>
    <row r="151" spans="1:33" hidden="1">
      <c r="A151" s="355" t="str">
        <f>IF(C151="","",VLOOKUP('OPĆI DIO'!$C$3,'OPĆI DIO'!$L$6:$U$138,10,FALSE))</f>
        <v/>
      </c>
      <c r="B151" s="355" t="str">
        <f>IF(C151="","",VLOOKUP('OPĆI DIO'!$C$3,'OPĆI DIO'!$L$6:$U$138,9,FALSE))</f>
        <v/>
      </c>
      <c r="C151" s="356"/>
      <c r="D151" s="357" t="str">
        <f t="shared" si="112"/>
        <v/>
      </c>
      <c r="E151" s="356"/>
      <c r="F151" s="357" t="str">
        <f t="shared" si="113"/>
        <v/>
      </c>
      <c r="G151" s="358"/>
      <c r="H151" s="357" t="str">
        <f t="shared" si="114"/>
        <v/>
      </c>
      <c r="I151" s="357" t="str">
        <f t="shared" si="106"/>
        <v/>
      </c>
      <c r="J151" s="359"/>
      <c r="K151" s="359"/>
      <c r="L151" s="359"/>
      <c r="M151" s="81"/>
      <c r="N151" s="318"/>
      <c r="O151" s="73" t="str">
        <f t="shared" si="108"/>
        <v/>
      </c>
      <c r="P151" s="73" t="str">
        <f t="shared" si="109"/>
        <v/>
      </c>
      <c r="Q151" s="73" t="str">
        <f t="shared" si="110"/>
        <v/>
      </c>
      <c r="R151" s="73" t="str">
        <f t="shared" si="111"/>
        <v/>
      </c>
      <c r="AB151" t="s">
        <v>68</v>
      </c>
      <c r="AC151" t="s">
        <v>69</v>
      </c>
      <c r="AD151" s="73" t="s">
        <v>5142</v>
      </c>
      <c r="AE151" s="73" t="s">
        <v>5143</v>
      </c>
      <c r="AF151" s="73" t="s">
        <v>5160</v>
      </c>
      <c r="AG151" s="73" t="s">
        <v>5168</v>
      </c>
    </row>
    <row r="152" spans="1:33" hidden="1">
      <c r="A152" s="355" t="str">
        <f>IF(C152="","",VLOOKUP('OPĆI DIO'!$C$3,'OPĆI DIO'!$L$6:$U$138,10,FALSE))</f>
        <v/>
      </c>
      <c r="B152" s="355" t="str">
        <f>IF(C152="","",VLOOKUP('OPĆI DIO'!$C$3,'OPĆI DIO'!$L$6:$U$138,9,FALSE))</f>
        <v/>
      </c>
      <c r="C152" s="356"/>
      <c r="D152" s="357" t="str">
        <f t="shared" si="112"/>
        <v/>
      </c>
      <c r="E152" s="356"/>
      <c r="F152" s="357" t="str">
        <f t="shared" si="113"/>
        <v/>
      </c>
      <c r="G152" s="358"/>
      <c r="H152" s="357" t="str">
        <f t="shared" si="114"/>
        <v/>
      </c>
      <c r="I152" s="357" t="str">
        <f t="shared" si="106"/>
        <v/>
      </c>
      <c r="J152" s="359"/>
      <c r="K152" s="359"/>
      <c r="L152" s="359"/>
      <c r="M152" s="81"/>
      <c r="O152" s="73" t="str">
        <f t="shared" si="108"/>
        <v/>
      </c>
      <c r="P152" s="73" t="str">
        <f t="shared" si="109"/>
        <v/>
      </c>
      <c r="Q152" s="73" t="str">
        <f t="shared" si="110"/>
        <v/>
      </c>
      <c r="R152" s="73" t="str">
        <f t="shared" si="111"/>
        <v/>
      </c>
      <c r="AB152" t="s">
        <v>70</v>
      </c>
      <c r="AC152" t="s">
        <v>71</v>
      </c>
      <c r="AD152" s="73" t="s">
        <v>5142</v>
      </c>
      <c r="AE152" s="73" t="s">
        <v>5143</v>
      </c>
      <c r="AF152" s="73" t="s">
        <v>5160</v>
      </c>
      <c r="AG152" s="73" t="s">
        <v>5168</v>
      </c>
    </row>
    <row r="153" spans="1:33" hidden="1">
      <c r="A153" s="355" t="str">
        <f>IF(C153="","",VLOOKUP('OPĆI DIO'!$C$3,'OPĆI DIO'!$L$6:$U$138,10,FALSE))</f>
        <v/>
      </c>
      <c r="B153" s="355" t="str">
        <f>IF(C153="","",VLOOKUP('OPĆI DIO'!$C$3,'OPĆI DIO'!$L$6:$U$138,9,FALSE))</f>
        <v/>
      </c>
      <c r="C153" s="356"/>
      <c r="D153" s="357" t="str">
        <f t="shared" si="112"/>
        <v/>
      </c>
      <c r="E153" s="356"/>
      <c r="F153" s="357" t="str">
        <f t="shared" si="113"/>
        <v/>
      </c>
      <c r="G153" s="358"/>
      <c r="H153" s="357" t="str">
        <f t="shared" si="114"/>
        <v/>
      </c>
      <c r="I153" s="357" t="str">
        <f t="shared" si="106"/>
        <v/>
      </c>
      <c r="J153" s="359"/>
      <c r="K153" s="359"/>
      <c r="L153" s="359"/>
      <c r="M153" s="81"/>
      <c r="O153" s="73" t="str">
        <f t="shared" si="108"/>
        <v/>
      </c>
      <c r="P153" s="73" t="str">
        <f t="shared" si="109"/>
        <v/>
      </c>
      <c r="Q153" s="73" t="str">
        <f t="shared" si="110"/>
        <v/>
      </c>
      <c r="R153" s="73" t="str">
        <f t="shared" si="111"/>
        <v/>
      </c>
      <c r="AB153" s="73" t="s">
        <v>72</v>
      </c>
      <c r="AC153" s="73" t="s">
        <v>73</v>
      </c>
      <c r="AD153" s="73" t="s">
        <v>5142</v>
      </c>
      <c r="AE153" s="73" t="s">
        <v>5143</v>
      </c>
      <c r="AF153" s="73" t="s">
        <v>5160</v>
      </c>
      <c r="AG153" s="73" t="s">
        <v>5168</v>
      </c>
    </row>
    <row r="154" spans="1:33" hidden="1">
      <c r="A154" s="355" t="str">
        <f>IF(C154="","",VLOOKUP('OPĆI DIO'!$C$3,'OPĆI DIO'!$L$6:$U$138,10,FALSE))</f>
        <v/>
      </c>
      <c r="B154" s="355" t="str">
        <f>IF(C154="","",VLOOKUP('OPĆI DIO'!$C$3,'OPĆI DIO'!$L$6:$U$138,9,FALSE))</f>
        <v/>
      </c>
      <c r="C154" s="356"/>
      <c r="D154" s="357" t="str">
        <f t="shared" si="112"/>
        <v/>
      </c>
      <c r="E154" s="356"/>
      <c r="F154" s="357" t="str">
        <f t="shared" si="113"/>
        <v/>
      </c>
      <c r="G154" s="358"/>
      <c r="H154" s="357" t="str">
        <f t="shared" si="114"/>
        <v/>
      </c>
      <c r="I154" s="357" t="str">
        <f t="shared" si="106"/>
        <v/>
      </c>
      <c r="J154" s="359"/>
      <c r="K154" s="359"/>
      <c r="L154" s="359"/>
      <c r="M154" s="81"/>
      <c r="N154" s="318"/>
      <c r="O154" s="73" t="str">
        <f t="shared" si="108"/>
        <v/>
      </c>
      <c r="P154" s="73" t="str">
        <f t="shared" si="109"/>
        <v/>
      </c>
      <c r="Q154" s="73" t="str">
        <f t="shared" si="110"/>
        <v/>
      </c>
      <c r="R154" s="73" t="str">
        <f t="shared" si="111"/>
        <v/>
      </c>
      <c r="AB154" s="73" t="s">
        <v>75</v>
      </c>
      <c r="AC154" s="73" t="s">
        <v>76</v>
      </c>
      <c r="AD154" s="73" t="s">
        <v>5142</v>
      </c>
      <c r="AE154" s="73" t="s">
        <v>5143</v>
      </c>
      <c r="AF154" s="73" t="s">
        <v>5160</v>
      </c>
      <c r="AG154" s="73" t="s">
        <v>5168</v>
      </c>
    </row>
    <row r="155" spans="1:33" hidden="1">
      <c r="A155" s="355" t="str">
        <f>IF(C155="","",VLOOKUP('OPĆI DIO'!$C$3,'OPĆI DIO'!$L$6:$U$138,10,FALSE))</f>
        <v/>
      </c>
      <c r="B155" s="355" t="str">
        <f>IF(C155="","",VLOOKUP('OPĆI DIO'!$C$3,'OPĆI DIO'!$L$6:$U$138,9,FALSE))</f>
        <v/>
      </c>
      <c r="C155" s="356"/>
      <c r="D155" s="357" t="str">
        <f t="shared" si="112"/>
        <v/>
      </c>
      <c r="E155" s="356"/>
      <c r="F155" s="357" t="str">
        <f t="shared" si="113"/>
        <v/>
      </c>
      <c r="G155" s="358"/>
      <c r="H155" s="357" t="str">
        <f t="shared" si="114"/>
        <v/>
      </c>
      <c r="I155" s="357" t="str">
        <f t="shared" si="106"/>
        <v/>
      </c>
      <c r="J155" s="359"/>
      <c r="K155" s="359"/>
      <c r="L155" s="359"/>
      <c r="M155" s="81"/>
      <c r="O155" s="73" t="str">
        <f t="shared" si="108"/>
        <v/>
      </c>
      <c r="P155" s="73" t="str">
        <f t="shared" si="109"/>
        <v/>
      </c>
      <c r="Q155" s="73" t="str">
        <f t="shared" si="110"/>
        <v/>
      </c>
      <c r="R155" s="73" t="str">
        <f t="shared" si="111"/>
        <v/>
      </c>
      <c r="AB155" s="73" t="s">
        <v>674</v>
      </c>
      <c r="AC155" s="73" t="s">
        <v>675</v>
      </c>
      <c r="AD155" s="73" t="s">
        <v>5142</v>
      </c>
      <c r="AE155" s="73" t="s">
        <v>5143</v>
      </c>
      <c r="AF155" s="73" t="s">
        <v>5160</v>
      </c>
      <c r="AG155" s="73" t="s">
        <v>5168</v>
      </c>
    </row>
    <row r="156" spans="1:33" hidden="1">
      <c r="A156" s="355" t="str">
        <f>IF(C156="","",VLOOKUP('OPĆI DIO'!$C$3,'OPĆI DIO'!$L$6:$U$138,10,FALSE))</f>
        <v/>
      </c>
      <c r="B156" s="355" t="str">
        <f>IF(C156="","",VLOOKUP('OPĆI DIO'!$C$3,'OPĆI DIO'!$L$6:$U$138,9,FALSE))</f>
        <v/>
      </c>
      <c r="C156" s="356"/>
      <c r="D156" s="357" t="str">
        <f t="shared" si="112"/>
        <v/>
      </c>
      <c r="E156" s="356"/>
      <c r="F156" s="357" t="str">
        <f t="shared" si="113"/>
        <v/>
      </c>
      <c r="G156" s="358"/>
      <c r="H156" s="357" t="str">
        <f t="shared" si="114"/>
        <v/>
      </c>
      <c r="I156" s="357" t="str">
        <f t="shared" si="106"/>
        <v/>
      </c>
      <c r="J156" s="359"/>
      <c r="K156" s="359"/>
      <c r="L156" s="359"/>
      <c r="M156" s="81"/>
      <c r="N156" s="318"/>
      <c r="O156" s="73" t="str">
        <f t="shared" si="108"/>
        <v/>
      </c>
      <c r="P156" s="73" t="str">
        <f t="shared" si="109"/>
        <v/>
      </c>
      <c r="Q156" s="73" t="str">
        <f t="shared" si="110"/>
        <v/>
      </c>
      <c r="R156" s="73" t="str">
        <f t="shared" si="111"/>
        <v/>
      </c>
      <c r="AB156" s="73" t="s">
        <v>1868</v>
      </c>
      <c r="AC156" s="73" t="s">
        <v>929</v>
      </c>
      <c r="AD156" s="73" t="s">
        <v>5142</v>
      </c>
      <c r="AE156" s="73" t="s">
        <v>5143</v>
      </c>
      <c r="AF156" s="73" t="s">
        <v>5160</v>
      </c>
      <c r="AG156" s="73" t="s">
        <v>5168</v>
      </c>
    </row>
    <row r="157" spans="1:33" hidden="1">
      <c r="A157" s="355" t="str">
        <f>IF(C157="","",VLOOKUP('OPĆI DIO'!$C$3,'OPĆI DIO'!$L$6:$U$138,10,FALSE))</f>
        <v/>
      </c>
      <c r="B157" s="355" t="str">
        <f>IF(C157="","",VLOOKUP('OPĆI DIO'!$C$3,'OPĆI DIO'!$L$6:$U$138,9,FALSE))</f>
        <v/>
      </c>
      <c r="C157" s="356"/>
      <c r="D157" s="357" t="str">
        <f t="shared" si="112"/>
        <v/>
      </c>
      <c r="E157" s="356"/>
      <c r="F157" s="357" t="str">
        <f t="shared" si="113"/>
        <v/>
      </c>
      <c r="G157" s="358"/>
      <c r="H157" s="357" t="str">
        <f t="shared" si="114"/>
        <v/>
      </c>
      <c r="I157" s="357" t="str">
        <f t="shared" si="106"/>
        <v/>
      </c>
      <c r="J157" s="359"/>
      <c r="K157" s="359"/>
      <c r="L157" s="359"/>
      <c r="M157" s="81"/>
      <c r="O157" s="73" t="str">
        <f t="shared" si="108"/>
        <v/>
      </c>
      <c r="P157" s="73" t="str">
        <f t="shared" si="109"/>
        <v/>
      </c>
      <c r="Q157" s="73" t="str">
        <f t="shared" si="110"/>
        <v/>
      </c>
      <c r="R157" s="73" t="str">
        <f t="shared" si="111"/>
        <v/>
      </c>
      <c r="AB157" s="73" t="s">
        <v>930</v>
      </c>
      <c r="AC157" s="73" t="s">
        <v>931</v>
      </c>
      <c r="AD157" s="73" t="s">
        <v>5142</v>
      </c>
      <c r="AE157" s="73" t="s">
        <v>5143</v>
      </c>
      <c r="AF157" s="73" t="s">
        <v>5160</v>
      </c>
      <c r="AG157" s="73" t="s">
        <v>5168</v>
      </c>
    </row>
    <row r="158" spans="1:33" hidden="1">
      <c r="A158" s="355" t="str">
        <f>IF(C158="","",VLOOKUP('OPĆI DIO'!$C$3,'OPĆI DIO'!$L$6:$U$138,10,FALSE))</f>
        <v/>
      </c>
      <c r="B158" s="355" t="str">
        <f>IF(C158="","",VLOOKUP('OPĆI DIO'!$C$3,'OPĆI DIO'!$L$6:$U$138,9,FALSE))</f>
        <v/>
      </c>
      <c r="C158" s="356"/>
      <c r="D158" s="357" t="str">
        <f t="shared" si="112"/>
        <v/>
      </c>
      <c r="E158" s="356"/>
      <c r="F158" s="357" t="str">
        <f t="shared" si="113"/>
        <v/>
      </c>
      <c r="G158" s="358"/>
      <c r="H158" s="357" t="str">
        <f t="shared" si="114"/>
        <v/>
      </c>
      <c r="I158" s="357" t="str">
        <f t="shared" si="106"/>
        <v/>
      </c>
      <c r="J158" s="359"/>
      <c r="K158" s="359"/>
      <c r="L158" s="359"/>
      <c r="M158" s="81"/>
      <c r="O158" s="73" t="str">
        <f t="shared" si="108"/>
        <v/>
      </c>
      <c r="P158" s="73" t="str">
        <f t="shared" si="109"/>
        <v/>
      </c>
      <c r="Q158" s="73" t="str">
        <f t="shared" si="110"/>
        <v/>
      </c>
      <c r="R158" s="73" t="str">
        <f t="shared" si="111"/>
        <v/>
      </c>
      <c r="AB158" s="73" t="s">
        <v>676</v>
      </c>
      <c r="AC158" s="73" t="s">
        <v>677</v>
      </c>
      <c r="AD158" s="73" t="s">
        <v>5142</v>
      </c>
      <c r="AE158" s="73" t="s">
        <v>5143</v>
      </c>
      <c r="AF158" s="73" t="s">
        <v>5160</v>
      </c>
      <c r="AG158" s="73" t="s">
        <v>5168</v>
      </c>
    </row>
    <row r="159" spans="1:33" hidden="1">
      <c r="A159" s="355" t="str">
        <f>IF(C159="","",VLOOKUP('OPĆI DIO'!$C$3,'OPĆI DIO'!$L$6:$U$138,10,FALSE))</f>
        <v/>
      </c>
      <c r="B159" s="355" t="str">
        <f>IF(C159="","",VLOOKUP('OPĆI DIO'!$C$3,'OPĆI DIO'!$L$6:$U$138,9,FALSE))</f>
        <v/>
      </c>
      <c r="C159" s="356"/>
      <c r="D159" s="357" t="str">
        <f t="shared" si="112"/>
        <v/>
      </c>
      <c r="E159" s="356"/>
      <c r="F159" s="357" t="str">
        <f t="shared" si="113"/>
        <v/>
      </c>
      <c r="G159" s="358"/>
      <c r="H159" s="357" t="str">
        <f t="shared" si="114"/>
        <v/>
      </c>
      <c r="I159" s="357" t="str">
        <f t="shared" si="106"/>
        <v/>
      </c>
      <c r="J159" s="359"/>
      <c r="K159" s="359"/>
      <c r="L159" s="359"/>
      <c r="M159" s="81"/>
      <c r="O159" s="73" t="str">
        <f t="shared" si="108"/>
        <v/>
      </c>
      <c r="P159" s="73" t="str">
        <f t="shared" si="109"/>
        <v/>
      </c>
      <c r="Q159" s="73" t="str">
        <f t="shared" si="110"/>
        <v/>
      </c>
      <c r="R159" s="73" t="str">
        <f t="shared" si="111"/>
        <v/>
      </c>
      <c r="AB159" s="73" t="s">
        <v>668</v>
      </c>
      <c r="AC159" s="73" t="s">
        <v>669</v>
      </c>
      <c r="AD159" s="73" t="s">
        <v>5142</v>
      </c>
      <c r="AE159" s="73" t="s">
        <v>5143</v>
      </c>
      <c r="AF159" s="73" t="s">
        <v>5160</v>
      </c>
      <c r="AG159" s="73" t="s">
        <v>5168</v>
      </c>
    </row>
    <row r="160" spans="1:33" hidden="1">
      <c r="A160" s="355" t="str">
        <f>IF(C160="","",VLOOKUP('OPĆI DIO'!$C$3,'OPĆI DIO'!$L$6:$U$138,10,FALSE))</f>
        <v/>
      </c>
      <c r="B160" s="355" t="str">
        <f>IF(C160="","",VLOOKUP('OPĆI DIO'!$C$3,'OPĆI DIO'!$L$6:$U$138,9,FALSE))</f>
        <v/>
      </c>
      <c r="C160" s="356"/>
      <c r="D160" s="357" t="str">
        <f t="shared" si="112"/>
        <v/>
      </c>
      <c r="E160" s="356"/>
      <c r="F160" s="357" t="str">
        <f t="shared" si="113"/>
        <v/>
      </c>
      <c r="G160" s="358"/>
      <c r="H160" s="357" t="str">
        <f t="shared" si="114"/>
        <v/>
      </c>
      <c r="I160" s="357" t="str">
        <f t="shared" si="106"/>
        <v/>
      </c>
      <c r="J160" s="359"/>
      <c r="K160" s="359"/>
      <c r="L160" s="359"/>
      <c r="M160" s="81"/>
      <c r="O160" s="73" t="str">
        <f t="shared" si="108"/>
        <v/>
      </c>
      <c r="P160" s="73" t="str">
        <f t="shared" si="109"/>
        <v/>
      </c>
      <c r="Q160" s="73" t="str">
        <f t="shared" si="110"/>
        <v/>
      </c>
      <c r="R160" s="73" t="str">
        <f t="shared" si="111"/>
        <v/>
      </c>
      <c r="AB160" s="73" t="s">
        <v>91</v>
      </c>
      <c r="AC160" s="73" t="s">
        <v>1732</v>
      </c>
      <c r="AD160" s="73" t="s">
        <v>5142</v>
      </c>
      <c r="AE160" s="73" t="s">
        <v>5143</v>
      </c>
      <c r="AF160" s="73" t="s">
        <v>5160</v>
      </c>
      <c r="AG160" s="73" t="s">
        <v>5168</v>
      </c>
    </row>
    <row r="161" spans="1:33" hidden="1">
      <c r="A161" s="355" t="str">
        <f>IF(C161="","",VLOOKUP('OPĆI DIO'!$C$3,'OPĆI DIO'!$L$6:$U$138,10,FALSE))</f>
        <v/>
      </c>
      <c r="B161" s="355" t="str">
        <f>IF(C161="","",VLOOKUP('OPĆI DIO'!$C$3,'OPĆI DIO'!$L$6:$U$138,9,FALSE))</f>
        <v/>
      </c>
      <c r="C161" s="356"/>
      <c r="D161" s="357" t="str">
        <f t="shared" si="112"/>
        <v/>
      </c>
      <c r="E161" s="356"/>
      <c r="F161" s="357" t="str">
        <f t="shared" si="113"/>
        <v/>
      </c>
      <c r="G161" s="358"/>
      <c r="H161" s="357" t="str">
        <f t="shared" si="114"/>
        <v/>
      </c>
      <c r="I161" s="357" t="str">
        <f t="shared" si="106"/>
        <v/>
      </c>
      <c r="J161" s="359"/>
      <c r="K161" s="359"/>
      <c r="L161" s="359"/>
      <c r="M161" s="81"/>
      <c r="O161" s="73" t="str">
        <f t="shared" si="108"/>
        <v/>
      </c>
      <c r="P161" s="73" t="str">
        <f t="shared" si="109"/>
        <v/>
      </c>
      <c r="Q161" s="73" t="str">
        <f t="shared" si="110"/>
        <v/>
      </c>
      <c r="R161" s="73" t="str">
        <f t="shared" si="111"/>
        <v/>
      </c>
      <c r="AB161" s="73" t="s">
        <v>115</v>
      </c>
      <c r="AC161" s="73" t="s">
        <v>1733</v>
      </c>
      <c r="AD161" s="73" t="s">
        <v>5142</v>
      </c>
      <c r="AE161" s="73" t="s">
        <v>5143</v>
      </c>
      <c r="AF161" s="73" t="s">
        <v>5160</v>
      </c>
      <c r="AG161" s="73" t="s">
        <v>5168</v>
      </c>
    </row>
    <row r="162" spans="1:33" hidden="1">
      <c r="A162" s="355" t="str">
        <f>IF(C162="","",VLOOKUP('OPĆI DIO'!$C$3,'OPĆI DIO'!$L$6:$U$138,10,FALSE))</f>
        <v/>
      </c>
      <c r="B162" s="355" t="str">
        <f>IF(C162="","",VLOOKUP('OPĆI DIO'!$C$3,'OPĆI DIO'!$L$6:$U$138,9,FALSE))</f>
        <v/>
      </c>
      <c r="C162" s="356"/>
      <c r="D162" s="357" t="str">
        <f t="shared" si="112"/>
        <v/>
      </c>
      <c r="E162" s="356"/>
      <c r="F162" s="357" t="str">
        <f t="shared" si="113"/>
        <v/>
      </c>
      <c r="G162" s="358"/>
      <c r="H162" s="357" t="str">
        <f t="shared" si="114"/>
        <v/>
      </c>
      <c r="I162" s="357" t="str">
        <f t="shared" si="106"/>
        <v/>
      </c>
      <c r="J162" s="359"/>
      <c r="K162" s="359"/>
      <c r="L162" s="359"/>
      <c r="M162" s="81"/>
      <c r="O162" s="73" t="str">
        <f t="shared" si="108"/>
        <v/>
      </c>
      <c r="P162" s="73" t="str">
        <f t="shared" si="109"/>
        <v/>
      </c>
      <c r="Q162" s="73" t="str">
        <f t="shared" si="110"/>
        <v/>
      </c>
      <c r="R162" s="73" t="str">
        <f t="shared" si="111"/>
        <v/>
      </c>
      <c r="AB162" s="73" t="s">
        <v>1903</v>
      </c>
      <c r="AC162" s="73" t="s">
        <v>1904</v>
      </c>
      <c r="AD162" s="73" t="s">
        <v>5142</v>
      </c>
      <c r="AE162" s="73" t="s">
        <v>5143</v>
      </c>
      <c r="AF162" s="73" t="s">
        <v>5160</v>
      </c>
      <c r="AG162" s="73" t="s">
        <v>5168</v>
      </c>
    </row>
    <row r="163" spans="1:33" hidden="1">
      <c r="A163" s="355" t="str">
        <f>IF(C163="","",VLOOKUP('OPĆI DIO'!$C$3,'OPĆI DIO'!$L$6:$U$138,10,FALSE))</f>
        <v/>
      </c>
      <c r="B163" s="355" t="str">
        <f>IF(C163="","",VLOOKUP('OPĆI DIO'!$C$3,'OPĆI DIO'!$L$6:$U$138,9,FALSE))</f>
        <v/>
      </c>
      <c r="C163" s="356"/>
      <c r="D163" s="357" t="str">
        <f t="shared" si="112"/>
        <v/>
      </c>
      <c r="E163" s="356"/>
      <c r="F163" s="357" t="str">
        <f t="shared" si="113"/>
        <v/>
      </c>
      <c r="G163" s="358"/>
      <c r="H163" s="357" t="str">
        <f t="shared" si="114"/>
        <v/>
      </c>
      <c r="I163" s="357" t="str">
        <f t="shared" si="106"/>
        <v/>
      </c>
      <c r="J163" s="359"/>
      <c r="K163" s="359"/>
      <c r="L163" s="359"/>
      <c r="M163" s="81"/>
      <c r="O163" s="73" t="str">
        <f t="shared" si="108"/>
        <v/>
      </c>
      <c r="P163" s="73" t="str">
        <f t="shared" si="109"/>
        <v/>
      </c>
      <c r="Q163" s="73" t="str">
        <f t="shared" si="110"/>
        <v/>
      </c>
      <c r="R163" s="73" t="str">
        <f t="shared" si="111"/>
        <v/>
      </c>
      <c r="AB163" s="73" t="s">
        <v>122</v>
      </c>
      <c r="AC163" s="73" t="s">
        <v>1734</v>
      </c>
      <c r="AD163" s="73" t="s">
        <v>5142</v>
      </c>
      <c r="AE163" s="73" t="s">
        <v>5143</v>
      </c>
      <c r="AF163" s="73" t="s">
        <v>5160</v>
      </c>
      <c r="AG163" s="73" t="s">
        <v>5168</v>
      </c>
    </row>
    <row r="164" spans="1:33" hidden="1">
      <c r="A164" s="355" t="str">
        <f>IF(C164="","",VLOOKUP('OPĆI DIO'!$C$3,'OPĆI DIO'!$L$6:$U$138,10,FALSE))</f>
        <v/>
      </c>
      <c r="B164" s="355" t="str">
        <f>IF(C164="","",VLOOKUP('OPĆI DIO'!$C$3,'OPĆI DIO'!$L$6:$U$138,9,FALSE))</f>
        <v/>
      </c>
      <c r="C164" s="356"/>
      <c r="D164" s="357" t="str">
        <f t="shared" si="112"/>
        <v/>
      </c>
      <c r="E164" s="356"/>
      <c r="F164" s="357" t="str">
        <f t="shared" si="113"/>
        <v/>
      </c>
      <c r="G164" s="358"/>
      <c r="H164" s="357" t="str">
        <f t="shared" si="114"/>
        <v/>
      </c>
      <c r="I164" s="357" t="str">
        <f t="shared" si="106"/>
        <v/>
      </c>
      <c r="J164" s="359"/>
      <c r="K164" s="359"/>
      <c r="L164" s="359"/>
      <c r="M164" s="81"/>
      <c r="O164" s="73" t="str">
        <f t="shared" si="108"/>
        <v/>
      </c>
      <c r="P164" s="73" t="str">
        <f t="shared" si="109"/>
        <v/>
      </c>
      <c r="Q164" s="73" t="str">
        <f t="shared" si="110"/>
        <v/>
      </c>
      <c r="R164" s="73" t="str">
        <f t="shared" si="111"/>
        <v/>
      </c>
      <c r="AB164" s="73" t="s">
        <v>128</v>
      </c>
      <c r="AC164" s="73" t="s">
        <v>1735</v>
      </c>
      <c r="AD164" s="73" t="s">
        <v>5142</v>
      </c>
      <c r="AE164" s="73" t="s">
        <v>5143</v>
      </c>
      <c r="AF164" s="73" t="s">
        <v>5160</v>
      </c>
      <c r="AG164" s="73" t="s">
        <v>5168</v>
      </c>
    </row>
    <row r="165" spans="1:33" hidden="1">
      <c r="A165" s="355" t="str">
        <f>IF(C165="","",VLOOKUP('OPĆI DIO'!$C$3,'OPĆI DIO'!$L$6:$U$138,10,FALSE))</f>
        <v/>
      </c>
      <c r="B165" s="355" t="str">
        <f>IF(C165="","",VLOOKUP('OPĆI DIO'!$C$3,'OPĆI DIO'!$L$6:$U$138,9,FALSE))</f>
        <v/>
      </c>
      <c r="C165" s="356"/>
      <c r="D165" s="357" t="str">
        <f t="shared" si="112"/>
        <v/>
      </c>
      <c r="E165" s="356"/>
      <c r="F165" s="357" t="str">
        <f t="shared" si="113"/>
        <v/>
      </c>
      <c r="G165" s="358"/>
      <c r="H165" s="357" t="str">
        <f t="shared" si="114"/>
        <v/>
      </c>
      <c r="I165" s="357" t="str">
        <f t="shared" si="106"/>
        <v/>
      </c>
      <c r="J165" s="359"/>
      <c r="K165" s="359"/>
      <c r="L165" s="359"/>
      <c r="M165" s="81"/>
      <c r="O165" s="73" t="str">
        <f t="shared" si="108"/>
        <v/>
      </c>
      <c r="P165" s="73" t="str">
        <f t="shared" si="109"/>
        <v/>
      </c>
      <c r="Q165" s="73" t="str">
        <f t="shared" si="110"/>
        <v/>
      </c>
      <c r="R165" s="73" t="str">
        <f t="shared" si="111"/>
        <v/>
      </c>
      <c r="AB165" s="73" t="s">
        <v>130</v>
      </c>
      <c r="AC165" s="73" t="s">
        <v>1736</v>
      </c>
      <c r="AD165" s="73" t="s">
        <v>5142</v>
      </c>
      <c r="AE165" s="73" t="s">
        <v>5143</v>
      </c>
      <c r="AF165" s="73" t="s">
        <v>5160</v>
      </c>
      <c r="AG165" s="73" t="s">
        <v>5168</v>
      </c>
    </row>
    <row r="166" spans="1:33" hidden="1">
      <c r="A166" s="355" t="str">
        <f>IF(C166="","",VLOOKUP('OPĆI DIO'!$C$3,'OPĆI DIO'!$L$6:$U$138,10,FALSE))</f>
        <v/>
      </c>
      <c r="B166" s="355" t="str">
        <f>IF(C166="","",VLOOKUP('OPĆI DIO'!$C$3,'OPĆI DIO'!$L$6:$U$138,9,FALSE))</f>
        <v/>
      </c>
      <c r="C166" s="356"/>
      <c r="D166" s="357" t="str">
        <f t="shared" si="112"/>
        <v/>
      </c>
      <c r="E166" s="356"/>
      <c r="F166" s="357" t="str">
        <f t="shared" si="113"/>
        <v/>
      </c>
      <c r="G166" s="358"/>
      <c r="H166" s="357" t="str">
        <f t="shared" si="114"/>
        <v/>
      </c>
      <c r="I166" s="357" t="str">
        <f t="shared" si="106"/>
        <v/>
      </c>
      <c r="J166" s="359"/>
      <c r="K166" s="359"/>
      <c r="L166" s="359"/>
      <c r="M166" s="81"/>
      <c r="O166" s="73" t="str">
        <f t="shared" si="108"/>
        <v/>
      </c>
      <c r="P166" s="73" t="str">
        <f t="shared" si="109"/>
        <v/>
      </c>
      <c r="Q166" s="73" t="str">
        <f t="shared" si="110"/>
        <v/>
      </c>
      <c r="R166" s="73" t="str">
        <f t="shared" si="111"/>
        <v/>
      </c>
      <c r="AB166" s="73" t="s">
        <v>132</v>
      </c>
      <c r="AC166" s="73" t="s">
        <v>1905</v>
      </c>
      <c r="AD166" s="73" t="s">
        <v>5142</v>
      </c>
      <c r="AE166" s="73" t="s">
        <v>5143</v>
      </c>
      <c r="AF166" s="73" t="s">
        <v>5160</v>
      </c>
      <c r="AG166" s="73" t="s">
        <v>5168</v>
      </c>
    </row>
    <row r="167" spans="1:33" hidden="1">
      <c r="A167" s="355" t="str">
        <f>IF(C167="","",VLOOKUP('OPĆI DIO'!$C$3,'OPĆI DIO'!$L$6:$U$138,10,FALSE))</f>
        <v/>
      </c>
      <c r="B167" s="355" t="str">
        <f>IF(C167="","",VLOOKUP('OPĆI DIO'!$C$3,'OPĆI DIO'!$L$6:$U$138,9,FALSE))</f>
        <v/>
      </c>
      <c r="C167" s="356"/>
      <c r="D167" s="357" t="str">
        <f t="shared" si="112"/>
        <v/>
      </c>
      <c r="E167" s="356"/>
      <c r="F167" s="357" t="str">
        <f t="shared" si="113"/>
        <v/>
      </c>
      <c r="G167" s="358"/>
      <c r="H167" s="357" t="str">
        <f t="shared" si="114"/>
        <v/>
      </c>
      <c r="I167" s="357" t="str">
        <f t="shared" si="106"/>
        <v/>
      </c>
      <c r="J167" s="359"/>
      <c r="K167" s="359"/>
      <c r="L167" s="359"/>
      <c r="M167" s="81"/>
      <c r="O167" s="73" t="str">
        <f t="shared" si="108"/>
        <v/>
      </c>
      <c r="P167" s="73" t="str">
        <f t="shared" si="109"/>
        <v/>
      </c>
      <c r="Q167" s="73" t="str">
        <f t="shared" si="110"/>
        <v/>
      </c>
      <c r="R167" s="73" t="str">
        <f t="shared" si="111"/>
        <v/>
      </c>
      <c r="AB167" s="73" t="s">
        <v>136</v>
      </c>
      <c r="AC167" s="73" t="s">
        <v>1906</v>
      </c>
      <c r="AD167" s="73" t="s">
        <v>5142</v>
      </c>
      <c r="AE167" s="73" t="s">
        <v>5143</v>
      </c>
      <c r="AF167" s="73" t="s">
        <v>5160</v>
      </c>
      <c r="AG167" s="73" t="s">
        <v>5168</v>
      </c>
    </row>
    <row r="168" spans="1:33" hidden="1">
      <c r="A168" s="355" t="str">
        <f>IF(C168="","",VLOOKUP('OPĆI DIO'!$C$3,'OPĆI DIO'!$L$6:$U$138,10,FALSE))</f>
        <v/>
      </c>
      <c r="B168" s="355" t="str">
        <f>IF(C168="","",VLOOKUP('OPĆI DIO'!$C$3,'OPĆI DIO'!$L$6:$U$138,9,FALSE))</f>
        <v/>
      </c>
      <c r="C168" s="356"/>
      <c r="D168" s="357" t="str">
        <f t="shared" si="112"/>
        <v/>
      </c>
      <c r="E168" s="356"/>
      <c r="F168" s="357" t="str">
        <f t="shared" si="113"/>
        <v/>
      </c>
      <c r="G168" s="358"/>
      <c r="H168" s="357" t="str">
        <f t="shared" si="114"/>
        <v/>
      </c>
      <c r="I168" s="357" t="str">
        <f t="shared" si="106"/>
        <v/>
      </c>
      <c r="J168" s="359"/>
      <c r="K168" s="359"/>
      <c r="L168" s="359"/>
      <c r="M168" s="81"/>
      <c r="O168" s="73" t="str">
        <f t="shared" si="108"/>
        <v/>
      </c>
      <c r="P168" s="73" t="str">
        <f t="shared" si="109"/>
        <v/>
      </c>
      <c r="Q168" s="73" t="str">
        <f t="shared" si="110"/>
        <v/>
      </c>
      <c r="R168" s="73" t="str">
        <f t="shared" si="111"/>
        <v/>
      </c>
      <c r="AB168" s="73" t="s">
        <v>1650</v>
      </c>
      <c r="AC168" s="73" t="s">
        <v>1651</v>
      </c>
      <c r="AD168" s="73" t="s">
        <v>5142</v>
      </c>
      <c r="AE168" s="73" t="s">
        <v>5143</v>
      </c>
      <c r="AF168" s="73" t="s">
        <v>5160</v>
      </c>
      <c r="AG168" s="73" t="s">
        <v>5168</v>
      </c>
    </row>
    <row r="169" spans="1:33" hidden="1">
      <c r="A169" s="355" t="str">
        <f>IF(C169="","",VLOOKUP('OPĆI DIO'!$C$3,'OPĆI DIO'!$L$6:$U$138,10,FALSE))</f>
        <v/>
      </c>
      <c r="B169" s="355" t="str">
        <f>IF(C169="","",VLOOKUP('OPĆI DIO'!$C$3,'OPĆI DIO'!$L$6:$U$138,9,FALSE))</f>
        <v/>
      </c>
      <c r="C169" s="356"/>
      <c r="D169" s="357" t="str">
        <f t="shared" si="112"/>
        <v/>
      </c>
      <c r="E169" s="356"/>
      <c r="F169" s="357" t="str">
        <f t="shared" si="113"/>
        <v/>
      </c>
      <c r="G169" s="358"/>
      <c r="H169" s="357" t="str">
        <f t="shared" si="114"/>
        <v/>
      </c>
      <c r="I169" s="357" t="str">
        <f t="shared" si="106"/>
        <v/>
      </c>
      <c r="J169" s="359"/>
      <c r="K169" s="359"/>
      <c r="L169" s="359"/>
      <c r="M169" s="81"/>
      <c r="O169" s="73" t="str">
        <f t="shared" si="108"/>
        <v/>
      </c>
      <c r="P169" s="73" t="str">
        <f t="shared" si="109"/>
        <v/>
      </c>
      <c r="Q169" s="73" t="str">
        <f t="shared" si="110"/>
        <v/>
      </c>
      <c r="R169" s="73" t="str">
        <f t="shared" si="111"/>
        <v/>
      </c>
      <c r="AB169" s="73" t="s">
        <v>140</v>
      </c>
      <c r="AC169" s="73" t="s">
        <v>141</v>
      </c>
      <c r="AD169" s="73" t="s">
        <v>5142</v>
      </c>
      <c r="AE169" s="73" t="s">
        <v>5143</v>
      </c>
      <c r="AF169" s="73" t="s">
        <v>5160</v>
      </c>
      <c r="AG169" s="73" t="s">
        <v>5168</v>
      </c>
    </row>
    <row r="170" spans="1:33" hidden="1">
      <c r="A170" s="355" t="str">
        <f>IF(C170="","",VLOOKUP('OPĆI DIO'!$C$3,'OPĆI DIO'!$L$6:$U$138,10,FALSE))</f>
        <v/>
      </c>
      <c r="B170" s="355" t="str">
        <f>IF(C170="","",VLOOKUP('OPĆI DIO'!$C$3,'OPĆI DIO'!$L$6:$U$138,9,FALSE))</f>
        <v/>
      </c>
      <c r="C170" s="356"/>
      <c r="D170" s="357" t="str">
        <f t="shared" si="112"/>
        <v/>
      </c>
      <c r="E170" s="356"/>
      <c r="F170" s="357" t="str">
        <f t="shared" si="113"/>
        <v/>
      </c>
      <c r="G170" s="358"/>
      <c r="H170" s="357" t="str">
        <f t="shared" si="114"/>
        <v/>
      </c>
      <c r="I170" s="357" t="str">
        <f t="shared" si="106"/>
        <v/>
      </c>
      <c r="J170" s="359"/>
      <c r="K170" s="359"/>
      <c r="L170" s="359"/>
      <c r="M170" s="81"/>
      <c r="O170" s="73" t="str">
        <f t="shared" si="108"/>
        <v/>
      </c>
      <c r="P170" s="73" t="str">
        <f t="shared" si="109"/>
        <v/>
      </c>
      <c r="Q170" s="73" t="str">
        <f t="shared" si="110"/>
        <v/>
      </c>
      <c r="R170" s="73" t="str">
        <f t="shared" si="111"/>
        <v/>
      </c>
      <c r="AB170" s="73" t="s">
        <v>140</v>
      </c>
      <c r="AC170" s="73" t="s">
        <v>141</v>
      </c>
      <c r="AD170" s="73" t="s">
        <v>5152</v>
      </c>
      <c r="AE170" s="73" t="s">
        <v>5153</v>
      </c>
      <c r="AF170" s="73" t="s">
        <v>5160</v>
      </c>
      <c r="AG170" s="73" t="s">
        <v>5173</v>
      </c>
    </row>
    <row r="171" spans="1:33" hidden="1">
      <c r="A171" s="355" t="str">
        <f>IF(C171="","",VLOOKUP('OPĆI DIO'!$C$3,'OPĆI DIO'!$L$6:$U$138,10,FALSE))</f>
        <v/>
      </c>
      <c r="B171" s="355" t="str">
        <f>IF(C171="","",VLOOKUP('OPĆI DIO'!$C$3,'OPĆI DIO'!$L$6:$U$138,9,FALSE))</f>
        <v/>
      </c>
      <c r="C171" s="356"/>
      <c r="D171" s="357" t="str">
        <f t="shared" si="112"/>
        <v/>
      </c>
      <c r="E171" s="356"/>
      <c r="F171" s="357" t="str">
        <f t="shared" si="113"/>
        <v/>
      </c>
      <c r="G171" s="358"/>
      <c r="H171" s="357" t="str">
        <f t="shared" si="114"/>
        <v/>
      </c>
      <c r="I171" s="357" t="str">
        <f t="shared" si="106"/>
        <v/>
      </c>
      <c r="J171" s="359"/>
      <c r="K171" s="359"/>
      <c r="L171" s="359"/>
      <c r="M171" s="81"/>
      <c r="O171" s="73" t="str">
        <f t="shared" si="108"/>
        <v/>
      </c>
      <c r="P171" s="73" t="str">
        <f t="shared" si="109"/>
        <v/>
      </c>
      <c r="Q171" s="73" t="str">
        <f t="shared" si="110"/>
        <v/>
      </c>
      <c r="R171" s="73" t="str">
        <f t="shared" si="111"/>
        <v/>
      </c>
      <c r="AB171" s="73" t="s">
        <v>142</v>
      </c>
      <c r="AC171" s="73" t="s">
        <v>1737</v>
      </c>
      <c r="AD171" s="73" t="s">
        <v>5142</v>
      </c>
      <c r="AE171" s="73" t="s">
        <v>5143</v>
      </c>
      <c r="AF171" s="73" t="s">
        <v>5160</v>
      </c>
      <c r="AG171" s="73" t="s">
        <v>5168</v>
      </c>
    </row>
    <row r="172" spans="1:33" hidden="1">
      <c r="A172" s="355" t="str">
        <f>IF(C172="","",VLOOKUP('OPĆI DIO'!$C$3,'OPĆI DIO'!$L$6:$U$138,10,FALSE))</f>
        <v/>
      </c>
      <c r="B172" s="355" t="str">
        <f>IF(C172="","",VLOOKUP('OPĆI DIO'!$C$3,'OPĆI DIO'!$L$6:$U$138,9,FALSE))</f>
        <v/>
      </c>
      <c r="C172" s="356"/>
      <c r="D172" s="357" t="str">
        <f t="shared" si="112"/>
        <v/>
      </c>
      <c r="E172" s="356"/>
      <c r="F172" s="357" t="str">
        <f t="shared" si="113"/>
        <v/>
      </c>
      <c r="G172" s="358"/>
      <c r="H172" s="357" t="str">
        <f t="shared" si="114"/>
        <v/>
      </c>
      <c r="I172" s="357" t="str">
        <f t="shared" si="106"/>
        <v/>
      </c>
      <c r="J172" s="359"/>
      <c r="K172" s="359"/>
      <c r="L172" s="359"/>
      <c r="M172" s="81"/>
      <c r="O172" s="73" t="str">
        <f t="shared" si="108"/>
        <v/>
      </c>
      <c r="P172" s="73" t="str">
        <f t="shared" si="109"/>
        <v/>
      </c>
      <c r="Q172" s="73" t="str">
        <f t="shared" si="110"/>
        <v/>
      </c>
      <c r="R172" s="73" t="str">
        <f t="shared" si="111"/>
        <v/>
      </c>
      <c r="AB172" s="73" t="s">
        <v>143</v>
      </c>
      <c r="AC172" s="73" t="s">
        <v>1229</v>
      </c>
      <c r="AD172" s="73" t="s">
        <v>5142</v>
      </c>
      <c r="AE172" s="73" t="s">
        <v>5143</v>
      </c>
      <c r="AF172" s="73" t="s">
        <v>5160</v>
      </c>
      <c r="AG172" s="73" t="s">
        <v>5168</v>
      </c>
    </row>
    <row r="173" spans="1:33" hidden="1">
      <c r="A173" s="355" t="str">
        <f>IF(C173="","",VLOOKUP('OPĆI DIO'!$C$3,'OPĆI DIO'!$L$6:$U$138,10,FALSE))</f>
        <v/>
      </c>
      <c r="B173" s="355" t="str">
        <f>IF(C173="","",VLOOKUP('OPĆI DIO'!$C$3,'OPĆI DIO'!$L$6:$U$138,9,FALSE))</f>
        <v/>
      </c>
      <c r="C173" s="356"/>
      <c r="D173" s="357" t="str">
        <f t="shared" si="112"/>
        <v/>
      </c>
      <c r="E173" s="356"/>
      <c r="F173" s="357" t="str">
        <f t="shared" si="113"/>
        <v/>
      </c>
      <c r="G173" s="358"/>
      <c r="H173" s="357" t="str">
        <f t="shared" si="114"/>
        <v/>
      </c>
      <c r="I173" s="357" t="str">
        <f t="shared" si="106"/>
        <v/>
      </c>
      <c r="J173" s="359"/>
      <c r="K173" s="359"/>
      <c r="L173" s="359"/>
      <c r="M173" s="81"/>
      <c r="O173" s="73" t="str">
        <f t="shared" si="108"/>
        <v/>
      </c>
      <c r="P173" s="73" t="str">
        <f t="shared" si="109"/>
        <v/>
      </c>
      <c r="Q173" s="73" t="str">
        <f t="shared" si="110"/>
        <v/>
      </c>
      <c r="R173" s="73" t="str">
        <f t="shared" si="111"/>
        <v/>
      </c>
      <c r="AB173" s="73" t="s">
        <v>172</v>
      </c>
      <c r="AC173" s="73" t="s">
        <v>1230</v>
      </c>
      <c r="AD173" s="73" t="s">
        <v>5142</v>
      </c>
      <c r="AE173" s="73" t="s">
        <v>5143</v>
      </c>
      <c r="AF173" s="73" t="s">
        <v>5160</v>
      </c>
      <c r="AG173" s="73" t="s">
        <v>5168</v>
      </c>
    </row>
    <row r="174" spans="1:33" hidden="1">
      <c r="A174" s="355" t="str">
        <f>IF(C174="","",VLOOKUP('OPĆI DIO'!$C$3,'OPĆI DIO'!$L$6:$U$138,10,FALSE))</f>
        <v/>
      </c>
      <c r="B174" s="355" t="str">
        <f>IF(C174="","",VLOOKUP('OPĆI DIO'!$C$3,'OPĆI DIO'!$L$6:$U$138,9,FALSE))</f>
        <v/>
      </c>
      <c r="C174" s="356"/>
      <c r="D174" s="357" t="str">
        <f t="shared" si="112"/>
        <v/>
      </c>
      <c r="E174" s="356"/>
      <c r="F174" s="357" t="str">
        <f t="shared" si="113"/>
        <v/>
      </c>
      <c r="G174" s="358"/>
      <c r="H174" s="357" t="str">
        <f t="shared" si="114"/>
        <v/>
      </c>
      <c r="I174" s="357" t="str">
        <f t="shared" si="106"/>
        <v/>
      </c>
      <c r="J174" s="359"/>
      <c r="K174" s="359"/>
      <c r="L174" s="359"/>
      <c r="M174" s="81"/>
      <c r="O174" s="73" t="str">
        <f t="shared" si="108"/>
        <v/>
      </c>
      <c r="P174" s="73" t="str">
        <f t="shared" si="109"/>
        <v/>
      </c>
      <c r="Q174" s="73" t="str">
        <f t="shared" si="110"/>
        <v/>
      </c>
      <c r="R174" s="73" t="str">
        <f t="shared" si="111"/>
        <v/>
      </c>
      <c r="AB174" s="73" t="s">
        <v>175</v>
      </c>
      <c r="AC174" s="73" t="s">
        <v>1231</v>
      </c>
      <c r="AD174" s="73" t="s">
        <v>5142</v>
      </c>
      <c r="AE174" s="73" t="s">
        <v>5143</v>
      </c>
      <c r="AF174" s="73" t="s">
        <v>5160</v>
      </c>
      <c r="AG174" s="73" t="s">
        <v>5168</v>
      </c>
    </row>
    <row r="175" spans="1:33" hidden="1">
      <c r="A175" s="355" t="str">
        <f>IF(C175="","",VLOOKUP('OPĆI DIO'!$C$3,'OPĆI DIO'!$L$6:$U$138,10,FALSE))</f>
        <v/>
      </c>
      <c r="B175" s="355" t="str">
        <f>IF(C175="","",VLOOKUP('OPĆI DIO'!$C$3,'OPĆI DIO'!$L$6:$U$138,9,FALSE))</f>
        <v/>
      </c>
      <c r="C175" s="356"/>
      <c r="D175" s="357" t="str">
        <f t="shared" si="112"/>
        <v/>
      </c>
      <c r="E175" s="356"/>
      <c r="F175" s="357" t="str">
        <f t="shared" si="113"/>
        <v/>
      </c>
      <c r="G175" s="358"/>
      <c r="H175" s="357" t="str">
        <f t="shared" si="114"/>
        <v/>
      </c>
      <c r="I175" s="357" t="str">
        <f t="shared" si="106"/>
        <v/>
      </c>
      <c r="J175" s="359"/>
      <c r="K175" s="359"/>
      <c r="L175" s="359"/>
      <c r="M175" s="81"/>
      <c r="O175" s="73" t="str">
        <f t="shared" si="108"/>
        <v/>
      </c>
      <c r="P175" s="73" t="str">
        <f t="shared" si="109"/>
        <v/>
      </c>
      <c r="Q175" s="73" t="str">
        <f t="shared" si="110"/>
        <v/>
      </c>
      <c r="R175" s="73" t="str">
        <f t="shared" si="111"/>
        <v/>
      </c>
      <c r="AB175" s="73" t="s">
        <v>178</v>
      </c>
      <c r="AC175" s="73" t="s">
        <v>1232</v>
      </c>
      <c r="AD175" s="73" t="s">
        <v>5142</v>
      </c>
      <c r="AE175" s="73" t="s">
        <v>5143</v>
      </c>
      <c r="AF175" s="73" t="s">
        <v>5160</v>
      </c>
      <c r="AG175" s="73" t="s">
        <v>5168</v>
      </c>
    </row>
    <row r="176" spans="1:33" hidden="1">
      <c r="A176" s="355" t="str">
        <f>IF(C176="","",VLOOKUP('OPĆI DIO'!$C$3,'OPĆI DIO'!$L$6:$U$138,10,FALSE))</f>
        <v/>
      </c>
      <c r="B176" s="355" t="str">
        <f>IF(C176="","",VLOOKUP('OPĆI DIO'!$C$3,'OPĆI DIO'!$L$6:$U$138,9,FALSE))</f>
        <v/>
      </c>
      <c r="C176" s="356"/>
      <c r="D176" s="357" t="str">
        <f t="shared" si="112"/>
        <v/>
      </c>
      <c r="E176" s="356"/>
      <c r="F176" s="357" t="str">
        <f t="shared" si="113"/>
        <v/>
      </c>
      <c r="G176" s="358"/>
      <c r="H176" s="357" t="str">
        <f t="shared" si="114"/>
        <v/>
      </c>
      <c r="I176" s="357" t="str">
        <f t="shared" si="106"/>
        <v/>
      </c>
      <c r="J176" s="359"/>
      <c r="K176" s="359"/>
      <c r="L176" s="359"/>
      <c r="M176" s="81"/>
      <c r="O176" s="73" t="str">
        <f t="shared" si="108"/>
        <v/>
      </c>
      <c r="P176" s="73" t="str">
        <f t="shared" si="109"/>
        <v/>
      </c>
      <c r="Q176" s="73" t="str">
        <f t="shared" si="110"/>
        <v/>
      </c>
      <c r="R176" s="73" t="str">
        <f t="shared" si="111"/>
        <v/>
      </c>
      <c r="AB176" s="73" t="s">
        <v>181</v>
      </c>
      <c r="AC176" s="73" t="s">
        <v>1233</v>
      </c>
      <c r="AD176" s="73" t="s">
        <v>5142</v>
      </c>
      <c r="AE176" s="73" t="s">
        <v>5143</v>
      </c>
      <c r="AF176" s="73" t="s">
        <v>5160</v>
      </c>
      <c r="AG176" s="73" t="s">
        <v>5168</v>
      </c>
    </row>
    <row r="177" spans="1:33" hidden="1">
      <c r="A177" s="355" t="str">
        <f>IF(C177="","",VLOOKUP('OPĆI DIO'!$C$3,'OPĆI DIO'!$L$6:$U$138,10,FALSE))</f>
        <v/>
      </c>
      <c r="B177" s="355" t="str">
        <f>IF(C177="","",VLOOKUP('OPĆI DIO'!$C$3,'OPĆI DIO'!$L$6:$U$138,9,FALSE))</f>
        <v/>
      </c>
      <c r="C177" s="356"/>
      <c r="D177" s="357" t="str">
        <f t="shared" si="112"/>
        <v/>
      </c>
      <c r="E177" s="356"/>
      <c r="F177" s="357" t="str">
        <f t="shared" si="113"/>
        <v/>
      </c>
      <c r="G177" s="358"/>
      <c r="H177" s="357" t="str">
        <f t="shared" si="114"/>
        <v/>
      </c>
      <c r="I177" s="357" t="str">
        <f t="shared" si="106"/>
        <v/>
      </c>
      <c r="J177" s="359"/>
      <c r="K177" s="359"/>
      <c r="L177" s="359"/>
      <c r="M177" s="81"/>
      <c r="O177" s="73" t="str">
        <f t="shared" si="108"/>
        <v/>
      </c>
      <c r="P177" s="73" t="str">
        <f t="shared" si="109"/>
        <v/>
      </c>
      <c r="Q177" s="73" t="str">
        <f t="shared" si="110"/>
        <v/>
      </c>
      <c r="R177" s="73" t="str">
        <f t="shared" si="111"/>
        <v/>
      </c>
      <c r="AB177" s="73" t="s">
        <v>182</v>
      </c>
      <c r="AC177" s="73" t="s">
        <v>1234</v>
      </c>
      <c r="AD177" s="73" t="s">
        <v>5142</v>
      </c>
      <c r="AE177" s="73" t="s">
        <v>5143</v>
      </c>
      <c r="AF177" s="73" t="s">
        <v>5160</v>
      </c>
      <c r="AG177" s="73" t="s">
        <v>5168</v>
      </c>
    </row>
    <row r="178" spans="1:33" hidden="1">
      <c r="A178" s="355" t="str">
        <f>IF(C178="","",VLOOKUP('OPĆI DIO'!$C$3,'OPĆI DIO'!$L$6:$U$138,10,FALSE))</f>
        <v/>
      </c>
      <c r="B178" s="355" t="str">
        <f>IF(C178="","",VLOOKUP('OPĆI DIO'!$C$3,'OPĆI DIO'!$L$6:$U$138,9,FALSE))</f>
        <v/>
      </c>
      <c r="C178" s="356"/>
      <c r="D178" s="357" t="str">
        <f t="shared" si="112"/>
        <v/>
      </c>
      <c r="E178" s="356"/>
      <c r="F178" s="357" t="str">
        <f t="shared" si="113"/>
        <v/>
      </c>
      <c r="G178" s="358"/>
      <c r="H178" s="357" t="str">
        <f t="shared" si="114"/>
        <v/>
      </c>
      <c r="I178" s="357" t="str">
        <f t="shared" si="106"/>
        <v/>
      </c>
      <c r="J178" s="359"/>
      <c r="K178" s="359"/>
      <c r="L178" s="359"/>
      <c r="M178" s="81"/>
      <c r="O178" s="73" t="str">
        <f t="shared" si="108"/>
        <v/>
      </c>
      <c r="P178" s="73" t="str">
        <f t="shared" si="109"/>
        <v/>
      </c>
      <c r="Q178" s="73" t="str">
        <f t="shared" si="110"/>
        <v/>
      </c>
      <c r="R178" s="73" t="str">
        <f t="shared" si="111"/>
        <v/>
      </c>
      <c r="AB178" s="73" t="s">
        <v>184</v>
      </c>
      <c r="AC178" s="73" t="s">
        <v>1235</v>
      </c>
      <c r="AD178" s="73" t="s">
        <v>5142</v>
      </c>
      <c r="AE178" s="73" t="s">
        <v>5143</v>
      </c>
      <c r="AF178" s="73" t="s">
        <v>5160</v>
      </c>
      <c r="AG178" s="73" t="s">
        <v>5168</v>
      </c>
    </row>
    <row r="179" spans="1:33" hidden="1">
      <c r="A179" s="355" t="str">
        <f>IF(C179="","",VLOOKUP('OPĆI DIO'!$C$3,'OPĆI DIO'!$L$6:$U$138,10,FALSE))</f>
        <v/>
      </c>
      <c r="B179" s="355" t="str">
        <f>IF(C179="","",VLOOKUP('OPĆI DIO'!$C$3,'OPĆI DIO'!$L$6:$U$138,9,FALSE))</f>
        <v/>
      </c>
      <c r="C179" s="356"/>
      <c r="D179" s="357" t="str">
        <f t="shared" si="112"/>
        <v/>
      </c>
      <c r="E179" s="356"/>
      <c r="F179" s="357" t="str">
        <f t="shared" si="113"/>
        <v/>
      </c>
      <c r="G179" s="358"/>
      <c r="H179" s="357" t="str">
        <f t="shared" si="114"/>
        <v/>
      </c>
      <c r="I179" s="357" t="str">
        <f t="shared" si="106"/>
        <v/>
      </c>
      <c r="J179" s="359"/>
      <c r="K179" s="359"/>
      <c r="L179" s="359"/>
      <c r="M179" s="81"/>
      <c r="O179" s="73" t="str">
        <f t="shared" si="108"/>
        <v/>
      </c>
      <c r="P179" s="73" t="str">
        <f t="shared" si="109"/>
        <v/>
      </c>
      <c r="Q179" s="73" t="str">
        <f t="shared" si="110"/>
        <v/>
      </c>
      <c r="R179" s="73" t="str">
        <f t="shared" si="111"/>
        <v/>
      </c>
      <c r="AB179" s="73" t="s">
        <v>189</v>
      </c>
      <c r="AC179" s="73" t="s">
        <v>1236</v>
      </c>
      <c r="AD179" s="73" t="s">
        <v>5142</v>
      </c>
      <c r="AE179" s="73" t="s">
        <v>5143</v>
      </c>
      <c r="AF179" s="73" t="s">
        <v>5160</v>
      </c>
      <c r="AG179" s="73" t="s">
        <v>5168</v>
      </c>
    </row>
    <row r="180" spans="1:33" hidden="1">
      <c r="A180" s="355" t="str">
        <f>IF(C180="","",VLOOKUP('OPĆI DIO'!$C$3,'OPĆI DIO'!$L$6:$U$138,10,FALSE))</f>
        <v/>
      </c>
      <c r="B180" s="355" t="str">
        <f>IF(C180="","",VLOOKUP('OPĆI DIO'!$C$3,'OPĆI DIO'!$L$6:$U$138,9,FALSE))</f>
        <v/>
      </c>
      <c r="C180" s="356"/>
      <c r="D180" s="357" t="str">
        <f t="shared" si="112"/>
        <v/>
      </c>
      <c r="E180" s="356"/>
      <c r="F180" s="357" t="str">
        <f t="shared" si="113"/>
        <v/>
      </c>
      <c r="G180" s="358"/>
      <c r="H180" s="357" t="str">
        <f t="shared" si="114"/>
        <v/>
      </c>
      <c r="I180" s="357" t="str">
        <f t="shared" si="106"/>
        <v/>
      </c>
      <c r="J180" s="359"/>
      <c r="K180" s="359"/>
      <c r="L180" s="359"/>
      <c r="M180" s="81"/>
      <c r="O180" s="73" t="str">
        <f t="shared" si="108"/>
        <v/>
      </c>
      <c r="P180" s="73" t="str">
        <f t="shared" si="109"/>
        <v/>
      </c>
      <c r="Q180" s="73" t="str">
        <f t="shared" si="110"/>
        <v/>
      </c>
      <c r="R180" s="73" t="str">
        <f t="shared" si="111"/>
        <v/>
      </c>
      <c r="AB180" s="73" t="s">
        <v>190</v>
      </c>
      <c r="AC180" s="73" t="s">
        <v>1237</v>
      </c>
      <c r="AD180" s="73" t="s">
        <v>5142</v>
      </c>
      <c r="AE180" s="73" t="s">
        <v>5143</v>
      </c>
      <c r="AF180" s="73" t="s">
        <v>5160</v>
      </c>
      <c r="AG180" s="73" t="s">
        <v>5168</v>
      </c>
    </row>
    <row r="181" spans="1:33" hidden="1">
      <c r="A181" s="355" t="str">
        <f>IF(C181="","",VLOOKUP('OPĆI DIO'!$C$3,'OPĆI DIO'!$L$6:$U$138,10,FALSE))</f>
        <v/>
      </c>
      <c r="B181" s="355" t="str">
        <f>IF(C181="","",VLOOKUP('OPĆI DIO'!$C$3,'OPĆI DIO'!$L$6:$U$138,9,FALSE))</f>
        <v/>
      </c>
      <c r="C181" s="356"/>
      <c r="D181" s="357" t="str">
        <f t="shared" si="112"/>
        <v/>
      </c>
      <c r="E181" s="356"/>
      <c r="F181" s="357" t="str">
        <f t="shared" si="113"/>
        <v/>
      </c>
      <c r="G181" s="358"/>
      <c r="H181" s="357" t="str">
        <f t="shared" si="114"/>
        <v/>
      </c>
      <c r="I181" s="357" t="str">
        <f t="shared" si="106"/>
        <v/>
      </c>
      <c r="J181" s="359"/>
      <c r="K181" s="359"/>
      <c r="L181" s="359"/>
      <c r="M181" s="81"/>
      <c r="O181" s="73" t="str">
        <f t="shared" si="108"/>
        <v/>
      </c>
      <c r="P181" s="73" t="str">
        <f t="shared" si="109"/>
        <v/>
      </c>
      <c r="Q181" s="73" t="str">
        <f t="shared" si="110"/>
        <v/>
      </c>
      <c r="R181" s="73" t="str">
        <f t="shared" si="111"/>
        <v/>
      </c>
      <c r="AB181" s="73" t="s">
        <v>1907</v>
      </c>
      <c r="AC181" s="73" t="s">
        <v>1908</v>
      </c>
      <c r="AD181" s="73" t="s">
        <v>5142</v>
      </c>
      <c r="AE181" s="73" t="s">
        <v>5143</v>
      </c>
      <c r="AF181" s="73" t="s">
        <v>5160</v>
      </c>
      <c r="AG181" s="73" t="s">
        <v>5168</v>
      </c>
    </row>
    <row r="182" spans="1:33" hidden="1">
      <c r="A182" s="355" t="str">
        <f>IF(C182="","",VLOOKUP('OPĆI DIO'!$C$3,'OPĆI DIO'!$L$6:$U$138,10,FALSE))</f>
        <v/>
      </c>
      <c r="B182" s="355" t="str">
        <f>IF(C182="","",VLOOKUP('OPĆI DIO'!$C$3,'OPĆI DIO'!$L$6:$U$138,9,FALSE))</f>
        <v/>
      </c>
      <c r="C182" s="356"/>
      <c r="D182" s="357" t="str">
        <f t="shared" si="112"/>
        <v/>
      </c>
      <c r="E182" s="356"/>
      <c r="F182" s="357" t="str">
        <f t="shared" si="113"/>
        <v/>
      </c>
      <c r="G182" s="358"/>
      <c r="H182" s="357" t="str">
        <f t="shared" si="114"/>
        <v/>
      </c>
      <c r="I182" s="357" t="str">
        <f t="shared" si="106"/>
        <v/>
      </c>
      <c r="J182" s="359"/>
      <c r="K182" s="359"/>
      <c r="L182" s="359"/>
      <c r="M182" s="81"/>
      <c r="O182" s="73" t="str">
        <f t="shared" si="108"/>
        <v/>
      </c>
      <c r="P182" s="73" t="str">
        <f t="shared" si="109"/>
        <v/>
      </c>
      <c r="Q182" s="73" t="str">
        <f t="shared" si="110"/>
        <v/>
      </c>
      <c r="R182" s="73" t="str">
        <f t="shared" si="111"/>
        <v/>
      </c>
      <c r="AB182" s="73" t="s">
        <v>666</v>
      </c>
      <c r="AC182" s="73" t="s">
        <v>667</v>
      </c>
      <c r="AD182" s="73" t="s">
        <v>5142</v>
      </c>
      <c r="AE182" s="73" t="s">
        <v>5143</v>
      </c>
      <c r="AF182" s="73" t="s">
        <v>5160</v>
      </c>
      <c r="AG182" s="73" t="s">
        <v>5168</v>
      </c>
    </row>
    <row r="183" spans="1:33" hidden="1">
      <c r="A183" s="355" t="str">
        <f>IF(C183="","",VLOOKUP('OPĆI DIO'!$C$3,'OPĆI DIO'!$L$6:$U$138,10,FALSE))</f>
        <v/>
      </c>
      <c r="B183" s="355" t="str">
        <f>IF(C183="","",VLOOKUP('OPĆI DIO'!$C$3,'OPĆI DIO'!$L$6:$U$138,9,FALSE))</f>
        <v/>
      </c>
      <c r="C183" s="356"/>
      <c r="D183" s="357" t="str">
        <f t="shared" si="112"/>
        <v/>
      </c>
      <c r="E183" s="356"/>
      <c r="F183" s="357" t="str">
        <f t="shared" si="113"/>
        <v/>
      </c>
      <c r="G183" s="358"/>
      <c r="H183" s="357" t="str">
        <f t="shared" si="114"/>
        <v/>
      </c>
      <c r="I183" s="357" t="str">
        <f t="shared" si="106"/>
        <v/>
      </c>
      <c r="J183" s="359"/>
      <c r="K183" s="359"/>
      <c r="L183" s="359"/>
      <c r="M183" s="81"/>
      <c r="O183" s="73" t="str">
        <f t="shared" si="108"/>
        <v/>
      </c>
      <c r="P183" s="73" t="str">
        <f t="shared" si="109"/>
        <v/>
      </c>
      <c r="Q183" s="73" t="str">
        <f t="shared" si="110"/>
        <v/>
      </c>
      <c r="R183" s="73" t="str">
        <f t="shared" si="111"/>
        <v/>
      </c>
      <c r="AB183" s="73" t="s">
        <v>1652</v>
      </c>
      <c r="AC183" s="73" t="s">
        <v>1909</v>
      </c>
      <c r="AD183" s="73" t="s">
        <v>5142</v>
      </c>
      <c r="AE183" s="73" t="s">
        <v>5143</v>
      </c>
      <c r="AF183" s="73" t="s">
        <v>5160</v>
      </c>
      <c r="AG183" s="73" t="s">
        <v>5168</v>
      </c>
    </row>
    <row r="184" spans="1:33" hidden="1">
      <c r="A184" s="355" t="str">
        <f>IF(C184="","",VLOOKUP('OPĆI DIO'!$C$3,'OPĆI DIO'!$L$6:$U$138,10,FALSE))</f>
        <v/>
      </c>
      <c r="B184" s="355" t="str">
        <f>IF(C184="","",VLOOKUP('OPĆI DIO'!$C$3,'OPĆI DIO'!$L$6:$U$138,9,FALSE))</f>
        <v/>
      </c>
      <c r="C184" s="356"/>
      <c r="D184" s="357" t="str">
        <f t="shared" si="112"/>
        <v/>
      </c>
      <c r="E184" s="356"/>
      <c r="F184" s="357" t="str">
        <f t="shared" si="113"/>
        <v/>
      </c>
      <c r="G184" s="358"/>
      <c r="H184" s="357" t="str">
        <f t="shared" si="114"/>
        <v/>
      </c>
      <c r="I184" s="357" t="str">
        <f t="shared" si="106"/>
        <v/>
      </c>
      <c r="J184" s="359"/>
      <c r="K184" s="359"/>
      <c r="L184" s="359"/>
      <c r="M184" s="81"/>
      <c r="O184" s="73" t="str">
        <f t="shared" si="108"/>
        <v/>
      </c>
      <c r="P184" s="73" t="str">
        <f t="shared" si="109"/>
        <v/>
      </c>
      <c r="Q184" s="73" t="str">
        <f t="shared" si="110"/>
        <v/>
      </c>
      <c r="R184" s="73" t="str">
        <f t="shared" si="111"/>
        <v/>
      </c>
      <c r="AB184" s="73" t="s">
        <v>1739</v>
      </c>
      <c r="AC184" s="73" t="s">
        <v>1910</v>
      </c>
      <c r="AD184" s="73" t="s">
        <v>5142</v>
      </c>
      <c r="AE184" s="73" t="s">
        <v>5143</v>
      </c>
      <c r="AF184" s="73" t="s">
        <v>5160</v>
      </c>
      <c r="AG184" s="73" t="s">
        <v>5168</v>
      </c>
    </row>
    <row r="185" spans="1:33" hidden="1">
      <c r="A185" s="355" t="str">
        <f>IF(C185="","",VLOOKUP('OPĆI DIO'!$C$3,'OPĆI DIO'!$L$6:$U$138,10,FALSE))</f>
        <v/>
      </c>
      <c r="B185" s="355" t="str">
        <f>IF(C185="","",VLOOKUP('OPĆI DIO'!$C$3,'OPĆI DIO'!$L$6:$U$138,9,FALSE))</f>
        <v/>
      </c>
      <c r="C185" s="356"/>
      <c r="D185" s="357" t="str">
        <f t="shared" si="112"/>
        <v/>
      </c>
      <c r="E185" s="356"/>
      <c r="F185" s="357" t="str">
        <f t="shared" si="113"/>
        <v/>
      </c>
      <c r="G185" s="358"/>
      <c r="H185" s="357" t="str">
        <f t="shared" si="114"/>
        <v/>
      </c>
      <c r="I185" s="357" t="str">
        <f t="shared" si="106"/>
        <v/>
      </c>
      <c r="J185" s="359"/>
      <c r="K185" s="359"/>
      <c r="L185" s="359"/>
      <c r="M185" s="81"/>
      <c r="O185" s="73" t="str">
        <f t="shared" si="108"/>
        <v/>
      </c>
      <c r="P185" s="73" t="str">
        <f t="shared" si="109"/>
        <v/>
      </c>
      <c r="Q185" s="73" t="str">
        <f t="shared" si="110"/>
        <v/>
      </c>
      <c r="R185" s="73" t="str">
        <f t="shared" si="111"/>
        <v/>
      </c>
      <c r="AB185" s="73" t="s">
        <v>1911</v>
      </c>
      <c r="AC185" s="73" t="s">
        <v>1912</v>
      </c>
      <c r="AD185" s="73" t="s">
        <v>5142</v>
      </c>
      <c r="AE185" s="73" t="s">
        <v>5143</v>
      </c>
      <c r="AF185" s="73" t="s">
        <v>5160</v>
      </c>
      <c r="AG185" s="73" t="s">
        <v>5168</v>
      </c>
    </row>
    <row r="186" spans="1:33" hidden="1">
      <c r="A186" s="355" t="str">
        <f>IF(C186="","",VLOOKUP('OPĆI DIO'!$C$3,'OPĆI DIO'!$L$6:$U$138,10,FALSE))</f>
        <v/>
      </c>
      <c r="B186" s="355" t="str">
        <f>IF(C186="","",VLOOKUP('OPĆI DIO'!$C$3,'OPĆI DIO'!$L$6:$U$138,9,FALSE))</f>
        <v/>
      </c>
      <c r="C186" s="356"/>
      <c r="D186" s="357" t="str">
        <f t="shared" ref="D186:D249" si="115">IFERROR(VLOOKUP(C186,$S$6:$T$27,2,FALSE),"")</f>
        <v/>
      </c>
      <c r="E186" s="356"/>
      <c r="F186" s="357" t="str">
        <f t="shared" ref="F186:F249" si="116">IFERROR(VLOOKUP(E186,$V$5:$X$126,2,FALSE),"")</f>
        <v/>
      </c>
      <c r="G186" s="358"/>
      <c r="H186" s="357" t="str">
        <f t="shared" ref="H186:H249" si="117">IFERROR(VLOOKUP(G186,$AB$6:$AC$324,2,FALSE),"")</f>
        <v/>
      </c>
      <c r="I186" s="357" t="str">
        <f t="shared" ref="I186:I249" si="118">IFERROR(VLOOKUP(G186,$AB$6:$AF$324,3,FALSE),"")</f>
        <v/>
      </c>
      <c r="J186" s="359"/>
      <c r="K186" s="359"/>
      <c r="L186" s="359"/>
      <c r="M186" s="81"/>
      <c r="O186" s="73" t="str">
        <f t="shared" si="108"/>
        <v/>
      </c>
      <c r="P186" s="73" t="str">
        <f t="shared" si="109"/>
        <v/>
      </c>
      <c r="Q186" s="73" t="str">
        <f t="shared" si="110"/>
        <v/>
      </c>
      <c r="R186" s="73" t="str">
        <f t="shared" si="111"/>
        <v/>
      </c>
      <c r="AB186" s="73" t="s">
        <v>1913</v>
      </c>
      <c r="AC186" s="73" t="s">
        <v>1914</v>
      </c>
      <c r="AD186" s="73" t="s">
        <v>5142</v>
      </c>
      <c r="AE186" s="73" t="s">
        <v>5143</v>
      </c>
      <c r="AF186" s="73" t="s">
        <v>5160</v>
      </c>
      <c r="AG186" s="73" t="s">
        <v>5168</v>
      </c>
    </row>
    <row r="187" spans="1:33" hidden="1">
      <c r="A187" s="355" t="str">
        <f>IF(C187="","",VLOOKUP('OPĆI DIO'!$C$3,'OPĆI DIO'!$L$6:$U$138,10,FALSE))</f>
        <v/>
      </c>
      <c r="B187" s="355" t="str">
        <f>IF(C187="","",VLOOKUP('OPĆI DIO'!$C$3,'OPĆI DIO'!$L$6:$U$138,9,FALSE))</f>
        <v/>
      </c>
      <c r="C187" s="356"/>
      <c r="D187" s="357" t="str">
        <f t="shared" si="115"/>
        <v/>
      </c>
      <c r="E187" s="356"/>
      <c r="F187" s="357" t="str">
        <f t="shared" si="116"/>
        <v/>
      </c>
      <c r="G187" s="358"/>
      <c r="H187" s="357" t="str">
        <f t="shared" si="117"/>
        <v/>
      </c>
      <c r="I187" s="357" t="str">
        <f t="shared" si="118"/>
        <v/>
      </c>
      <c r="J187" s="359"/>
      <c r="K187" s="359"/>
      <c r="L187" s="359"/>
      <c r="M187" s="81"/>
      <c r="O187" s="73" t="str">
        <f t="shared" si="108"/>
        <v/>
      </c>
      <c r="P187" s="73" t="str">
        <f t="shared" si="109"/>
        <v/>
      </c>
      <c r="Q187" s="73" t="str">
        <f t="shared" si="110"/>
        <v/>
      </c>
      <c r="R187" s="73" t="str">
        <f t="shared" si="111"/>
        <v/>
      </c>
      <c r="AB187" s="73" t="s">
        <v>3479</v>
      </c>
      <c r="AC187" s="73" t="s">
        <v>3480</v>
      </c>
      <c r="AD187" s="73" t="s">
        <v>5142</v>
      </c>
      <c r="AE187" s="73" t="s">
        <v>5143</v>
      </c>
      <c r="AF187" s="73" t="s">
        <v>5160</v>
      </c>
      <c r="AG187" s="73" t="s">
        <v>5168</v>
      </c>
    </row>
    <row r="188" spans="1:33" hidden="1">
      <c r="A188" s="355" t="str">
        <f>IF(C188="","",VLOOKUP('OPĆI DIO'!$C$3,'OPĆI DIO'!$L$6:$U$138,10,FALSE))</f>
        <v/>
      </c>
      <c r="B188" s="355" t="str">
        <f>IF(C188="","",VLOOKUP('OPĆI DIO'!$C$3,'OPĆI DIO'!$L$6:$U$138,9,FALSE))</f>
        <v/>
      </c>
      <c r="C188" s="356"/>
      <c r="D188" s="357" t="str">
        <f t="shared" si="115"/>
        <v/>
      </c>
      <c r="E188" s="356"/>
      <c r="F188" s="357" t="str">
        <f t="shared" si="116"/>
        <v/>
      </c>
      <c r="G188" s="358"/>
      <c r="H188" s="357" t="str">
        <f t="shared" si="117"/>
        <v/>
      </c>
      <c r="I188" s="357" t="str">
        <f t="shared" si="118"/>
        <v/>
      </c>
      <c r="J188" s="359"/>
      <c r="K188" s="359"/>
      <c r="L188" s="359"/>
      <c r="M188" s="81"/>
      <c r="O188" s="73" t="str">
        <f t="shared" si="108"/>
        <v/>
      </c>
      <c r="P188" s="73" t="str">
        <f t="shared" si="109"/>
        <v/>
      </c>
      <c r="Q188" s="73" t="str">
        <f t="shared" si="110"/>
        <v/>
      </c>
      <c r="R188" s="73" t="str">
        <f t="shared" si="111"/>
        <v/>
      </c>
      <c r="AB188" s="73" t="s">
        <v>672</v>
      </c>
      <c r="AC188" s="73" t="s">
        <v>673</v>
      </c>
      <c r="AD188" s="73" t="s">
        <v>5142</v>
      </c>
      <c r="AE188" s="73" t="s">
        <v>5143</v>
      </c>
      <c r="AF188" s="73" t="s">
        <v>5160</v>
      </c>
      <c r="AG188" s="73" t="s">
        <v>5168</v>
      </c>
    </row>
    <row r="189" spans="1:33" hidden="1">
      <c r="A189" s="355" t="str">
        <f>IF(C189="","",VLOOKUP('OPĆI DIO'!$C$3,'OPĆI DIO'!$L$6:$U$138,10,FALSE))</f>
        <v/>
      </c>
      <c r="B189" s="355" t="str">
        <f>IF(C189="","",VLOOKUP('OPĆI DIO'!$C$3,'OPĆI DIO'!$L$6:$U$138,9,FALSE))</f>
        <v/>
      </c>
      <c r="C189" s="356"/>
      <c r="D189" s="357" t="str">
        <f t="shared" si="115"/>
        <v/>
      </c>
      <c r="E189" s="356"/>
      <c r="F189" s="357" t="str">
        <f t="shared" si="116"/>
        <v/>
      </c>
      <c r="G189" s="358"/>
      <c r="H189" s="357" t="str">
        <f t="shared" si="117"/>
        <v/>
      </c>
      <c r="I189" s="357" t="str">
        <f t="shared" si="118"/>
        <v/>
      </c>
      <c r="J189" s="359"/>
      <c r="K189" s="359"/>
      <c r="L189" s="359"/>
      <c r="M189" s="81"/>
      <c r="O189" s="73" t="str">
        <f t="shared" si="108"/>
        <v/>
      </c>
      <c r="P189" s="73" t="str">
        <f t="shared" si="109"/>
        <v/>
      </c>
      <c r="Q189" s="73" t="str">
        <f t="shared" si="110"/>
        <v/>
      </c>
      <c r="R189" s="73" t="str">
        <f t="shared" si="111"/>
        <v/>
      </c>
      <c r="AB189" s="73" t="s">
        <v>229</v>
      </c>
      <c r="AC189" s="73" t="s">
        <v>1647</v>
      </c>
      <c r="AD189" s="73" t="s">
        <v>5142</v>
      </c>
      <c r="AE189" s="73" t="s">
        <v>5143</v>
      </c>
      <c r="AF189" s="73" t="s">
        <v>5160</v>
      </c>
      <c r="AG189" s="73" t="s">
        <v>5168</v>
      </c>
    </row>
    <row r="190" spans="1:33" hidden="1">
      <c r="A190" s="355" t="str">
        <f>IF(C190="","",VLOOKUP('OPĆI DIO'!$C$3,'OPĆI DIO'!$L$6:$U$138,10,FALSE))</f>
        <v/>
      </c>
      <c r="B190" s="355" t="str">
        <f>IF(C190="","",VLOOKUP('OPĆI DIO'!$C$3,'OPĆI DIO'!$L$6:$U$138,9,FALSE))</f>
        <v/>
      </c>
      <c r="C190" s="356"/>
      <c r="D190" s="357" t="str">
        <f t="shared" si="115"/>
        <v/>
      </c>
      <c r="E190" s="356"/>
      <c r="F190" s="357" t="str">
        <f t="shared" si="116"/>
        <v/>
      </c>
      <c r="G190" s="358"/>
      <c r="H190" s="357" t="str">
        <f t="shared" si="117"/>
        <v/>
      </c>
      <c r="I190" s="357" t="str">
        <f t="shared" si="118"/>
        <v/>
      </c>
      <c r="J190" s="359"/>
      <c r="K190" s="359"/>
      <c r="L190" s="359"/>
      <c r="M190" s="81"/>
      <c r="O190" s="73" t="str">
        <f t="shared" si="108"/>
        <v/>
      </c>
      <c r="P190" s="73" t="str">
        <f t="shared" si="109"/>
        <v/>
      </c>
      <c r="Q190" s="73" t="str">
        <f t="shared" si="110"/>
        <v/>
      </c>
      <c r="R190" s="73" t="str">
        <f t="shared" si="111"/>
        <v/>
      </c>
      <c r="AB190" s="73" t="s">
        <v>679</v>
      </c>
      <c r="AC190" s="73" t="s">
        <v>680</v>
      </c>
      <c r="AD190" s="73" t="s">
        <v>5142</v>
      </c>
      <c r="AE190" s="73" t="s">
        <v>5143</v>
      </c>
      <c r="AF190" s="73" t="s">
        <v>5160</v>
      </c>
      <c r="AG190" s="73" t="s">
        <v>5168</v>
      </c>
    </row>
    <row r="191" spans="1:33" hidden="1">
      <c r="A191" s="355" t="str">
        <f>IF(C191="","",VLOOKUP('OPĆI DIO'!$C$3,'OPĆI DIO'!$L$6:$U$138,10,FALSE))</f>
        <v/>
      </c>
      <c r="B191" s="355" t="str">
        <f>IF(C191="","",VLOOKUP('OPĆI DIO'!$C$3,'OPĆI DIO'!$L$6:$U$138,9,FALSE))</f>
        <v/>
      </c>
      <c r="C191" s="356"/>
      <c r="D191" s="357" t="str">
        <f t="shared" si="115"/>
        <v/>
      </c>
      <c r="E191" s="356"/>
      <c r="F191" s="357" t="str">
        <f t="shared" si="116"/>
        <v/>
      </c>
      <c r="G191" s="358"/>
      <c r="H191" s="357" t="str">
        <f t="shared" si="117"/>
        <v/>
      </c>
      <c r="I191" s="357" t="str">
        <f t="shared" si="118"/>
        <v/>
      </c>
      <c r="J191" s="359"/>
      <c r="K191" s="359"/>
      <c r="L191" s="359"/>
      <c r="M191" s="81"/>
      <c r="O191" s="73" t="str">
        <f t="shared" si="108"/>
        <v/>
      </c>
      <c r="P191" s="73" t="str">
        <f t="shared" si="109"/>
        <v/>
      </c>
      <c r="Q191" s="73" t="str">
        <f t="shared" si="110"/>
        <v/>
      </c>
      <c r="R191" s="73" t="str">
        <f t="shared" si="111"/>
        <v/>
      </c>
      <c r="AB191" s="73" t="s">
        <v>1993</v>
      </c>
      <c r="AC191" s="73" t="s">
        <v>1987</v>
      </c>
      <c r="AD191" s="73" t="s">
        <v>5142</v>
      </c>
      <c r="AE191" s="73" t="s">
        <v>5143</v>
      </c>
      <c r="AF191" s="73" t="s">
        <v>5160</v>
      </c>
      <c r="AG191" s="73" t="s">
        <v>5168</v>
      </c>
    </row>
    <row r="192" spans="1:33" hidden="1">
      <c r="A192" s="355" t="str">
        <f>IF(C192="","",VLOOKUP('OPĆI DIO'!$C$3,'OPĆI DIO'!$L$6:$U$138,10,FALSE))</f>
        <v/>
      </c>
      <c r="B192" s="355" t="str">
        <f>IF(C192="","",VLOOKUP('OPĆI DIO'!$C$3,'OPĆI DIO'!$L$6:$U$138,9,FALSE))</f>
        <v/>
      </c>
      <c r="C192" s="356"/>
      <c r="D192" s="357" t="str">
        <f t="shared" si="115"/>
        <v/>
      </c>
      <c r="E192" s="356"/>
      <c r="F192" s="357" t="str">
        <f t="shared" si="116"/>
        <v/>
      </c>
      <c r="G192" s="358"/>
      <c r="H192" s="357" t="str">
        <f t="shared" si="117"/>
        <v/>
      </c>
      <c r="I192" s="357" t="str">
        <f t="shared" si="118"/>
        <v/>
      </c>
      <c r="J192" s="359"/>
      <c r="K192" s="359"/>
      <c r="L192" s="359"/>
      <c r="M192" s="81"/>
      <c r="O192" s="73" t="str">
        <f t="shared" si="108"/>
        <v/>
      </c>
      <c r="P192" s="73" t="str">
        <f t="shared" si="109"/>
        <v/>
      </c>
      <c r="Q192" s="73" t="str">
        <f t="shared" si="110"/>
        <v/>
      </c>
      <c r="R192" s="73" t="str">
        <f t="shared" si="111"/>
        <v/>
      </c>
      <c r="AB192" s="73" t="s">
        <v>1994</v>
      </c>
      <c r="AC192" s="73" t="s">
        <v>3468</v>
      </c>
      <c r="AD192" s="73" t="s">
        <v>5142</v>
      </c>
      <c r="AE192" s="73" t="s">
        <v>5143</v>
      </c>
      <c r="AF192" s="73" t="s">
        <v>5160</v>
      </c>
      <c r="AG192" s="73" t="s">
        <v>5168</v>
      </c>
    </row>
    <row r="193" spans="1:33" hidden="1">
      <c r="A193" s="355" t="str">
        <f>IF(C193="","",VLOOKUP('OPĆI DIO'!$C$3,'OPĆI DIO'!$L$6:$U$138,10,FALSE))</f>
        <v/>
      </c>
      <c r="B193" s="355" t="str">
        <f>IF(C193="","",VLOOKUP('OPĆI DIO'!$C$3,'OPĆI DIO'!$L$6:$U$138,9,FALSE))</f>
        <v/>
      </c>
      <c r="C193" s="356"/>
      <c r="D193" s="357" t="str">
        <f t="shared" si="115"/>
        <v/>
      </c>
      <c r="E193" s="356"/>
      <c r="F193" s="357" t="str">
        <f t="shared" si="116"/>
        <v/>
      </c>
      <c r="G193" s="358"/>
      <c r="H193" s="357" t="str">
        <f t="shared" si="117"/>
        <v/>
      </c>
      <c r="I193" s="357" t="str">
        <f t="shared" si="118"/>
        <v/>
      </c>
      <c r="J193" s="359"/>
      <c r="K193" s="359"/>
      <c r="L193" s="359"/>
      <c r="M193" s="81"/>
      <c r="O193" s="73" t="str">
        <f t="shared" ref="O193:O256" si="119">LEFT(E193,3)</f>
        <v/>
      </c>
      <c r="P193" s="73" t="str">
        <f t="shared" ref="P193:P256" si="120">LEFT(E193,2)</f>
        <v/>
      </c>
      <c r="Q193" s="73" t="str">
        <f t="shared" ref="Q193:Q256" si="121">LEFT(C193,3)</f>
        <v/>
      </c>
      <c r="R193" s="73" t="str">
        <f t="shared" ref="R193:R256" si="122">MID(I193,2,2)</f>
        <v/>
      </c>
      <c r="AB193" s="73" t="s">
        <v>3481</v>
      </c>
      <c r="AC193" s="73" t="s">
        <v>3482</v>
      </c>
      <c r="AD193" s="73" t="s">
        <v>5142</v>
      </c>
      <c r="AE193" s="73" t="s">
        <v>5143</v>
      </c>
      <c r="AF193" s="73" t="s">
        <v>5160</v>
      </c>
      <c r="AG193" s="73" t="s">
        <v>5168</v>
      </c>
    </row>
    <row r="194" spans="1:33" hidden="1">
      <c r="A194" s="355" t="str">
        <f>IF(C194="","",VLOOKUP('OPĆI DIO'!$C$3,'OPĆI DIO'!$L$6:$U$138,10,FALSE))</f>
        <v/>
      </c>
      <c r="B194" s="355" t="str">
        <f>IF(C194="","",VLOOKUP('OPĆI DIO'!$C$3,'OPĆI DIO'!$L$6:$U$138,9,FALSE))</f>
        <v/>
      </c>
      <c r="C194" s="356"/>
      <c r="D194" s="357" t="str">
        <f t="shared" si="115"/>
        <v/>
      </c>
      <c r="E194" s="356"/>
      <c r="F194" s="357" t="str">
        <f t="shared" si="116"/>
        <v/>
      </c>
      <c r="G194" s="358"/>
      <c r="H194" s="357" t="str">
        <f t="shared" si="117"/>
        <v/>
      </c>
      <c r="I194" s="357" t="str">
        <f t="shared" si="118"/>
        <v/>
      </c>
      <c r="J194" s="359"/>
      <c r="K194" s="359"/>
      <c r="L194" s="359"/>
      <c r="M194" s="81"/>
      <c r="O194" s="73" t="str">
        <f t="shared" si="119"/>
        <v/>
      </c>
      <c r="P194" s="73" t="str">
        <f t="shared" si="120"/>
        <v/>
      </c>
      <c r="Q194" s="73" t="str">
        <f t="shared" si="121"/>
        <v/>
      </c>
      <c r="R194" s="73" t="str">
        <f t="shared" si="122"/>
        <v/>
      </c>
      <c r="AB194" s="73" t="s">
        <v>683</v>
      </c>
      <c r="AC194" s="73" t="s">
        <v>684</v>
      </c>
      <c r="AD194" s="73" t="s">
        <v>5136</v>
      </c>
      <c r="AE194" s="73" t="s">
        <v>5137</v>
      </c>
      <c r="AF194" s="73" t="s">
        <v>5162</v>
      </c>
      <c r="AG194" s="73" t="s">
        <v>5163</v>
      </c>
    </row>
    <row r="195" spans="1:33" hidden="1">
      <c r="A195" s="355" t="str">
        <f>IF(C195="","",VLOOKUP('OPĆI DIO'!$C$3,'OPĆI DIO'!$L$6:$U$138,10,FALSE))</f>
        <v/>
      </c>
      <c r="B195" s="355" t="str">
        <f>IF(C195="","",VLOOKUP('OPĆI DIO'!$C$3,'OPĆI DIO'!$L$6:$U$138,9,FALSE))</f>
        <v/>
      </c>
      <c r="C195" s="356"/>
      <c r="D195" s="357" t="str">
        <f t="shared" si="115"/>
        <v/>
      </c>
      <c r="E195" s="356"/>
      <c r="F195" s="357" t="str">
        <f t="shared" si="116"/>
        <v/>
      </c>
      <c r="G195" s="358"/>
      <c r="H195" s="357" t="str">
        <f t="shared" si="117"/>
        <v/>
      </c>
      <c r="I195" s="357" t="str">
        <f t="shared" si="118"/>
        <v/>
      </c>
      <c r="J195" s="359"/>
      <c r="K195" s="359"/>
      <c r="L195" s="359"/>
      <c r="M195" s="81"/>
      <c r="O195" s="73" t="str">
        <f t="shared" si="119"/>
        <v/>
      </c>
      <c r="P195" s="73" t="str">
        <f t="shared" si="120"/>
        <v/>
      </c>
      <c r="Q195" s="73" t="str">
        <f t="shared" si="121"/>
        <v/>
      </c>
      <c r="R195" s="73" t="str">
        <f t="shared" si="122"/>
        <v/>
      </c>
      <c r="AB195" s="73" t="s">
        <v>685</v>
      </c>
      <c r="AC195" s="73" t="s">
        <v>686</v>
      </c>
      <c r="AD195" s="73" t="s">
        <v>5136</v>
      </c>
      <c r="AE195" s="73" t="s">
        <v>5137</v>
      </c>
      <c r="AF195" s="73" t="s">
        <v>5162</v>
      </c>
      <c r="AG195" s="73" t="s">
        <v>5163</v>
      </c>
    </row>
    <row r="196" spans="1:33" hidden="1">
      <c r="A196" s="355" t="str">
        <f>IF(C196="","",VLOOKUP('OPĆI DIO'!$C$3,'OPĆI DIO'!$L$6:$U$138,10,FALSE))</f>
        <v/>
      </c>
      <c r="B196" s="355" t="str">
        <f>IF(C196="","",VLOOKUP('OPĆI DIO'!$C$3,'OPĆI DIO'!$L$6:$U$138,9,FALSE))</f>
        <v/>
      </c>
      <c r="C196" s="356"/>
      <c r="D196" s="357" t="str">
        <f t="shared" si="115"/>
        <v/>
      </c>
      <c r="E196" s="356"/>
      <c r="F196" s="357" t="str">
        <f t="shared" si="116"/>
        <v/>
      </c>
      <c r="G196" s="358"/>
      <c r="H196" s="357" t="str">
        <f t="shared" si="117"/>
        <v/>
      </c>
      <c r="I196" s="357" t="str">
        <f t="shared" si="118"/>
        <v/>
      </c>
      <c r="J196" s="359"/>
      <c r="K196" s="359"/>
      <c r="L196" s="359"/>
      <c r="M196" s="81"/>
      <c r="O196" s="73" t="str">
        <f t="shared" si="119"/>
        <v/>
      </c>
      <c r="P196" s="73" t="str">
        <f t="shared" si="120"/>
        <v/>
      </c>
      <c r="Q196" s="73" t="str">
        <f t="shared" si="121"/>
        <v/>
      </c>
      <c r="R196" s="73" t="str">
        <f t="shared" si="122"/>
        <v/>
      </c>
      <c r="AB196" s="73" t="s">
        <v>933</v>
      </c>
      <c r="AC196" s="73" t="s">
        <v>934</v>
      </c>
      <c r="AD196" s="73" t="s">
        <v>5136</v>
      </c>
      <c r="AE196" s="73" t="s">
        <v>5137</v>
      </c>
      <c r="AF196" s="73" t="s">
        <v>5162</v>
      </c>
      <c r="AG196" s="73" t="s">
        <v>5163</v>
      </c>
    </row>
    <row r="197" spans="1:33" hidden="1">
      <c r="A197" s="355" t="str">
        <f>IF(C197="","",VLOOKUP('OPĆI DIO'!$C$3,'OPĆI DIO'!$L$6:$U$138,10,FALSE))</f>
        <v/>
      </c>
      <c r="B197" s="355" t="str">
        <f>IF(C197="","",VLOOKUP('OPĆI DIO'!$C$3,'OPĆI DIO'!$L$6:$U$138,9,FALSE))</f>
        <v/>
      </c>
      <c r="C197" s="356"/>
      <c r="D197" s="357" t="str">
        <f t="shared" si="115"/>
        <v/>
      </c>
      <c r="E197" s="356"/>
      <c r="F197" s="357" t="str">
        <f t="shared" si="116"/>
        <v/>
      </c>
      <c r="G197" s="358"/>
      <c r="H197" s="357" t="str">
        <f t="shared" si="117"/>
        <v/>
      </c>
      <c r="I197" s="357" t="str">
        <f t="shared" si="118"/>
        <v/>
      </c>
      <c r="J197" s="359"/>
      <c r="K197" s="359"/>
      <c r="L197" s="359"/>
      <c r="M197" s="81"/>
      <c r="O197" s="73" t="str">
        <f t="shared" si="119"/>
        <v/>
      </c>
      <c r="P197" s="73" t="str">
        <f t="shared" si="120"/>
        <v/>
      </c>
      <c r="Q197" s="73" t="str">
        <f t="shared" si="121"/>
        <v/>
      </c>
      <c r="R197" s="73" t="str">
        <f t="shared" si="122"/>
        <v/>
      </c>
      <c r="AB197" s="73" t="s">
        <v>687</v>
      </c>
      <c r="AC197" s="73" t="s">
        <v>688</v>
      </c>
      <c r="AD197" s="73" t="s">
        <v>5136</v>
      </c>
      <c r="AE197" s="73" t="s">
        <v>5137</v>
      </c>
      <c r="AF197" s="73" t="s">
        <v>5162</v>
      </c>
      <c r="AG197" s="73" t="s">
        <v>5163</v>
      </c>
    </row>
    <row r="198" spans="1:33" hidden="1">
      <c r="A198" s="355" t="str">
        <f>IF(C198="","",VLOOKUP('OPĆI DIO'!$C$3,'OPĆI DIO'!$L$6:$U$138,10,FALSE))</f>
        <v/>
      </c>
      <c r="B198" s="355" t="str">
        <f>IF(C198="","",VLOOKUP('OPĆI DIO'!$C$3,'OPĆI DIO'!$L$6:$U$138,9,FALSE))</f>
        <v/>
      </c>
      <c r="C198" s="356"/>
      <c r="D198" s="357" t="str">
        <f t="shared" si="115"/>
        <v/>
      </c>
      <c r="E198" s="356"/>
      <c r="F198" s="357" t="str">
        <f t="shared" si="116"/>
        <v/>
      </c>
      <c r="G198" s="358"/>
      <c r="H198" s="357" t="str">
        <f t="shared" si="117"/>
        <v/>
      </c>
      <c r="I198" s="357" t="str">
        <f t="shared" si="118"/>
        <v/>
      </c>
      <c r="J198" s="359"/>
      <c r="K198" s="359"/>
      <c r="L198" s="359"/>
      <c r="M198" s="81"/>
      <c r="O198" s="73" t="str">
        <f t="shared" si="119"/>
        <v/>
      </c>
      <c r="P198" s="73" t="str">
        <f t="shared" si="120"/>
        <v/>
      </c>
      <c r="Q198" s="73" t="str">
        <f t="shared" si="121"/>
        <v/>
      </c>
      <c r="R198" s="73" t="str">
        <f t="shared" si="122"/>
        <v/>
      </c>
      <c r="AB198" s="73" t="s">
        <v>935</v>
      </c>
      <c r="AC198" s="73" t="s">
        <v>929</v>
      </c>
      <c r="AD198" s="73" t="s">
        <v>5136</v>
      </c>
      <c r="AE198" s="73" t="s">
        <v>5137</v>
      </c>
      <c r="AF198" s="73" t="s">
        <v>5162</v>
      </c>
      <c r="AG198" s="73" t="s">
        <v>5163</v>
      </c>
    </row>
    <row r="199" spans="1:33" hidden="1">
      <c r="A199" s="355" t="str">
        <f>IF(C199="","",VLOOKUP('OPĆI DIO'!$C$3,'OPĆI DIO'!$L$6:$U$138,10,FALSE))</f>
        <v/>
      </c>
      <c r="B199" s="355" t="str">
        <f>IF(C199="","",VLOOKUP('OPĆI DIO'!$C$3,'OPĆI DIO'!$L$6:$U$138,9,FALSE))</f>
        <v/>
      </c>
      <c r="C199" s="356"/>
      <c r="D199" s="357" t="str">
        <f t="shared" si="115"/>
        <v/>
      </c>
      <c r="E199" s="356"/>
      <c r="F199" s="357" t="str">
        <f t="shared" si="116"/>
        <v/>
      </c>
      <c r="G199" s="358"/>
      <c r="H199" s="357" t="str">
        <f t="shared" si="117"/>
        <v/>
      </c>
      <c r="I199" s="357" t="str">
        <f t="shared" si="118"/>
        <v/>
      </c>
      <c r="J199" s="359"/>
      <c r="K199" s="359"/>
      <c r="L199" s="359"/>
      <c r="M199" s="81"/>
      <c r="O199" s="73" t="str">
        <f t="shared" si="119"/>
        <v/>
      </c>
      <c r="P199" s="73" t="str">
        <f t="shared" si="120"/>
        <v/>
      </c>
      <c r="Q199" s="73" t="str">
        <f t="shared" si="121"/>
        <v/>
      </c>
      <c r="R199" s="73" t="str">
        <f t="shared" si="122"/>
        <v/>
      </c>
      <c r="AB199" s="73" t="s">
        <v>689</v>
      </c>
      <c r="AC199" s="73" t="s">
        <v>1738</v>
      </c>
      <c r="AD199" s="73" t="s">
        <v>5136</v>
      </c>
      <c r="AE199" s="73" t="s">
        <v>5137</v>
      </c>
      <c r="AF199" s="73" t="s">
        <v>5162</v>
      </c>
      <c r="AG199" s="73" t="s">
        <v>5163</v>
      </c>
    </row>
    <row r="200" spans="1:33" hidden="1">
      <c r="A200" s="355" t="str">
        <f>IF(C200="","",VLOOKUP('OPĆI DIO'!$C$3,'OPĆI DIO'!$L$6:$U$138,10,FALSE))</f>
        <v/>
      </c>
      <c r="B200" s="355" t="str">
        <f>IF(C200="","",VLOOKUP('OPĆI DIO'!$C$3,'OPĆI DIO'!$L$6:$U$138,9,FALSE))</f>
        <v/>
      </c>
      <c r="C200" s="356"/>
      <c r="D200" s="357" t="str">
        <f t="shared" si="115"/>
        <v/>
      </c>
      <c r="E200" s="356"/>
      <c r="F200" s="357" t="str">
        <f t="shared" si="116"/>
        <v/>
      </c>
      <c r="G200" s="358"/>
      <c r="H200" s="357" t="str">
        <f t="shared" si="117"/>
        <v/>
      </c>
      <c r="I200" s="357" t="str">
        <f t="shared" si="118"/>
        <v/>
      </c>
      <c r="J200" s="359"/>
      <c r="K200" s="359"/>
      <c r="L200" s="359"/>
      <c r="M200" s="81"/>
      <c r="O200" s="73" t="str">
        <f t="shared" si="119"/>
        <v/>
      </c>
      <c r="P200" s="73" t="str">
        <f t="shared" si="120"/>
        <v/>
      </c>
      <c r="Q200" s="73" t="str">
        <f t="shared" si="121"/>
        <v/>
      </c>
      <c r="R200" s="73" t="str">
        <f t="shared" si="122"/>
        <v/>
      </c>
      <c r="AB200" s="73" t="s">
        <v>690</v>
      </c>
      <c r="AC200" s="73" t="s">
        <v>1238</v>
      </c>
      <c r="AD200" s="73" t="s">
        <v>5136</v>
      </c>
      <c r="AE200" s="73" t="s">
        <v>5137</v>
      </c>
      <c r="AF200" s="73" t="s">
        <v>5162</v>
      </c>
      <c r="AG200" s="73" t="s">
        <v>5163</v>
      </c>
    </row>
    <row r="201" spans="1:33" hidden="1">
      <c r="A201" s="355" t="str">
        <f>IF(C201="","",VLOOKUP('OPĆI DIO'!$C$3,'OPĆI DIO'!$L$6:$U$138,10,FALSE))</f>
        <v/>
      </c>
      <c r="B201" s="355" t="str">
        <f>IF(C201="","",VLOOKUP('OPĆI DIO'!$C$3,'OPĆI DIO'!$L$6:$U$138,9,FALSE))</f>
        <v/>
      </c>
      <c r="C201" s="356"/>
      <c r="D201" s="357" t="str">
        <f t="shared" si="115"/>
        <v/>
      </c>
      <c r="E201" s="356"/>
      <c r="F201" s="357" t="str">
        <f t="shared" si="116"/>
        <v/>
      </c>
      <c r="G201" s="358"/>
      <c r="H201" s="357" t="str">
        <f t="shared" si="117"/>
        <v/>
      </c>
      <c r="I201" s="357" t="str">
        <f t="shared" si="118"/>
        <v/>
      </c>
      <c r="J201" s="359"/>
      <c r="K201" s="359"/>
      <c r="L201" s="359"/>
      <c r="M201" s="81"/>
      <c r="O201" s="73" t="str">
        <f t="shared" si="119"/>
        <v/>
      </c>
      <c r="P201" s="73" t="str">
        <f t="shared" si="120"/>
        <v/>
      </c>
      <c r="Q201" s="73" t="str">
        <f t="shared" si="121"/>
        <v/>
      </c>
      <c r="R201" s="73" t="str">
        <f t="shared" si="122"/>
        <v/>
      </c>
      <c r="AB201" s="73" t="s">
        <v>691</v>
      </c>
      <c r="AC201" s="73" t="s">
        <v>692</v>
      </c>
      <c r="AD201" s="73" t="s">
        <v>5136</v>
      </c>
      <c r="AE201" s="73" t="s">
        <v>5137</v>
      </c>
      <c r="AF201" s="73" t="s">
        <v>5162</v>
      </c>
      <c r="AG201" s="73" t="s">
        <v>5163</v>
      </c>
    </row>
    <row r="202" spans="1:33" hidden="1">
      <c r="A202" s="355" t="str">
        <f>IF(C202="","",VLOOKUP('OPĆI DIO'!$C$3,'OPĆI DIO'!$L$6:$U$138,10,FALSE))</f>
        <v/>
      </c>
      <c r="B202" s="355" t="str">
        <f>IF(C202="","",VLOOKUP('OPĆI DIO'!$C$3,'OPĆI DIO'!$L$6:$U$138,9,FALSE))</f>
        <v/>
      </c>
      <c r="C202" s="356"/>
      <c r="D202" s="357" t="str">
        <f t="shared" si="115"/>
        <v/>
      </c>
      <c r="E202" s="356"/>
      <c r="F202" s="357" t="str">
        <f t="shared" si="116"/>
        <v/>
      </c>
      <c r="G202" s="358"/>
      <c r="H202" s="357" t="str">
        <f t="shared" si="117"/>
        <v/>
      </c>
      <c r="I202" s="357" t="str">
        <f t="shared" si="118"/>
        <v/>
      </c>
      <c r="J202" s="359"/>
      <c r="K202" s="359"/>
      <c r="L202" s="359"/>
      <c r="M202" s="81"/>
      <c r="O202" s="73" t="str">
        <f t="shared" si="119"/>
        <v/>
      </c>
      <c r="P202" s="73" t="str">
        <f t="shared" si="120"/>
        <v/>
      </c>
      <c r="Q202" s="73" t="str">
        <f t="shared" si="121"/>
        <v/>
      </c>
      <c r="R202" s="73" t="str">
        <f t="shared" si="122"/>
        <v/>
      </c>
      <c r="AB202" s="73" t="s">
        <v>693</v>
      </c>
      <c r="AC202" s="73" t="s">
        <v>678</v>
      </c>
      <c r="AD202" s="73" t="s">
        <v>5136</v>
      </c>
      <c r="AE202" s="73" t="s">
        <v>5137</v>
      </c>
      <c r="AF202" s="73" t="s">
        <v>5162</v>
      </c>
      <c r="AG202" s="73" t="s">
        <v>5163</v>
      </c>
    </row>
    <row r="203" spans="1:33" hidden="1">
      <c r="A203" s="355" t="str">
        <f>IF(C203="","",VLOOKUP('OPĆI DIO'!$C$3,'OPĆI DIO'!$L$6:$U$138,10,FALSE))</f>
        <v/>
      </c>
      <c r="B203" s="355" t="str">
        <f>IF(C203="","",VLOOKUP('OPĆI DIO'!$C$3,'OPĆI DIO'!$L$6:$U$138,9,FALSE))</f>
        <v/>
      </c>
      <c r="C203" s="356"/>
      <c r="D203" s="357" t="str">
        <f t="shared" si="115"/>
        <v/>
      </c>
      <c r="E203" s="356"/>
      <c r="F203" s="357" t="str">
        <f t="shared" si="116"/>
        <v/>
      </c>
      <c r="G203" s="358"/>
      <c r="H203" s="357" t="str">
        <f t="shared" si="117"/>
        <v/>
      </c>
      <c r="I203" s="357" t="str">
        <f t="shared" si="118"/>
        <v/>
      </c>
      <c r="J203" s="359"/>
      <c r="K203" s="359"/>
      <c r="L203" s="359"/>
      <c r="M203" s="81"/>
      <c r="O203" s="73" t="str">
        <f t="shared" si="119"/>
        <v/>
      </c>
      <c r="P203" s="73" t="str">
        <f t="shared" si="120"/>
        <v/>
      </c>
      <c r="Q203" s="73" t="str">
        <f t="shared" si="121"/>
        <v/>
      </c>
      <c r="R203" s="73" t="str">
        <f t="shared" si="122"/>
        <v/>
      </c>
      <c r="AB203" s="73" t="s">
        <v>1986</v>
      </c>
      <c r="AC203" s="73" t="s">
        <v>1987</v>
      </c>
      <c r="AD203" s="73" t="s">
        <v>5136</v>
      </c>
      <c r="AE203" s="73" t="s">
        <v>5137</v>
      </c>
      <c r="AF203" s="73" t="s">
        <v>5162</v>
      </c>
      <c r="AG203" s="73" t="s">
        <v>5163</v>
      </c>
    </row>
    <row r="204" spans="1:33" hidden="1">
      <c r="A204" s="355" t="str">
        <f>IF(C204="","",VLOOKUP('OPĆI DIO'!$C$3,'OPĆI DIO'!$L$6:$U$138,10,FALSE))</f>
        <v/>
      </c>
      <c r="B204" s="355" t="str">
        <f>IF(C204="","",VLOOKUP('OPĆI DIO'!$C$3,'OPĆI DIO'!$L$6:$U$138,9,FALSE))</f>
        <v/>
      </c>
      <c r="C204" s="356"/>
      <c r="D204" s="357" t="str">
        <f t="shared" si="115"/>
        <v/>
      </c>
      <c r="E204" s="356"/>
      <c r="F204" s="357" t="str">
        <f t="shared" si="116"/>
        <v/>
      </c>
      <c r="G204" s="358"/>
      <c r="H204" s="357" t="str">
        <f t="shared" si="117"/>
        <v/>
      </c>
      <c r="I204" s="357" t="str">
        <f t="shared" si="118"/>
        <v/>
      </c>
      <c r="J204" s="359"/>
      <c r="K204" s="359"/>
      <c r="L204" s="359"/>
      <c r="M204" s="81"/>
      <c r="O204" s="73" t="str">
        <f t="shared" si="119"/>
        <v/>
      </c>
      <c r="P204" s="73" t="str">
        <f t="shared" si="120"/>
        <v/>
      </c>
      <c r="Q204" s="73" t="str">
        <f t="shared" si="121"/>
        <v/>
      </c>
      <c r="R204" s="73" t="str">
        <f t="shared" si="122"/>
        <v/>
      </c>
      <c r="AB204" s="73" t="s">
        <v>1988</v>
      </c>
      <c r="AC204" s="73" t="s">
        <v>3468</v>
      </c>
      <c r="AD204" s="73" t="s">
        <v>5136</v>
      </c>
      <c r="AE204" s="73" t="s">
        <v>5137</v>
      </c>
      <c r="AF204" s="73" t="s">
        <v>5162</v>
      </c>
      <c r="AG204" s="73" t="s">
        <v>5163</v>
      </c>
    </row>
    <row r="205" spans="1:33" hidden="1">
      <c r="A205" s="355" t="str">
        <f>IF(C205="","",VLOOKUP('OPĆI DIO'!$C$3,'OPĆI DIO'!$L$6:$U$138,10,FALSE))</f>
        <v/>
      </c>
      <c r="B205" s="355" t="str">
        <f>IF(C205="","",VLOOKUP('OPĆI DIO'!$C$3,'OPĆI DIO'!$L$6:$U$138,9,FALSE))</f>
        <v/>
      </c>
      <c r="C205" s="356"/>
      <c r="D205" s="357" t="str">
        <f t="shared" si="115"/>
        <v/>
      </c>
      <c r="E205" s="356"/>
      <c r="F205" s="357" t="str">
        <f t="shared" si="116"/>
        <v/>
      </c>
      <c r="G205" s="358"/>
      <c r="H205" s="357" t="str">
        <f t="shared" si="117"/>
        <v/>
      </c>
      <c r="I205" s="357" t="str">
        <f t="shared" si="118"/>
        <v/>
      </c>
      <c r="J205" s="359"/>
      <c r="K205" s="359"/>
      <c r="L205" s="359"/>
      <c r="M205" s="81"/>
      <c r="O205" s="73" t="str">
        <f t="shared" si="119"/>
        <v/>
      </c>
      <c r="P205" s="73" t="str">
        <f t="shared" si="120"/>
        <v/>
      </c>
      <c r="Q205" s="73" t="str">
        <f t="shared" si="121"/>
        <v/>
      </c>
      <c r="R205" s="73" t="str">
        <f t="shared" si="122"/>
        <v/>
      </c>
      <c r="AB205" s="73" t="s">
        <v>3483</v>
      </c>
      <c r="AC205" s="73" t="s">
        <v>3484</v>
      </c>
      <c r="AD205" s="73" t="s">
        <v>5136</v>
      </c>
      <c r="AE205" s="73" t="s">
        <v>5137</v>
      </c>
      <c r="AF205" s="73" t="s">
        <v>5162</v>
      </c>
      <c r="AG205" s="73" t="s">
        <v>5163</v>
      </c>
    </row>
    <row r="206" spans="1:33" hidden="1">
      <c r="A206" s="355" t="str">
        <f>IF(C206="","",VLOOKUP('OPĆI DIO'!$C$3,'OPĆI DIO'!$L$6:$U$138,10,FALSE))</f>
        <v/>
      </c>
      <c r="B206" s="355" t="str">
        <f>IF(C206="","",VLOOKUP('OPĆI DIO'!$C$3,'OPĆI DIO'!$L$6:$U$138,9,FALSE))</f>
        <v/>
      </c>
      <c r="C206" s="356"/>
      <c r="D206" s="357" t="str">
        <f t="shared" si="115"/>
        <v/>
      </c>
      <c r="E206" s="356"/>
      <c r="F206" s="357" t="str">
        <f t="shared" si="116"/>
        <v/>
      </c>
      <c r="G206" s="358"/>
      <c r="H206" s="357" t="str">
        <f t="shared" si="117"/>
        <v/>
      </c>
      <c r="I206" s="357" t="str">
        <f t="shared" si="118"/>
        <v/>
      </c>
      <c r="J206" s="359"/>
      <c r="K206" s="359"/>
      <c r="L206" s="359"/>
      <c r="M206" s="81"/>
      <c r="O206" s="73" t="str">
        <f t="shared" si="119"/>
        <v/>
      </c>
      <c r="P206" s="73" t="str">
        <f t="shared" si="120"/>
        <v/>
      </c>
      <c r="Q206" s="73" t="str">
        <f t="shared" si="121"/>
        <v/>
      </c>
      <c r="R206" s="73" t="str">
        <f t="shared" si="122"/>
        <v/>
      </c>
      <c r="AB206" s="73" t="s">
        <v>962</v>
      </c>
      <c r="AC206" s="73" t="s">
        <v>963</v>
      </c>
      <c r="AD206" s="73" t="s">
        <v>5136</v>
      </c>
      <c r="AE206" s="73" t="s">
        <v>5137</v>
      </c>
      <c r="AF206" s="73" t="s">
        <v>5162</v>
      </c>
      <c r="AG206" s="73" t="s">
        <v>5163</v>
      </c>
    </row>
    <row r="207" spans="1:33" hidden="1">
      <c r="A207" s="355" t="str">
        <f>IF(C207="","",VLOOKUP('OPĆI DIO'!$C$3,'OPĆI DIO'!$L$6:$U$138,10,FALSE))</f>
        <v/>
      </c>
      <c r="B207" s="355" t="str">
        <f>IF(C207="","",VLOOKUP('OPĆI DIO'!$C$3,'OPĆI DIO'!$L$6:$U$138,9,FALSE))</f>
        <v/>
      </c>
      <c r="C207" s="356"/>
      <c r="D207" s="357" t="str">
        <f t="shared" si="115"/>
        <v/>
      </c>
      <c r="E207" s="356"/>
      <c r="F207" s="357" t="str">
        <f t="shared" si="116"/>
        <v/>
      </c>
      <c r="G207" s="358"/>
      <c r="H207" s="357" t="str">
        <f t="shared" si="117"/>
        <v/>
      </c>
      <c r="I207" s="357" t="str">
        <f t="shared" si="118"/>
        <v/>
      </c>
      <c r="J207" s="359"/>
      <c r="K207" s="359"/>
      <c r="L207" s="359"/>
      <c r="M207" s="81"/>
      <c r="O207" s="73" t="str">
        <f t="shared" si="119"/>
        <v/>
      </c>
      <c r="P207" s="73" t="str">
        <f t="shared" si="120"/>
        <v/>
      </c>
      <c r="Q207" s="73" t="str">
        <f t="shared" si="121"/>
        <v/>
      </c>
      <c r="R207" s="73" t="str">
        <f t="shared" si="122"/>
        <v/>
      </c>
      <c r="AB207" s="73" t="s">
        <v>964</v>
      </c>
      <c r="AC207" s="73" t="s">
        <v>3485</v>
      </c>
      <c r="AD207" s="73" t="s">
        <v>5136</v>
      </c>
      <c r="AE207" s="73" t="s">
        <v>5137</v>
      </c>
      <c r="AF207" s="73" t="s">
        <v>5162</v>
      </c>
      <c r="AG207" s="73" t="s">
        <v>5163</v>
      </c>
    </row>
    <row r="208" spans="1:33" hidden="1">
      <c r="A208" s="355" t="str">
        <f>IF(C208="","",VLOOKUP('OPĆI DIO'!$C$3,'OPĆI DIO'!$L$6:$U$138,10,FALSE))</f>
        <v/>
      </c>
      <c r="B208" s="355" t="str">
        <f>IF(C208="","",VLOOKUP('OPĆI DIO'!$C$3,'OPĆI DIO'!$L$6:$U$138,9,FALSE))</f>
        <v/>
      </c>
      <c r="C208" s="356"/>
      <c r="D208" s="357" t="str">
        <f t="shared" si="115"/>
        <v/>
      </c>
      <c r="E208" s="356"/>
      <c r="F208" s="357" t="str">
        <f t="shared" si="116"/>
        <v/>
      </c>
      <c r="G208" s="358"/>
      <c r="H208" s="357" t="str">
        <f t="shared" si="117"/>
        <v/>
      </c>
      <c r="I208" s="357" t="str">
        <f t="shared" si="118"/>
        <v/>
      </c>
      <c r="J208" s="359"/>
      <c r="K208" s="359"/>
      <c r="L208" s="359"/>
      <c r="M208" s="81"/>
      <c r="O208" s="73" t="str">
        <f t="shared" si="119"/>
        <v/>
      </c>
      <c r="P208" s="73" t="str">
        <f t="shared" si="120"/>
        <v/>
      </c>
      <c r="Q208" s="73" t="str">
        <f t="shared" si="121"/>
        <v/>
      </c>
      <c r="R208" s="73" t="str">
        <f t="shared" si="122"/>
        <v/>
      </c>
      <c r="AB208" s="73" t="s">
        <v>967</v>
      </c>
      <c r="AC208" s="73" t="s">
        <v>968</v>
      </c>
      <c r="AD208" s="73" t="s">
        <v>5144</v>
      </c>
      <c r="AE208" s="73" t="s">
        <v>5145</v>
      </c>
      <c r="AF208" s="73" t="s">
        <v>5161</v>
      </c>
      <c r="AG208" s="73" t="s">
        <v>5166</v>
      </c>
    </row>
    <row r="209" spans="1:33" hidden="1">
      <c r="A209" s="355" t="str">
        <f>IF(C209="","",VLOOKUP('OPĆI DIO'!$C$3,'OPĆI DIO'!$L$6:$U$138,10,FALSE))</f>
        <v/>
      </c>
      <c r="B209" s="355" t="str">
        <f>IF(C209="","",VLOOKUP('OPĆI DIO'!$C$3,'OPĆI DIO'!$L$6:$U$138,9,FALSE))</f>
        <v/>
      </c>
      <c r="C209" s="356"/>
      <c r="D209" s="357" t="str">
        <f t="shared" si="115"/>
        <v/>
      </c>
      <c r="E209" s="356"/>
      <c r="F209" s="357" t="str">
        <f t="shared" si="116"/>
        <v/>
      </c>
      <c r="G209" s="358"/>
      <c r="H209" s="357" t="str">
        <f t="shared" si="117"/>
        <v/>
      </c>
      <c r="I209" s="357" t="str">
        <f t="shared" si="118"/>
        <v/>
      </c>
      <c r="J209" s="359"/>
      <c r="K209" s="359"/>
      <c r="L209" s="359"/>
      <c r="M209" s="81"/>
      <c r="O209" s="73" t="str">
        <f t="shared" si="119"/>
        <v/>
      </c>
      <c r="P209" s="73" t="str">
        <f t="shared" si="120"/>
        <v/>
      </c>
      <c r="Q209" s="73" t="str">
        <f t="shared" si="121"/>
        <v/>
      </c>
      <c r="R209" s="73" t="str">
        <f t="shared" si="122"/>
        <v/>
      </c>
      <c r="AB209" s="73" t="s">
        <v>969</v>
      </c>
      <c r="AC209" s="73" t="s">
        <v>970</v>
      </c>
      <c r="AD209" s="73" t="s">
        <v>5144</v>
      </c>
      <c r="AE209" s="73" t="s">
        <v>5145</v>
      </c>
      <c r="AF209" s="73" t="s">
        <v>5161</v>
      </c>
      <c r="AG209" s="73" t="s">
        <v>5166</v>
      </c>
    </row>
    <row r="210" spans="1:33" hidden="1">
      <c r="A210" s="355" t="str">
        <f>IF(C210="","",VLOOKUP('OPĆI DIO'!$C$3,'OPĆI DIO'!$L$6:$U$138,10,FALSE))</f>
        <v/>
      </c>
      <c r="B210" s="355" t="str">
        <f>IF(C210="","",VLOOKUP('OPĆI DIO'!$C$3,'OPĆI DIO'!$L$6:$U$138,9,FALSE))</f>
        <v/>
      </c>
      <c r="C210" s="356"/>
      <c r="D210" s="357" t="str">
        <f t="shared" si="115"/>
        <v/>
      </c>
      <c r="E210" s="356"/>
      <c r="F210" s="357" t="str">
        <f t="shared" si="116"/>
        <v/>
      </c>
      <c r="G210" s="358"/>
      <c r="H210" s="357" t="str">
        <f t="shared" si="117"/>
        <v/>
      </c>
      <c r="I210" s="357" t="str">
        <f t="shared" si="118"/>
        <v/>
      </c>
      <c r="J210" s="359"/>
      <c r="K210" s="359"/>
      <c r="L210" s="359"/>
      <c r="M210" s="81"/>
      <c r="O210" s="73" t="str">
        <f t="shared" si="119"/>
        <v/>
      </c>
      <c r="P210" s="73" t="str">
        <f t="shared" si="120"/>
        <v/>
      </c>
      <c r="Q210" s="73" t="str">
        <f t="shared" si="121"/>
        <v/>
      </c>
      <c r="R210" s="73" t="str">
        <f t="shared" si="122"/>
        <v/>
      </c>
      <c r="AB210" s="73" t="s">
        <v>971</v>
      </c>
      <c r="AC210" s="73" t="s">
        <v>1239</v>
      </c>
      <c r="AD210" s="73" t="s">
        <v>5144</v>
      </c>
      <c r="AE210" s="73" t="s">
        <v>5145</v>
      </c>
      <c r="AF210" s="73" t="s">
        <v>5161</v>
      </c>
      <c r="AG210" s="73" t="s">
        <v>5166</v>
      </c>
    </row>
    <row r="211" spans="1:33" hidden="1">
      <c r="A211" s="355" t="str">
        <f>IF(C211="","",VLOOKUP('OPĆI DIO'!$C$3,'OPĆI DIO'!$L$6:$U$138,10,FALSE))</f>
        <v/>
      </c>
      <c r="B211" s="355" t="str">
        <f>IF(C211="","",VLOOKUP('OPĆI DIO'!$C$3,'OPĆI DIO'!$L$6:$U$138,9,FALSE))</f>
        <v/>
      </c>
      <c r="C211" s="356"/>
      <c r="D211" s="357" t="str">
        <f t="shared" si="115"/>
        <v/>
      </c>
      <c r="E211" s="356"/>
      <c r="F211" s="357" t="str">
        <f t="shared" si="116"/>
        <v/>
      </c>
      <c r="G211" s="358"/>
      <c r="H211" s="357" t="str">
        <f t="shared" si="117"/>
        <v/>
      </c>
      <c r="I211" s="357" t="str">
        <f t="shared" si="118"/>
        <v/>
      </c>
      <c r="J211" s="359"/>
      <c r="K211" s="359"/>
      <c r="L211" s="359"/>
      <c r="M211" s="81"/>
      <c r="O211" s="73" t="str">
        <f t="shared" si="119"/>
        <v/>
      </c>
      <c r="P211" s="73" t="str">
        <f t="shared" si="120"/>
        <v/>
      </c>
      <c r="Q211" s="73" t="str">
        <f t="shared" si="121"/>
        <v/>
      </c>
      <c r="R211" s="73" t="str">
        <f t="shared" si="122"/>
        <v/>
      </c>
      <c r="AB211" s="73" t="s">
        <v>972</v>
      </c>
      <c r="AC211" s="73" t="s">
        <v>973</v>
      </c>
      <c r="AD211" s="73" t="s">
        <v>5144</v>
      </c>
      <c r="AE211" s="73" t="s">
        <v>5145</v>
      </c>
      <c r="AF211" s="73" t="s">
        <v>5161</v>
      </c>
      <c r="AG211" s="73" t="s">
        <v>5166</v>
      </c>
    </row>
    <row r="212" spans="1:33" hidden="1">
      <c r="A212" s="355" t="str">
        <f>IF(C212="","",VLOOKUP('OPĆI DIO'!$C$3,'OPĆI DIO'!$L$6:$U$138,10,FALSE))</f>
        <v/>
      </c>
      <c r="B212" s="355" t="str">
        <f>IF(C212="","",VLOOKUP('OPĆI DIO'!$C$3,'OPĆI DIO'!$L$6:$U$138,9,FALSE))</f>
        <v/>
      </c>
      <c r="C212" s="356"/>
      <c r="D212" s="357" t="str">
        <f t="shared" si="115"/>
        <v/>
      </c>
      <c r="E212" s="356"/>
      <c r="F212" s="357" t="str">
        <f t="shared" si="116"/>
        <v/>
      </c>
      <c r="G212" s="358"/>
      <c r="H212" s="357" t="str">
        <f t="shared" si="117"/>
        <v/>
      </c>
      <c r="I212" s="357" t="str">
        <f t="shared" si="118"/>
        <v/>
      </c>
      <c r="J212" s="359"/>
      <c r="K212" s="359"/>
      <c r="L212" s="359"/>
      <c r="M212" s="81"/>
      <c r="O212" s="73" t="str">
        <f t="shared" si="119"/>
        <v/>
      </c>
      <c r="P212" s="73" t="str">
        <f t="shared" si="120"/>
        <v/>
      </c>
      <c r="Q212" s="73" t="str">
        <f t="shared" si="121"/>
        <v/>
      </c>
      <c r="R212" s="73" t="str">
        <f t="shared" si="122"/>
        <v/>
      </c>
      <c r="AB212" s="73" t="s">
        <v>976</v>
      </c>
      <c r="AC212" s="73" t="s">
        <v>977</v>
      </c>
      <c r="AD212" s="73" t="s">
        <v>5156</v>
      </c>
      <c r="AE212" s="73" t="s">
        <v>5157</v>
      </c>
      <c r="AF212" s="73" t="s">
        <v>5162</v>
      </c>
      <c r="AG212" s="73" t="s">
        <v>5174</v>
      </c>
    </row>
    <row r="213" spans="1:33" hidden="1">
      <c r="A213" s="355" t="str">
        <f>IF(C213="","",VLOOKUP('OPĆI DIO'!$C$3,'OPĆI DIO'!$L$6:$U$138,10,FALSE))</f>
        <v/>
      </c>
      <c r="B213" s="355" t="str">
        <f>IF(C213="","",VLOOKUP('OPĆI DIO'!$C$3,'OPĆI DIO'!$L$6:$U$138,9,FALSE))</f>
        <v/>
      </c>
      <c r="C213" s="356"/>
      <c r="D213" s="357" t="str">
        <f t="shared" si="115"/>
        <v/>
      </c>
      <c r="E213" s="356"/>
      <c r="F213" s="357" t="str">
        <f t="shared" si="116"/>
        <v/>
      </c>
      <c r="G213" s="358"/>
      <c r="H213" s="357" t="str">
        <f t="shared" si="117"/>
        <v/>
      </c>
      <c r="I213" s="357" t="str">
        <f t="shared" si="118"/>
        <v/>
      </c>
      <c r="J213" s="359"/>
      <c r="K213" s="359"/>
      <c r="L213" s="359"/>
      <c r="M213" s="81"/>
      <c r="O213" s="73" t="str">
        <f t="shared" si="119"/>
        <v/>
      </c>
      <c r="P213" s="73" t="str">
        <f t="shared" si="120"/>
        <v/>
      </c>
      <c r="Q213" s="73" t="str">
        <f t="shared" si="121"/>
        <v/>
      </c>
      <c r="R213" s="73" t="str">
        <f t="shared" si="122"/>
        <v/>
      </c>
      <c r="AB213" s="73" t="s">
        <v>978</v>
      </c>
      <c r="AC213" s="73" t="s">
        <v>979</v>
      </c>
      <c r="AD213" s="73" t="s">
        <v>5156</v>
      </c>
      <c r="AE213" s="73" t="s">
        <v>5157</v>
      </c>
      <c r="AF213" s="73" t="s">
        <v>5162</v>
      </c>
      <c r="AG213" s="73" t="s">
        <v>5174</v>
      </c>
    </row>
    <row r="214" spans="1:33" hidden="1">
      <c r="A214" s="355" t="str">
        <f>IF(C214="","",VLOOKUP('OPĆI DIO'!$C$3,'OPĆI DIO'!$L$6:$U$138,10,FALSE))</f>
        <v/>
      </c>
      <c r="B214" s="355" t="str">
        <f>IF(C214="","",VLOOKUP('OPĆI DIO'!$C$3,'OPĆI DIO'!$L$6:$U$138,9,FALSE))</f>
        <v/>
      </c>
      <c r="C214" s="356"/>
      <c r="D214" s="357" t="str">
        <f t="shared" si="115"/>
        <v/>
      </c>
      <c r="E214" s="356"/>
      <c r="F214" s="357" t="str">
        <f t="shared" si="116"/>
        <v/>
      </c>
      <c r="G214" s="358"/>
      <c r="H214" s="357" t="str">
        <f t="shared" si="117"/>
        <v/>
      </c>
      <c r="I214" s="357" t="str">
        <f t="shared" si="118"/>
        <v/>
      </c>
      <c r="J214" s="359"/>
      <c r="K214" s="359"/>
      <c r="L214" s="359"/>
      <c r="M214" s="81"/>
      <c r="O214" s="73" t="str">
        <f t="shared" si="119"/>
        <v/>
      </c>
      <c r="P214" s="73" t="str">
        <f t="shared" si="120"/>
        <v/>
      </c>
      <c r="Q214" s="73" t="str">
        <f t="shared" si="121"/>
        <v/>
      </c>
      <c r="R214" s="73" t="str">
        <f t="shared" si="122"/>
        <v/>
      </c>
      <c r="AB214" s="73" t="s">
        <v>980</v>
      </c>
      <c r="AC214" s="73" t="s">
        <v>981</v>
      </c>
      <c r="AD214" s="73" t="s">
        <v>5158</v>
      </c>
      <c r="AE214" s="73" t="s">
        <v>5159</v>
      </c>
      <c r="AF214" s="73" t="s">
        <v>5164</v>
      </c>
      <c r="AG214" s="73" t="s">
        <v>5165</v>
      </c>
    </row>
    <row r="215" spans="1:33" hidden="1">
      <c r="A215" s="355" t="str">
        <f>IF(C215="","",VLOOKUP('OPĆI DIO'!$C$3,'OPĆI DIO'!$L$6:$U$138,10,FALSE))</f>
        <v/>
      </c>
      <c r="B215" s="355" t="str">
        <f>IF(C215="","",VLOOKUP('OPĆI DIO'!$C$3,'OPĆI DIO'!$L$6:$U$138,9,FALSE))</f>
        <v/>
      </c>
      <c r="C215" s="356"/>
      <c r="D215" s="357" t="str">
        <f t="shared" si="115"/>
        <v/>
      </c>
      <c r="E215" s="356"/>
      <c r="F215" s="357" t="str">
        <f t="shared" si="116"/>
        <v/>
      </c>
      <c r="G215" s="358"/>
      <c r="H215" s="357" t="str">
        <f t="shared" si="117"/>
        <v/>
      </c>
      <c r="I215" s="357" t="str">
        <f t="shared" si="118"/>
        <v/>
      </c>
      <c r="J215" s="359"/>
      <c r="K215" s="359"/>
      <c r="L215" s="359"/>
      <c r="M215" s="81"/>
      <c r="O215" s="73" t="str">
        <f t="shared" si="119"/>
        <v/>
      </c>
      <c r="P215" s="73" t="str">
        <f t="shared" si="120"/>
        <v/>
      </c>
      <c r="Q215" s="73" t="str">
        <f t="shared" si="121"/>
        <v/>
      </c>
      <c r="R215" s="73" t="str">
        <f t="shared" si="122"/>
        <v/>
      </c>
      <c r="AB215" s="73" t="s">
        <v>982</v>
      </c>
      <c r="AC215" s="73" t="s">
        <v>983</v>
      </c>
      <c r="AD215" s="73" t="s">
        <v>5156</v>
      </c>
      <c r="AE215" s="73" t="s">
        <v>5157</v>
      </c>
      <c r="AF215" s="73" t="s">
        <v>5162</v>
      </c>
      <c r="AG215" s="73" t="s">
        <v>5174</v>
      </c>
    </row>
    <row r="216" spans="1:33" hidden="1">
      <c r="A216" s="355" t="str">
        <f>IF(C216="","",VLOOKUP('OPĆI DIO'!$C$3,'OPĆI DIO'!$L$6:$U$138,10,FALSE))</f>
        <v/>
      </c>
      <c r="B216" s="355" t="str">
        <f>IF(C216="","",VLOOKUP('OPĆI DIO'!$C$3,'OPĆI DIO'!$L$6:$U$138,9,FALSE))</f>
        <v/>
      </c>
      <c r="C216" s="356"/>
      <c r="D216" s="357" t="str">
        <f t="shared" si="115"/>
        <v/>
      </c>
      <c r="E216" s="356"/>
      <c r="F216" s="357" t="str">
        <f t="shared" si="116"/>
        <v/>
      </c>
      <c r="G216" s="358"/>
      <c r="H216" s="357" t="str">
        <f t="shared" si="117"/>
        <v/>
      </c>
      <c r="I216" s="357" t="str">
        <f t="shared" si="118"/>
        <v/>
      </c>
      <c r="J216" s="359"/>
      <c r="K216" s="359"/>
      <c r="L216" s="359"/>
      <c r="M216" s="81"/>
      <c r="O216" s="73" t="str">
        <f t="shared" si="119"/>
        <v/>
      </c>
      <c r="P216" s="73" t="str">
        <f t="shared" si="120"/>
        <v/>
      </c>
      <c r="Q216" s="73" t="str">
        <f t="shared" si="121"/>
        <v/>
      </c>
      <c r="R216" s="73" t="str">
        <f t="shared" si="122"/>
        <v/>
      </c>
      <c r="AB216" s="73" t="s">
        <v>984</v>
      </c>
      <c r="AC216" s="73" t="s">
        <v>985</v>
      </c>
      <c r="AD216" s="73" t="s">
        <v>5156</v>
      </c>
      <c r="AE216" s="73" t="s">
        <v>5157</v>
      </c>
      <c r="AF216" s="73" t="s">
        <v>5162</v>
      </c>
      <c r="AG216" s="73" t="s">
        <v>5174</v>
      </c>
    </row>
    <row r="217" spans="1:33" hidden="1">
      <c r="A217" s="355" t="str">
        <f>IF(C217="","",VLOOKUP('OPĆI DIO'!$C$3,'OPĆI DIO'!$L$6:$U$138,10,FALSE))</f>
        <v/>
      </c>
      <c r="B217" s="355" t="str">
        <f>IF(C217="","",VLOOKUP('OPĆI DIO'!$C$3,'OPĆI DIO'!$L$6:$U$138,9,FALSE))</f>
        <v/>
      </c>
      <c r="C217" s="356"/>
      <c r="D217" s="357" t="str">
        <f t="shared" si="115"/>
        <v/>
      </c>
      <c r="E217" s="356"/>
      <c r="F217" s="357" t="str">
        <f t="shared" si="116"/>
        <v/>
      </c>
      <c r="G217" s="358"/>
      <c r="H217" s="357" t="str">
        <f t="shared" si="117"/>
        <v/>
      </c>
      <c r="I217" s="357" t="str">
        <f t="shared" si="118"/>
        <v/>
      </c>
      <c r="J217" s="359"/>
      <c r="K217" s="359"/>
      <c r="L217" s="359"/>
      <c r="M217" s="81"/>
      <c r="O217" s="73" t="str">
        <f t="shared" si="119"/>
        <v/>
      </c>
      <c r="P217" s="73" t="str">
        <f t="shared" si="120"/>
        <v/>
      </c>
      <c r="Q217" s="73" t="str">
        <f t="shared" si="121"/>
        <v/>
      </c>
      <c r="R217" s="73" t="str">
        <f t="shared" si="122"/>
        <v/>
      </c>
      <c r="AB217" s="73" t="s">
        <v>986</v>
      </c>
      <c r="AC217" s="73" t="s">
        <v>987</v>
      </c>
      <c r="AD217" s="73" t="s">
        <v>5156</v>
      </c>
      <c r="AE217" s="73" t="s">
        <v>5157</v>
      </c>
      <c r="AF217" s="73" t="s">
        <v>5162</v>
      </c>
      <c r="AG217" s="73" t="s">
        <v>5174</v>
      </c>
    </row>
    <row r="218" spans="1:33" hidden="1">
      <c r="A218" s="355" t="str">
        <f>IF(C218="","",VLOOKUP('OPĆI DIO'!$C$3,'OPĆI DIO'!$L$6:$U$138,10,FALSE))</f>
        <v/>
      </c>
      <c r="B218" s="355" t="str">
        <f>IF(C218="","",VLOOKUP('OPĆI DIO'!$C$3,'OPĆI DIO'!$L$6:$U$138,9,FALSE))</f>
        <v/>
      </c>
      <c r="C218" s="356"/>
      <c r="D218" s="357" t="str">
        <f t="shared" si="115"/>
        <v/>
      </c>
      <c r="E218" s="356"/>
      <c r="F218" s="357" t="str">
        <f t="shared" si="116"/>
        <v/>
      </c>
      <c r="G218" s="358"/>
      <c r="H218" s="357" t="str">
        <f t="shared" si="117"/>
        <v/>
      </c>
      <c r="I218" s="357" t="str">
        <f t="shared" si="118"/>
        <v/>
      </c>
      <c r="J218" s="359"/>
      <c r="K218" s="359"/>
      <c r="L218" s="359"/>
      <c r="M218" s="81"/>
      <c r="O218" s="73" t="str">
        <f t="shared" si="119"/>
        <v/>
      </c>
      <c r="P218" s="73" t="str">
        <f t="shared" si="120"/>
        <v/>
      </c>
      <c r="Q218" s="73" t="str">
        <f t="shared" si="121"/>
        <v/>
      </c>
      <c r="R218" s="73" t="str">
        <f t="shared" si="122"/>
        <v/>
      </c>
      <c r="AB218" s="73" t="s">
        <v>988</v>
      </c>
      <c r="AC218" s="73" t="s">
        <v>989</v>
      </c>
      <c r="AD218" s="73" t="s">
        <v>5156</v>
      </c>
      <c r="AE218" s="73" t="s">
        <v>5157</v>
      </c>
      <c r="AF218" s="73" t="s">
        <v>5162</v>
      </c>
      <c r="AG218" s="73" t="s">
        <v>5174</v>
      </c>
    </row>
    <row r="219" spans="1:33" hidden="1">
      <c r="A219" s="355" t="str">
        <f>IF(C219="","",VLOOKUP('OPĆI DIO'!$C$3,'OPĆI DIO'!$L$6:$U$138,10,FALSE))</f>
        <v/>
      </c>
      <c r="B219" s="355" t="str">
        <f>IF(C219="","",VLOOKUP('OPĆI DIO'!$C$3,'OPĆI DIO'!$L$6:$U$138,9,FALSE))</f>
        <v/>
      </c>
      <c r="C219" s="356"/>
      <c r="D219" s="357" t="str">
        <f t="shared" si="115"/>
        <v/>
      </c>
      <c r="E219" s="356"/>
      <c r="F219" s="357" t="str">
        <f t="shared" si="116"/>
        <v/>
      </c>
      <c r="G219" s="358"/>
      <c r="H219" s="357" t="str">
        <f t="shared" si="117"/>
        <v/>
      </c>
      <c r="I219" s="357" t="str">
        <f t="shared" si="118"/>
        <v/>
      </c>
      <c r="J219" s="359"/>
      <c r="K219" s="359"/>
      <c r="L219" s="359"/>
      <c r="M219" s="81"/>
      <c r="O219" s="73" t="str">
        <f t="shared" si="119"/>
        <v/>
      </c>
      <c r="P219" s="73" t="str">
        <f t="shared" si="120"/>
        <v/>
      </c>
      <c r="Q219" s="73" t="str">
        <f t="shared" si="121"/>
        <v/>
      </c>
      <c r="R219" s="73" t="str">
        <f t="shared" si="122"/>
        <v/>
      </c>
      <c r="AB219" s="73" t="s">
        <v>988</v>
      </c>
      <c r="AC219" s="73" t="s">
        <v>989</v>
      </c>
      <c r="AD219" s="73" t="s">
        <v>5138</v>
      </c>
      <c r="AE219" s="73" t="s">
        <v>5139</v>
      </c>
      <c r="AF219" s="73" t="s">
        <v>5160</v>
      </c>
      <c r="AG219" s="73" t="s">
        <v>5170</v>
      </c>
    </row>
    <row r="220" spans="1:33" hidden="1">
      <c r="A220" s="355" t="str">
        <f>IF(C220="","",VLOOKUP('OPĆI DIO'!$C$3,'OPĆI DIO'!$L$6:$U$138,10,FALSE))</f>
        <v/>
      </c>
      <c r="B220" s="355" t="str">
        <f>IF(C220="","",VLOOKUP('OPĆI DIO'!$C$3,'OPĆI DIO'!$L$6:$U$138,9,FALSE))</f>
        <v/>
      </c>
      <c r="C220" s="356"/>
      <c r="D220" s="357" t="str">
        <f t="shared" si="115"/>
        <v/>
      </c>
      <c r="E220" s="356"/>
      <c r="F220" s="357" t="str">
        <f t="shared" si="116"/>
        <v/>
      </c>
      <c r="G220" s="358"/>
      <c r="H220" s="357" t="str">
        <f t="shared" si="117"/>
        <v/>
      </c>
      <c r="I220" s="357" t="str">
        <f t="shared" si="118"/>
        <v/>
      </c>
      <c r="J220" s="359"/>
      <c r="K220" s="359"/>
      <c r="L220" s="359"/>
      <c r="M220" s="81"/>
      <c r="O220" s="73" t="str">
        <f t="shared" si="119"/>
        <v/>
      </c>
      <c r="P220" s="73" t="str">
        <f t="shared" si="120"/>
        <v/>
      </c>
      <c r="Q220" s="73" t="str">
        <f t="shared" si="121"/>
        <v/>
      </c>
      <c r="R220" s="73" t="str">
        <f t="shared" si="122"/>
        <v/>
      </c>
      <c r="AB220" s="73" t="s">
        <v>1653</v>
      </c>
      <c r="AC220" s="73" t="s">
        <v>1654</v>
      </c>
      <c r="AD220" s="73" t="s">
        <v>5156</v>
      </c>
      <c r="AE220" s="73" t="s">
        <v>5157</v>
      </c>
      <c r="AF220" s="73" t="s">
        <v>5162</v>
      </c>
      <c r="AG220" s="73" t="s">
        <v>5174</v>
      </c>
    </row>
    <row r="221" spans="1:33" hidden="1">
      <c r="A221" s="355" t="str">
        <f>IF(C221="","",VLOOKUP('OPĆI DIO'!$C$3,'OPĆI DIO'!$L$6:$U$138,10,FALSE))</f>
        <v/>
      </c>
      <c r="B221" s="355" t="str">
        <f>IF(C221="","",VLOOKUP('OPĆI DIO'!$C$3,'OPĆI DIO'!$L$6:$U$138,9,FALSE))</f>
        <v/>
      </c>
      <c r="C221" s="356"/>
      <c r="D221" s="357" t="str">
        <f t="shared" si="115"/>
        <v/>
      </c>
      <c r="E221" s="356"/>
      <c r="F221" s="357" t="str">
        <f t="shared" si="116"/>
        <v/>
      </c>
      <c r="G221" s="358"/>
      <c r="H221" s="357" t="str">
        <f t="shared" si="117"/>
        <v/>
      </c>
      <c r="I221" s="357" t="str">
        <f t="shared" si="118"/>
        <v/>
      </c>
      <c r="J221" s="359"/>
      <c r="K221" s="359"/>
      <c r="L221" s="359"/>
      <c r="M221" s="81"/>
      <c r="O221" s="73" t="str">
        <f t="shared" si="119"/>
        <v/>
      </c>
      <c r="P221" s="73" t="str">
        <f t="shared" si="120"/>
        <v/>
      </c>
      <c r="Q221" s="73" t="str">
        <f t="shared" si="121"/>
        <v/>
      </c>
      <c r="R221" s="73" t="str">
        <f t="shared" si="122"/>
        <v/>
      </c>
      <c r="AB221" s="73" t="s">
        <v>3486</v>
      </c>
      <c r="AC221" s="73" t="s">
        <v>3487</v>
      </c>
      <c r="AD221" s="73" t="s">
        <v>5156</v>
      </c>
      <c r="AE221" s="73" t="s">
        <v>5157</v>
      </c>
      <c r="AF221" s="73" t="s">
        <v>5162</v>
      </c>
      <c r="AG221" s="73" t="s">
        <v>5174</v>
      </c>
    </row>
    <row r="222" spans="1:33" hidden="1">
      <c r="A222" s="355" t="str">
        <f>IF(C222="","",VLOOKUP('OPĆI DIO'!$C$3,'OPĆI DIO'!$L$6:$U$138,10,FALSE))</f>
        <v/>
      </c>
      <c r="B222" s="355" t="str">
        <f>IF(C222="","",VLOOKUP('OPĆI DIO'!$C$3,'OPĆI DIO'!$L$6:$U$138,9,FALSE))</f>
        <v/>
      </c>
      <c r="C222" s="356"/>
      <c r="D222" s="357" t="str">
        <f t="shared" si="115"/>
        <v/>
      </c>
      <c r="E222" s="356"/>
      <c r="F222" s="357" t="str">
        <f t="shared" si="116"/>
        <v/>
      </c>
      <c r="G222" s="358"/>
      <c r="H222" s="357" t="str">
        <f t="shared" si="117"/>
        <v/>
      </c>
      <c r="I222" s="357" t="str">
        <f t="shared" si="118"/>
        <v/>
      </c>
      <c r="J222" s="359"/>
      <c r="K222" s="359"/>
      <c r="L222" s="359"/>
      <c r="M222" s="81"/>
      <c r="O222" s="73" t="str">
        <f t="shared" si="119"/>
        <v/>
      </c>
      <c r="P222" s="73" t="str">
        <f t="shared" si="120"/>
        <v/>
      </c>
      <c r="Q222" s="73" t="str">
        <f t="shared" si="121"/>
        <v/>
      </c>
      <c r="R222" s="73" t="str">
        <f t="shared" si="122"/>
        <v/>
      </c>
      <c r="AB222" s="73" t="s">
        <v>990</v>
      </c>
      <c r="AC222" s="73" t="s">
        <v>991</v>
      </c>
      <c r="AD222" s="73" t="s">
        <v>5156</v>
      </c>
      <c r="AE222" s="73" t="s">
        <v>5157</v>
      </c>
      <c r="AF222" s="73" t="s">
        <v>5162</v>
      </c>
      <c r="AG222" s="73" t="s">
        <v>5174</v>
      </c>
    </row>
    <row r="223" spans="1:33" hidden="1">
      <c r="A223" s="355" t="str">
        <f>IF(C223="","",VLOOKUP('OPĆI DIO'!$C$3,'OPĆI DIO'!$L$6:$U$138,10,FALSE))</f>
        <v/>
      </c>
      <c r="B223" s="355" t="str">
        <f>IF(C223="","",VLOOKUP('OPĆI DIO'!$C$3,'OPĆI DIO'!$L$6:$U$138,9,FALSE))</f>
        <v/>
      </c>
      <c r="C223" s="356"/>
      <c r="D223" s="357" t="str">
        <f t="shared" si="115"/>
        <v/>
      </c>
      <c r="E223" s="356"/>
      <c r="F223" s="357" t="str">
        <f t="shared" si="116"/>
        <v/>
      </c>
      <c r="G223" s="358"/>
      <c r="H223" s="357" t="str">
        <f t="shared" si="117"/>
        <v/>
      </c>
      <c r="I223" s="357" t="str">
        <f t="shared" si="118"/>
        <v/>
      </c>
      <c r="J223" s="359"/>
      <c r="K223" s="359"/>
      <c r="L223" s="359"/>
      <c r="M223" s="81"/>
      <c r="O223" s="73" t="str">
        <f t="shared" si="119"/>
        <v/>
      </c>
      <c r="P223" s="73" t="str">
        <f t="shared" si="120"/>
        <v/>
      </c>
      <c r="Q223" s="73" t="str">
        <f t="shared" si="121"/>
        <v/>
      </c>
      <c r="R223" s="73" t="str">
        <f t="shared" si="122"/>
        <v/>
      </c>
      <c r="AB223" s="73" t="s">
        <v>992</v>
      </c>
      <c r="AC223" s="73" t="s">
        <v>993</v>
      </c>
      <c r="AD223" s="73" t="s">
        <v>5156</v>
      </c>
      <c r="AE223" s="73" t="s">
        <v>5157</v>
      </c>
      <c r="AF223" s="73" t="s">
        <v>5162</v>
      </c>
      <c r="AG223" s="73" t="s">
        <v>5174</v>
      </c>
    </row>
    <row r="224" spans="1:33" hidden="1">
      <c r="A224" s="355" t="str">
        <f>IF(C224="","",VLOOKUP('OPĆI DIO'!$C$3,'OPĆI DIO'!$L$6:$U$138,10,FALSE))</f>
        <v/>
      </c>
      <c r="B224" s="355" t="str">
        <f>IF(C224="","",VLOOKUP('OPĆI DIO'!$C$3,'OPĆI DIO'!$L$6:$U$138,9,FALSE))</f>
        <v/>
      </c>
      <c r="C224" s="356"/>
      <c r="D224" s="357" t="str">
        <f t="shared" si="115"/>
        <v/>
      </c>
      <c r="E224" s="356"/>
      <c r="F224" s="357" t="str">
        <f t="shared" si="116"/>
        <v/>
      </c>
      <c r="G224" s="358"/>
      <c r="H224" s="357" t="str">
        <f t="shared" si="117"/>
        <v/>
      </c>
      <c r="I224" s="357" t="str">
        <f t="shared" si="118"/>
        <v/>
      </c>
      <c r="J224" s="359"/>
      <c r="K224" s="359"/>
      <c r="L224" s="359"/>
      <c r="M224" s="81"/>
      <c r="O224" s="73" t="str">
        <f t="shared" si="119"/>
        <v/>
      </c>
      <c r="P224" s="73" t="str">
        <f t="shared" si="120"/>
        <v/>
      </c>
      <c r="Q224" s="73" t="str">
        <f t="shared" si="121"/>
        <v/>
      </c>
      <c r="R224" s="73" t="str">
        <f t="shared" si="122"/>
        <v/>
      </c>
      <c r="AB224" s="73" t="s">
        <v>994</v>
      </c>
      <c r="AC224" s="73" t="s">
        <v>995</v>
      </c>
      <c r="AD224" s="73" t="s">
        <v>5138</v>
      </c>
      <c r="AE224" s="73" t="s">
        <v>5139</v>
      </c>
      <c r="AF224" s="73" t="s">
        <v>5160</v>
      </c>
      <c r="AG224" s="73" t="s">
        <v>5170</v>
      </c>
    </row>
    <row r="225" spans="1:33" hidden="1">
      <c r="A225" s="355" t="str">
        <f>IF(C225="","",VLOOKUP('OPĆI DIO'!$C$3,'OPĆI DIO'!$L$6:$U$138,10,FALSE))</f>
        <v/>
      </c>
      <c r="B225" s="355" t="str">
        <f>IF(C225="","",VLOOKUP('OPĆI DIO'!$C$3,'OPĆI DIO'!$L$6:$U$138,9,FALSE))</f>
        <v/>
      </c>
      <c r="C225" s="356"/>
      <c r="D225" s="357" t="str">
        <f t="shared" si="115"/>
        <v/>
      </c>
      <c r="E225" s="356"/>
      <c r="F225" s="357" t="str">
        <f t="shared" si="116"/>
        <v/>
      </c>
      <c r="G225" s="358"/>
      <c r="H225" s="357" t="str">
        <f t="shared" si="117"/>
        <v/>
      </c>
      <c r="I225" s="357" t="str">
        <f t="shared" si="118"/>
        <v/>
      </c>
      <c r="J225" s="359"/>
      <c r="K225" s="359"/>
      <c r="L225" s="359"/>
      <c r="M225" s="81"/>
      <c r="O225" s="73" t="str">
        <f t="shared" si="119"/>
        <v/>
      </c>
      <c r="P225" s="73" t="str">
        <f t="shared" si="120"/>
        <v/>
      </c>
      <c r="Q225" s="73" t="str">
        <f t="shared" si="121"/>
        <v/>
      </c>
      <c r="R225" s="73" t="str">
        <f t="shared" si="122"/>
        <v/>
      </c>
      <c r="AB225" s="73" t="s">
        <v>996</v>
      </c>
      <c r="AC225" s="73" t="s">
        <v>997</v>
      </c>
      <c r="AD225" s="73" t="s">
        <v>5138</v>
      </c>
      <c r="AE225" s="73" t="s">
        <v>5139</v>
      </c>
      <c r="AF225" s="73" t="s">
        <v>5160</v>
      </c>
      <c r="AG225" s="73" t="s">
        <v>5170</v>
      </c>
    </row>
    <row r="226" spans="1:33" hidden="1">
      <c r="A226" s="355" t="str">
        <f>IF(C226="","",VLOOKUP('OPĆI DIO'!$C$3,'OPĆI DIO'!$L$6:$U$138,10,FALSE))</f>
        <v/>
      </c>
      <c r="B226" s="355" t="str">
        <f>IF(C226="","",VLOOKUP('OPĆI DIO'!$C$3,'OPĆI DIO'!$L$6:$U$138,9,FALSE))</f>
        <v/>
      </c>
      <c r="C226" s="356"/>
      <c r="D226" s="357" t="str">
        <f t="shared" si="115"/>
        <v/>
      </c>
      <c r="E226" s="356"/>
      <c r="F226" s="357" t="str">
        <f t="shared" si="116"/>
        <v/>
      </c>
      <c r="G226" s="358"/>
      <c r="H226" s="357" t="str">
        <f t="shared" si="117"/>
        <v/>
      </c>
      <c r="I226" s="357" t="str">
        <f t="shared" si="118"/>
        <v/>
      </c>
      <c r="J226" s="359"/>
      <c r="K226" s="359"/>
      <c r="L226" s="359"/>
      <c r="M226" s="81"/>
      <c r="O226" s="73" t="str">
        <f t="shared" si="119"/>
        <v/>
      </c>
      <c r="P226" s="73" t="str">
        <f t="shared" si="120"/>
        <v/>
      </c>
      <c r="Q226" s="73" t="str">
        <f t="shared" si="121"/>
        <v/>
      </c>
      <c r="R226" s="73" t="str">
        <f t="shared" si="122"/>
        <v/>
      </c>
      <c r="AB226" s="73" t="s">
        <v>3488</v>
      </c>
      <c r="AC226" s="73" t="s">
        <v>3489</v>
      </c>
      <c r="AD226" s="73" t="s">
        <v>5156</v>
      </c>
      <c r="AE226" s="73" t="s">
        <v>5157</v>
      </c>
      <c r="AF226" s="73" t="s">
        <v>5162</v>
      </c>
      <c r="AG226" s="73" t="s">
        <v>5174</v>
      </c>
    </row>
    <row r="227" spans="1:33" hidden="1">
      <c r="A227" s="355" t="str">
        <f>IF(C227="","",VLOOKUP('OPĆI DIO'!$C$3,'OPĆI DIO'!$L$6:$U$138,10,FALSE))</f>
        <v/>
      </c>
      <c r="B227" s="355" t="str">
        <f>IF(C227="","",VLOOKUP('OPĆI DIO'!$C$3,'OPĆI DIO'!$L$6:$U$138,9,FALSE))</f>
        <v/>
      </c>
      <c r="C227" s="356"/>
      <c r="D227" s="357" t="str">
        <f t="shared" si="115"/>
        <v/>
      </c>
      <c r="E227" s="356"/>
      <c r="F227" s="357" t="str">
        <f t="shared" si="116"/>
        <v/>
      </c>
      <c r="G227" s="358"/>
      <c r="H227" s="357" t="str">
        <f t="shared" si="117"/>
        <v/>
      </c>
      <c r="I227" s="357" t="str">
        <f t="shared" si="118"/>
        <v/>
      </c>
      <c r="J227" s="359"/>
      <c r="K227" s="359"/>
      <c r="L227" s="359"/>
      <c r="M227" s="81"/>
      <c r="O227" s="73" t="str">
        <f t="shared" si="119"/>
        <v/>
      </c>
      <c r="P227" s="73" t="str">
        <f t="shared" si="120"/>
        <v/>
      </c>
      <c r="Q227" s="73" t="str">
        <f t="shared" si="121"/>
        <v/>
      </c>
      <c r="R227" s="73" t="str">
        <f t="shared" si="122"/>
        <v/>
      </c>
      <c r="AB227" s="73" t="s">
        <v>1000</v>
      </c>
      <c r="AC227" s="73" t="s">
        <v>1001</v>
      </c>
      <c r="AD227" s="73" t="s">
        <v>5136</v>
      </c>
      <c r="AE227" s="73" t="s">
        <v>5137</v>
      </c>
      <c r="AF227" s="73" t="s">
        <v>5162</v>
      </c>
      <c r="AG227" s="73" t="s">
        <v>5163</v>
      </c>
    </row>
    <row r="228" spans="1:33" hidden="1">
      <c r="A228" s="355" t="str">
        <f>IF(C228="","",VLOOKUP('OPĆI DIO'!$C$3,'OPĆI DIO'!$L$6:$U$138,10,FALSE))</f>
        <v/>
      </c>
      <c r="B228" s="355" t="str">
        <f>IF(C228="","",VLOOKUP('OPĆI DIO'!$C$3,'OPĆI DIO'!$L$6:$U$138,9,FALSE))</f>
        <v/>
      </c>
      <c r="C228" s="356"/>
      <c r="D228" s="357" t="str">
        <f t="shared" si="115"/>
        <v/>
      </c>
      <c r="E228" s="356"/>
      <c r="F228" s="357" t="str">
        <f t="shared" si="116"/>
        <v/>
      </c>
      <c r="G228" s="358"/>
      <c r="H228" s="357" t="str">
        <f t="shared" si="117"/>
        <v/>
      </c>
      <c r="I228" s="357" t="str">
        <f t="shared" si="118"/>
        <v/>
      </c>
      <c r="J228" s="359"/>
      <c r="K228" s="359"/>
      <c r="L228" s="359"/>
      <c r="M228" s="81"/>
      <c r="O228" s="73" t="str">
        <f t="shared" si="119"/>
        <v/>
      </c>
      <c r="P228" s="73" t="str">
        <f t="shared" si="120"/>
        <v/>
      </c>
      <c r="Q228" s="73" t="str">
        <f t="shared" si="121"/>
        <v/>
      </c>
      <c r="R228" s="73" t="str">
        <f t="shared" si="122"/>
        <v/>
      </c>
      <c r="AB228" s="73" t="s">
        <v>1002</v>
      </c>
      <c r="AC228" s="73" t="s">
        <v>1241</v>
      </c>
      <c r="AD228" s="73" t="s">
        <v>5136</v>
      </c>
      <c r="AE228" s="73" t="s">
        <v>5137</v>
      </c>
      <c r="AF228" s="73" t="s">
        <v>5162</v>
      </c>
      <c r="AG228" s="73" t="s">
        <v>5163</v>
      </c>
    </row>
    <row r="229" spans="1:33" hidden="1">
      <c r="A229" s="355" t="str">
        <f>IF(C229="","",VLOOKUP('OPĆI DIO'!$C$3,'OPĆI DIO'!$L$6:$U$138,10,FALSE))</f>
        <v/>
      </c>
      <c r="B229" s="355" t="str">
        <f>IF(C229="","",VLOOKUP('OPĆI DIO'!$C$3,'OPĆI DIO'!$L$6:$U$138,9,FALSE))</f>
        <v/>
      </c>
      <c r="C229" s="356"/>
      <c r="D229" s="357" t="str">
        <f t="shared" si="115"/>
        <v/>
      </c>
      <c r="E229" s="356"/>
      <c r="F229" s="357" t="str">
        <f t="shared" si="116"/>
        <v/>
      </c>
      <c r="G229" s="358"/>
      <c r="H229" s="357" t="str">
        <f t="shared" si="117"/>
        <v/>
      </c>
      <c r="I229" s="357" t="str">
        <f t="shared" si="118"/>
        <v/>
      </c>
      <c r="J229" s="359"/>
      <c r="K229" s="359"/>
      <c r="L229" s="359"/>
      <c r="M229" s="81"/>
      <c r="O229" s="73" t="str">
        <f t="shared" si="119"/>
        <v/>
      </c>
      <c r="P229" s="73" t="str">
        <f t="shared" si="120"/>
        <v/>
      </c>
      <c r="Q229" s="73" t="str">
        <f t="shared" si="121"/>
        <v/>
      </c>
      <c r="R229" s="73" t="str">
        <f t="shared" si="122"/>
        <v/>
      </c>
      <c r="AB229" s="73" t="s">
        <v>1005</v>
      </c>
      <c r="AC229" s="73" t="s">
        <v>1006</v>
      </c>
      <c r="AD229" s="73" t="s">
        <v>5156</v>
      </c>
      <c r="AE229" s="73" t="s">
        <v>5157</v>
      </c>
      <c r="AF229" s="73" t="s">
        <v>5162</v>
      </c>
      <c r="AG229" s="73" t="s">
        <v>5174</v>
      </c>
    </row>
    <row r="230" spans="1:33" hidden="1">
      <c r="A230" s="355" t="str">
        <f>IF(C230="","",VLOOKUP('OPĆI DIO'!$C$3,'OPĆI DIO'!$L$6:$U$138,10,FALSE))</f>
        <v/>
      </c>
      <c r="B230" s="355" t="str">
        <f>IF(C230="","",VLOOKUP('OPĆI DIO'!$C$3,'OPĆI DIO'!$L$6:$U$138,9,FALSE))</f>
        <v/>
      </c>
      <c r="C230" s="356"/>
      <c r="D230" s="357" t="str">
        <f t="shared" si="115"/>
        <v/>
      </c>
      <c r="E230" s="356"/>
      <c r="F230" s="357" t="str">
        <f t="shared" si="116"/>
        <v/>
      </c>
      <c r="G230" s="358"/>
      <c r="H230" s="357" t="str">
        <f t="shared" si="117"/>
        <v/>
      </c>
      <c r="I230" s="357" t="str">
        <f t="shared" si="118"/>
        <v/>
      </c>
      <c r="J230" s="359"/>
      <c r="K230" s="359"/>
      <c r="L230" s="359"/>
      <c r="M230" s="81"/>
      <c r="O230" s="73" t="str">
        <f t="shared" si="119"/>
        <v/>
      </c>
      <c r="P230" s="73" t="str">
        <f t="shared" si="120"/>
        <v/>
      </c>
      <c r="Q230" s="73" t="str">
        <f t="shared" si="121"/>
        <v/>
      </c>
      <c r="R230" s="73" t="str">
        <f t="shared" si="122"/>
        <v/>
      </c>
      <c r="AB230" s="73" t="s">
        <v>1007</v>
      </c>
      <c r="AC230" s="73" t="s">
        <v>1240</v>
      </c>
      <c r="AD230" s="73" t="s">
        <v>5156</v>
      </c>
      <c r="AE230" s="73" t="s">
        <v>5157</v>
      </c>
      <c r="AF230" s="73" t="s">
        <v>5162</v>
      </c>
      <c r="AG230" s="73" t="s">
        <v>5174</v>
      </c>
    </row>
    <row r="231" spans="1:33" hidden="1">
      <c r="A231" s="355" t="str">
        <f>IF(C231="","",VLOOKUP('OPĆI DIO'!$C$3,'OPĆI DIO'!$L$6:$U$138,10,FALSE))</f>
        <v/>
      </c>
      <c r="B231" s="355" t="str">
        <f>IF(C231="","",VLOOKUP('OPĆI DIO'!$C$3,'OPĆI DIO'!$L$6:$U$138,9,FALSE))</f>
        <v/>
      </c>
      <c r="C231" s="356"/>
      <c r="D231" s="357" t="str">
        <f t="shared" si="115"/>
        <v/>
      </c>
      <c r="E231" s="356"/>
      <c r="F231" s="357" t="str">
        <f t="shared" si="116"/>
        <v/>
      </c>
      <c r="G231" s="358"/>
      <c r="H231" s="357" t="str">
        <f t="shared" si="117"/>
        <v/>
      </c>
      <c r="I231" s="357" t="str">
        <f t="shared" si="118"/>
        <v/>
      </c>
      <c r="J231" s="359"/>
      <c r="K231" s="359"/>
      <c r="L231" s="359"/>
      <c r="M231" s="81"/>
      <c r="O231" s="73" t="str">
        <f t="shared" si="119"/>
        <v/>
      </c>
      <c r="P231" s="73" t="str">
        <f t="shared" si="120"/>
        <v/>
      </c>
      <c r="Q231" s="73" t="str">
        <f t="shared" si="121"/>
        <v/>
      </c>
      <c r="R231" s="73" t="str">
        <f t="shared" si="122"/>
        <v/>
      </c>
      <c r="AB231" s="73" t="s">
        <v>1008</v>
      </c>
      <c r="AC231" s="73" t="s">
        <v>1009</v>
      </c>
      <c r="AD231" s="73" t="s">
        <v>5156</v>
      </c>
      <c r="AE231" s="73" t="s">
        <v>5157</v>
      </c>
      <c r="AF231" s="73" t="s">
        <v>5162</v>
      </c>
      <c r="AG231" s="73" t="s">
        <v>5174</v>
      </c>
    </row>
    <row r="232" spans="1:33" hidden="1">
      <c r="A232" s="355" t="str">
        <f>IF(C232="","",VLOOKUP('OPĆI DIO'!$C$3,'OPĆI DIO'!$L$6:$U$138,10,FALSE))</f>
        <v/>
      </c>
      <c r="B232" s="355" t="str">
        <f>IF(C232="","",VLOOKUP('OPĆI DIO'!$C$3,'OPĆI DIO'!$L$6:$U$138,9,FALSE))</f>
        <v/>
      </c>
      <c r="C232" s="356"/>
      <c r="D232" s="357" t="str">
        <f t="shared" si="115"/>
        <v/>
      </c>
      <c r="E232" s="356"/>
      <c r="F232" s="357" t="str">
        <f t="shared" si="116"/>
        <v/>
      </c>
      <c r="G232" s="358"/>
      <c r="H232" s="357" t="str">
        <f t="shared" si="117"/>
        <v/>
      </c>
      <c r="I232" s="357" t="str">
        <f t="shared" si="118"/>
        <v/>
      </c>
      <c r="J232" s="359"/>
      <c r="K232" s="359"/>
      <c r="L232" s="359"/>
      <c r="M232" s="81"/>
      <c r="O232" s="73" t="str">
        <f t="shared" si="119"/>
        <v/>
      </c>
      <c r="P232" s="73" t="str">
        <f t="shared" si="120"/>
        <v/>
      </c>
      <c r="Q232" s="73" t="str">
        <f t="shared" si="121"/>
        <v/>
      </c>
      <c r="R232" s="73" t="str">
        <f t="shared" si="122"/>
        <v/>
      </c>
      <c r="AB232" s="73" t="s">
        <v>1010</v>
      </c>
      <c r="AC232" s="73" t="s">
        <v>1242</v>
      </c>
      <c r="AD232" s="73" t="s">
        <v>5156</v>
      </c>
      <c r="AE232" s="73" t="s">
        <v>5157</v>
      </c>
      <c r="AF232" s="73" t="s">
        <v>5162</v>
      </c>
      <c r="AG232" s="73" t="s">
        <v>5174</v>
      </c>
    </row>
    <row r="233" spans="1:33" hidden="1">
      <c r="A233" s="355" t="str">
        <f>IF(C233="","",VLOOKUP('OPĆI DIO'!$C$3,'OPĆI DIO'!$L$6:$U$138,10,FALSE))</f>
        <v/>
      </c>
      <c r="B233" s="355" t="str">
        <f>IF(C233="","",VLOOKUP('OPĆI DIO'!$C$3,'OPĆI DIO'!$L$6:$U$138,9,FALSE))</f>
        <v/>
      </c>
      <c r="C233" s="356"/>
      <c r="D233" s="357" t="str">
        <f t="shared" si="115"/>
        <v/>
      </c>
      <c r="E233" s="356"/>
      <c r="F233" s="357" t="str">
        <f t="shared" si="116"/>
        <v/>
      </c>
      <c r="G233" s="358"/>
      <c r="H233" s="357" t="str">
        <f t="shared" si="117"/>
        <v/>
      </c>
      <c r="I233" s="357" t="str">
        <f t="shared" si="118"/>
        <v/>
      </c>
      <c r="J233" s="359"/>
      <c r="K233" s="359"/>
      <c r="L233" s="359"/>
      <c r="M233" s="81"/>
      <c r="O233" s="73" t="str">
        <f t="shared" si="119"/>
        <v/>
      </c>
      <c r="P233" s="73" t="str">
        <f t="shared" si="120"/>
        <v/>
      </c>
      <c r="Q233" s="73" t="str">
        <f t="shared" si="121"/>
        <v/>
      </c>
      <c r="R233" s="73" t="str">
        <f t="shared" si="122"/>
        <v/>
      </c>
      <c r="AB233" s="73" t="s">
        <v>1011</v>
      </c>
      <c r="AC233" s="73" t="s">
        <v>1012</v>
      </c>
      <c r="AD233" s="73" t="s">
        <v>5156</v>
      </c>
      <c r="AE233" s="73" t="s">
        <v>5157</v>
      </c>
      <c r="AF233" s="73" t="s">
        <v>5162</v>
      </c>
      <c r="AG233" s="73" t="s">
        <v>5174</v>
      </c>
    </row>
    <row r="234" spans="1:33" hidden="1">
      <c r="A234" s="355" t="str">
        <f>IF(C234="","",VLOOKUP('OPĆI DIO'!$C$3,'OPĆI DIO'!$L$6:$U$138,10,FALSE))</f>
        <v/>
      </c>
      <c r="B234" s="355" t="str">
        <f>IF(C234="","",VLOOKUP('OPĆI DIO'!$C$3,'OPĆI DIO'!$L$6:$U$138,9,FALSE))</f>
        <v/>
      </c>
      <c r="C234" s="356"/>
      <c r="D234" s="357" t="str">
        <f t="shared" si="115"/>
        <v/>
      </c>
      <c r="E234" s="356"/>
      <c r="F234" s="357" t="str">
        <f t="shared" si="116"/>
        <v/>
      </c>
      <c r="G234" s="358"/>
      <c r="H234" s="357" t="str">
        <f t="shared" si="117"/>
        <v/>
      </c>
      <c r="I234" s="357" t="str">
        <f t="shared" si="118"/>
        <v/>
      </c>
      <c r="J234" s="359"/>
      <c r="K234" s="359"/>
      <c r="L234" s="359"/>
      <c r="M234" s="81"/>
      <c r="O234" s="73" t="str">
        <f t="shared" si="119"/>
        <v/>
      </c>
      <c r="P234" s="73" t="str">
        <f t="shared" si="120"/>
        <v/>
      </c>
      <c r="Q234" s="73" t="str">
        <f t="shared" si="121"/>
        <v/>
      </c>
      <c r="R234" s="73" t="str">
        <f t="shared" si="122"/>
        <v/>
      </c>
      <c r="AB234" s="73" t="s">
        <v>3490</v>
      </c>
      <c r="AC234" s="73" t="s">
        <v>3491</v>
      </c>
      <c r="AD234" s="73" t="s">
        <v>5156</v>
      </c>
      <c r="AE234" s="73" t="s">
        <v>5157</v>
      </c>
      <c r="AF234" s="73" t="s">
        <v>5162</v>
      </c>
      <c r="AG234" s="73" t="s">
        <v>5174</v>
      </c>
    </row>
    <row r="235" spans="1:33" hidden="1">
      <c r="A235" s="355" t="str">
        <f>IF(C235="","",VLOOKUP('OPĆI DIO'!$C$3,'OPĆI DIO'!$L$6:$U$138,10,FALSE))</f>
        <v/>
      </c>
      <c r="B235" s="355" t="str">
        <f>IF(C235="","",VLOOKUP('OPĆI DIO'!$C$3,'OPĆI DIO'!$L$6:$U$138,9,FALSE))</f>
        <v/>
      </c>
      <c r="C235" s="356"/>
      <c r="D235" s="357" t="str">
        <f t="shared" si="115"/>
        <v/>
      </c>
      <c r="E235" s="356"/>
      <c r="F235" s="357" t="str">
        <f t="shared" si="116"/>
        <v/>
      </c>
      <c r="G235" s="358"/>
      <c r="H235" s="357" t="str">
        <f t="shared" si="117"/>
        <v/>
      </c>
      <c r="I235" s="357" t="str">
        <f t="shared" si="118"/>
        <v/>
      </c>
      <c r="J235" s="359"/>
      <c r="K235" s="359"/>
      <c r="L235" s="359"/>
      <c r="M235" s="81"/>
      <c r="O235" s="73" t="str">
        <f t="shared" si="119"/>
        <v/>
      </c>
      <c r="P235" s="73" t="str">
        <f t="shared" si="120"/>
        <v/>
      </c>
      <c r="Q235" s="73" t="str">
        <f t="shared" si="121"/>
        <v/>
      </c>
      <c r="R235" s="73" t="str">
        <f t="shared" si="122"/>
        <v/>
      </c>
      <c r="AB235" s="73" t="s">
        <v>1015</v>
      </c>
      <c r="AC235" s="73" t="s">
        <v>1016</v>
      </c>
      <c r="AD235" s="73" t="s">
        <v>5138</v>
      </c>
      <c r="AE235" s="73" t="s">
        <v>5139</v>
      </c>
      <c r="AF235" s="73" t="s">
        <v>5160</v>
      </c>
      <c r="AG235" s="73" t="s">
        <v>5170</v>
      </c>
    </row>
    <row r="236" spans="1:33" hidden="1">
      <c r="A236" s="355" t="str">
        <f>IF(C236="","",VLOOKUP('OPĆI DIO'!$C$3,'OPĆI DIO'!$L$6:$U$138,10,FALSE))</f>
        <v/>
      </c>
      <c r="B236" s="355" t="str">
        <f>IF(C236="","",VLOOKUP('OPĆI DIO'!$C$3,'OPĆI DIO'!$L$6:$U$138,9,FALSE))</f>
        <v/>
      </c>
      <c r="C236" s="356"/>
      <c r="D236" s="357" t="str">
        <f t="shared" si="115"/>
        <v/>
      </c>
      <c r="E236" s="356"/>
      <c r="F236" s="357" t="str">
        <f t="shared" si="116"/>
        <v/>
      </c>
      <c r="G236" s="358"/>
      <c r="H236" s="357" t="str">
        <f t="shared" si="117"/>
        <v/>
      </c>
      <c r="I236" s="357" t="str">
        <f t="shared" si="118"/>
        <v/>
      </c>
      <c r="J236" s="359"/>
      <c r="K236" s="359"/>
      <c r="L236" s="359"/>
      <c r="M236" s="81"/>
      <c r="O236" s="73" t="str">
        <f t="shared" si="119"/>
        <v/>
      </c>
      <c r="P236" s="73" t="str">
        <f t="shared" si="120"/>
        <v/>
      </c>
      <c r="Q236" s="73" t="str">
        <f t="shared" si="121"/>
        <v/>
      </c>
      <c r="R236" s="73" t="str">
        <f t="shared" si="122"/>
        <v/>
      </c>
      <c r="AB236" s="73" t="s">
        <v>1017</v>
      </c>
      <c r="AC236" s="73" t="s">
        <v>1018</v>
      </c>
      <c r="AD236" s="73" t="s">
        <v>5138</v>
      </c>
      <c r="AE236" s="73" t="s">
        <v>5139</v>
      </c>
      <c r="AF236" s="73" t="s">
        <v>5160</v>
      </c>
      <c r="AG236" s="73" t="s">
        <v>5170</v>
      </c>
    </row>
    <row r="237" spans="1:33" hidden="1">
      <c r="A237" s="355" t="str">
        <f>IF(C237="","",VLOOKUP('OPĆI DIO'!$C$3,'OPĆI DIO'!$L$6:$U$138,10,FALSE))</f>
        <v/>
      </c>
      <c r="B237" s="355" t="str">
        <f>IF(C237="","",VLOOKUP('OPĆI DIO'!$C$3,'OPĆI DIO'!$L$6:$U$138,9,FALSE))</f>
        <v/>
      </c>
      <c r="C237" s="356"/>
      <c r="D237" s="357" t="str">
        <f t="shared" si="115"/>
        <v/>
      </c>
      <c r="E237" s="356"/>
      <c r="F237" s="357" t="str">
        <f t="shared" si="116"/>
        <v/>
      </c>
      <c r="G237" s="358"/>
      <c r="H237" s="357" t="str">
        <f t="shared" si="117"/>
        <v/>
      </c>
      <c r="I237" s="357" t="str">
        <f t="shared" si="118"/>
        <v/>
      </c>
      <c r="J237" s="359"/>
      <c r="K237" s="359"/>
      <c r="L237" s="359"/>
      <c r="M237" s="81"/>
      <c r="O237" s="73" t="str">
        <f t="shared" si="119"/>
        <v/>
      </c>
      <c r="P237" s="73" t="str">
        <f t="shared" si="120"/>
        <v/>
      </c>
      <c r="Q237" s="73" t="str">
        <f t="shared" si="121"/>
        <v/>
      </c>
      <c r="R237" s="73" t="str">
        <f t="shared" si="122"/>
        <v/>
      </c>
      <c r="AB237" s="73" t="s">
        <v>1019</v>
      </c>
      <c r="AC237" s="73" t="s">
        <v>1020</v>
      </c>
      <c r="AD237" s="73" t="s">
        <v>5138</v>
      </c>
      <c r="AE237" s="73" t="s">
        <v>5139</v>
      </c>
      <c r="AF237" s="73" t="s">
        <v>5160</v>
      </c>
      <c r="AG237" s="73" t="s">
        <v>5170</v>
      </c>
    </row>
    <row r="238" spans="1:33" hidden="1">
      <c r="A238" s="355" t="str">
        <f>IF(C238="","",VLOOKUP('OPĆI DIO'!$C$3,'OPĆI DIO'!$L$6:$U$138,10,FALSE))</f>
        <v/>
      </c>
      <c r="B238" s="355" t="str">
        <f>IF(C238="","",VLOOKUP('OPĆI DIO'!$C$3,'OPĆI DIO'!$L$6:$U$138,9,FALSE))</f>
        <v/>
      </c>
      <c r="C238" s="356"/>
      <c r="D238" s="357" t="str">
        <f t="shared" si="115"/>
        <v/>
      </c>
      <c r="E238" s="356"/>
      <c r="F238" s="357" t="str">
        <f t="shared" si="116"/>
        <v/>
      </c>
      <c r="G238" s="358"/>
      <c r="H238" s="357" t="str">
        <f t="shared" si="117"/>
        <v/>
      </c>
      <c r="I238" s="357" t="str">
        <f t="shared" si="118"/>
        <v/>
      </c>
      <c r="J238" s="359"/>
      <c r="K238" s="359"/>
      <c r="L238" s="359"/>
      <c r="M238" s="81"/>
      <c r="O238" s="73" t="str">
        <f t="shared" si="119"/>
        <v/>
      </c>
      <c r="P238" s="73" t="str">
        <f t="shared" si="120"/>
        <v/>
      </c>
      <c r="Q238" s="73" t="str">
        <f t="shared" si="121"/>
        <v/>
      </c>
      <c r="R238" s="73" t="str">
        <f t="shared" si="122"/>
        <v/>
      </c>
      <c r="AB238" s="73" t="s">
        <v>1021</v>
      </c>
      <c r="AC238" s="73" t="s">
        <v>1022</v>
      </c>
      <c r="AD238" s="73" t="s">
        <v>5138</v>
      </c>
      <c r="AE238" s="73" t="s">
        <v>5139</v>
      </c>
      <c r="AF238" s="73" t="s">
        <v>5160</v>
      </c>
      <c r="AG238" s="73" t="s">
        <v>5170</v>
      </c>
    </row>
    <row r="239" spans="1:33" hidden="1">
      <c r="A239" s="355" t="str">
        <f>IF(C239="","",VLOOKUP('OPĆI DIO'!$C$3,'OPĆI DIO'!$L$6:$U$138,10,FALSE))</f>
        <v/>
      </c>
      <c r="B239" s="355" t="str">
        <f>IF(C239="","",VLOOKUP('OPĆI DIO'!$C$3,'OPĆI DIO'!$L$6:$U$138,9,FALSE))</f>
        <v/>
      </c>
      <c r="C239" s="356"/>
      <c r="D239" s="357" t="str">
        <f t="shared" si="115"/>
        <v/>
      </c>
      <c r="E239" s="356"/>
      <c r="F239" s="357" t="str">
        <f t="shared" si="116"/>
        <v/>
      </c>
      <c r="G239" s="358"/>
      <c r="H239" s="357" t="str">
        <f t="shared" si="117"/>
        <v/>
      </c>
      <c r="I239" s="357" t="str">
        <f t="shared" si="118"/>
        <v/>
      </c>
      <c r="J239" s="359"/>
      <c r="K239" s="359"/>
      <c r="L239" s="359"/>
      <c r="M239" s="81"/>
      <c r="O239" s="73" t="str">
        <f t="shared" si="119"/>
        <v/>
      </c>
      <c r="P239" s="73" t="str">
        <f t="shared" si="120"/>
        <v/>
      </c>
      <c r="Q239" s="73" t="str">
        <f t="shared" si="121"/>
        <v/>
      </c>
      <c r="R239" s="73" t="str">
        <f t="shared" si="122"/>
        <v/>
      </c>
      <c r="AB239" s="73" t="s">
        <v>1655</v>
      </c>
      <c r="AC239" s="73" t="s">
        <v>1656</v>
      </c>
      <c r="AD239" s="73" t="s">
        <v>5138</v>
      </c>
      <c r="AE239" s="73" t="s">
        <v>5139</v>
      </c>
      <c r="AF239" s="73" t="s">
        <v>5160</v>
      </c>
      <c r="AG239" s="73" t="s">
        <v>5170</v>
      </c>
    </row>
    <row r="240" spans="1:33" hidden="1">
      <c r="A240" s="355" t="str">
        <f>IF(C240="","",VLOOKUP('OPĆI DIO'!$C$3,'OPĆI DIO'!$L$6:$U$138,10,FALSE))</f>
        <v/>
      </c>
      <c r="B240" s="355" t="str">
        <f>IF(C240="","",VLOOKUP('OPĆI DIO'!$C$3,'OPĆI DIO'!$L$6:$U$138,9,FALSE))</f>
        <v/>
      </c>
      <c r="C240" s="356"/>
      <c r="D240" s="357" t="str">
        <f t="shared" si="115"/>
        <v/>
      </c>
      <c r="E240" s="356"/>
      <c r="F240" s="357" t="str">
        <f t="shared" si="116"/>
        <v/>
      </c>
      <c r="G240" s="358"/>
      <c r="H240" s="357" t="str">
        <f t="shared" si="117"/>
        <v/>
      </c>
      <c r="I240" s="357" t="str">
        <f t="shared" si="118"/>
        <v/>
      </c>
      <c r="J240" s="359"/>
      <c r="K240" s="359"/>
      <c r="L240" s="359"/>
      <c r="M240" s="81"/>
      <c r="O240" s="73" t="str">
        <f t="shared" si="119"/>
        <v/>
      </c>
      <c r="P240" s="73" t="str">
        <f t="shared" si="120"/>
        <v/>
      </c>
      <c r="Q240" s="73" t="str">
        <f t="shared" si="121"/>
        <v/>
      </c>
      <c r="R240" s="73" t="str">
        <f t="shared" si="122"/>
        <v/>
      </c>
      <c r="AB240" s="73" t="s">
        <v>1023</v>
      </c>
      <c r="AC240" s="73" t="s">
        <v>1024</v>
      </c>
      <c r="AD240" s="73" t="s">
        <v>5138</v>
      </c>
      <c r="AE240" s="73" t="s">
        <v>5139</v>
      </c>
      <c r="AF240" s="73" t="s">
        <v>5160</v>
      </c>
      <c r="AG240" s="73" t="s">
        <v>5170</v>
      </c>
    </row>
    <row r="241" spans="1:33" hidden="1">
      <c r="A241" s="355" t="str">
        <f>IF(C241="","",VLOOKUP('OPĆI DIO'!$C$3,'OPĆI DIO'!$L$6:$U$138,10,FALSE))</f>
        <v/>
      </c>
      <c r="B241" s="355" t="str">
        <f>IF(C241="","",VLOOKUP('OPĆI DIO'!$C$3,'OPĆI DIO'!$L$6:$U$138,9,FALSE))</f>
        <v/>
      </c>
      <c r="C241" s="356"/>
      <c r="D241" s="357" t="str">
        <f t="shared" si="115"/>
        <v/>
      </c>
      <c r="E241" s="356"/>
      <c r="F241" s="357" t="str">
        <f t="shared" si="116"/>
        <v/>
      </c>
      <c r="G241" s="358"/>
      <c r="H241" s="357" t="str">
        <f t="shared" si="117"/>
        <v/>
      </c>
      <c r="I241" s="357" t="str">
        <f t="shared" si="118"/>
        <v/>
      </c>
      <c r="J241" s="359"/>
      <c r="K241" s="359"/>
      <c r="L241" s="359"/>
      <c r="M241" s="81"/>
      <c r="O241" s="73" t="str">
        <f t="shared" si="119"/>
        <v/>
      </c>
      <c r="P241" s="73" t="str">
        <f t="shared" si="120"/>
        <v/>
      </c>
      <c r="Q241" s="73" t="str">
        <f t="shared" si="121"/>
        <v/>
      </c>
      <c r="R241" s="73" t="str">
        <f t="shared" si="122"/>
        <v/>
      </c>
      <c r="AB241" s="73" t="s">
        <v>1999</v>
      </c>
      <c r="AC241" s="73" t="s">
        <v>3492</v>
      </c>
      <c r="AD241" s="73" t="s">
        <v>5138</v>
      </c>
      <c r="AE241" s="73" t="s">
        <v>5139</v>
      </c>
      <c r="AF241" s="73" t="s">
        <v>5160</v>
      </c>
      <c r="AG241" s="73" t="s">
        <v>5170</v>
      </c>
    </row>
    <row r="242" spans="1:33" hidden="1">
      <c r="A242" s="355" t="str">
        <f>IF(C242="","",VLOOKUP('OPĆI DIO'!$C$3,'OPĆI DIO'!$L$6:$U$138,10,FALSE))</f>
        <v/>
      </c>
      <c r="B242" s="355" t="str">
        <f>IF(C242="","",VLOOKUP('OPĆI DIO'!$C$3,'OPĆI DIO'!$L$6:$U$138,9,FALSE))</f>
        <v/>
      </c>
      <c r="C242" s="356"/>
      <c r="D242" s="357" t="str">
        <f t="shared" si="115"/>
        <v/>
      </c>
      <c r="E242" s="356"/>
      <c r="F242" s="357" t="str">
        <f t="shared" si="116"/>
        <v/>
      </c>
      <c r="G242" s="358"/>
      <c r="H242" s="357" t="str">
        <f t="shared" si="117"/>
        <v/>
      </c>
      <c r="I242" s="357" t="str">
        <f t="shared" si="118"/>
        <v/>
      </c>
      <c r="J242" s="359"/>
      <c r="K242" s="359"/>
      <c r="L242" s="359"/>
      <c r="M242" s="81"/>
      <c r="O242" s="73" t="str">
        <f t="shared" si="119"/>
        <v/>
      </c>
      <c r="P242" s="73" t="str">
        <f t="shared" si="120"/>
        <v/>
      </c>
      <c r="Q242" s="73" t="str">
        <f t="shared" si="121"/>
        <v/>
      </c>
      <c r="R242" s="73" t="str">
        <f t="shared" si="122"/>
        <v/>
      </c>
      <c r="AB242" s="73" t="s">
        <v>1657</v>
      </c>
      <c r="AC242" s="73" t="s">
        <v>680</v>
      </c>
      <c r="AD242" s="73" t="s">
        <v>5138</v>
      </c>
      <c r="AE242" s="73" t="s">
        <v>5139</v>
      </c>
      <c r="AF242" s="73" t="s">
        <v>5160</v>
      </c>
      <c r="AG242" s="73" t="s">
        <v>5170</v>
      </c>
    </row>
    <row r="243" spans="1:33" hidden="1">
      <c r="A243" s="355" t="str">
        <f>IF(C243="","",VLOOKUP('OPĆI DIO'!$C$3,'OPĆI DIO'!$L$6:$U$138,10,FALSE))</f>
        <v/>
      </c>
      <c r="B243" s="355" t="str">
        <f>IF(C243="","",VLOOKUP('OPĆI DIO'!$C$3,'OPĆI DIO'!$L$6:$U$138,9,FALSE))</f>
        <v/>
      </c>
      <c r="C243" s="356"/>
      <c r="D243" s="357" t="str">
        <f t="shared" si="115"/>
        <v/>
      </c>
      <c r="E243" s="356"/>
      <c r="F243" s="357" t="str">
        <f t="shared" si="116"/>
        <v/>
      </c>
      <c r="G243" s="358"/>
      <c r="H243" s="357" t="str">
        <f t="shared" si="117"/>
        <v/>
      </c>
      <c r="I243" s="357" t="str">
        <f t="shared" si="118"/>
        <v/>
      </c>
      <c r="J243" s="359"/>
      <c r="K243" s="359"/>
      <c r="L243" s="359"/>
      <c r="M243" s="81"/>
      <c r="O243" s="73" t="str">
        <f t="shared" si="119"/>
        <v/>
      </c>
      <c r="P243" s="73" t="str">
        <f t="shared" si="120"/>
        <v/>
      </c>
      <c r="Q243" s="73" t="str">
        <f t="shared" si="121"/>
        <v/>
      </c>
      <c r="R243" s="73" t="str">
        <f t="shared" si="122"/>
        <v/>
      </c>
      <c r="AB243" s="73" t="s">
        <v>1027</v>
      </c>
      <c r="AC243" s="73" t="s">
        <v>1028</v>
      </c>
      <c r="AD243" s="73" t="s">
        <v>5142</v>
      </c>
      <c r="AE243" s="73" t="s">
        <v>5143</v>
      </c>
      <c r="AF243" s="73" t="s">
        <v>5160</v>
      </c>
      <c r="AG243" s="73" t="s">
        <v>5168</v>
      </c>
    </row>
    <row r="244" spans="1:33" hidden="1">
      <c r="A244" s="355" t="str">
        <f>IF(C244="","",VLOOKUP('OPĆI DIO'!$C$3,'OPĆI DIO'!$L$6:$U$138,10,FALSE))</f>
        <v/>
      </c>
      <c r="B244" s="355" t="str">
        <f>IF(C244="","",VLOOKUP('OPĆI DIO'!$C$3,'OPĆI DIO'!$L$6:$U$138,9,FALSE))</f>
        <v/>
      </c>
      <c r="C244" s="356"/>
      <c r="D244" s="357" t="str">
        <f t="shared" si="115"/>
        <v/>
      </c>
      <c r="E244" s="356"/>
      <c r="F244" s="357" t="str">
        <f t="shared" si="116"/>
        <v/>
      </c>
      <c r="G244" s="358"/>
      <c r="H244" s="357" t="str">
        <f t="shared" si="117"/>
        <v/>
      </c>
      <c r="I244" s="357" t="str">
        <f t="shared" si="118"/>
        <v/>
      </c>
      <c r="J244" s="359"/>
      <c r="K244" s="359"/>
      <c r="L244" s="359"/>
      <c r="M244" s="81"/>
      <c r="O244" s="73" t="str">
        <f t="shared" si="119"/>
        <v/>
      </c>
      <c r="P244" s="73" t="str">
        <f t="shared" si="120"/>
        <v/>
      </c>
      <c r="Q244" s="73" t="str">
        <f t="shared" si="121"/>
        <v/>
      </c>
      <c r="R244" s="73" t="str">
        <f t="shared" si="122"/>
        <v/>
      </c>
      <c r="AB244" s="73" t="s">
        <v>1029</v>
      </c>
      <c r="AC244" s="73" t="s">
        <v>1030</v>
      </c>
      <c r="AD244" s="73" t="s">
        <v>5136</v>
      </c>
      <c r="AE244" s="73" t="s">
        <v>5137</v>
      </c>
      <c r="AF244" s="73" t="s">
        <v>5162</v>
      </c>
      <c r="AG244" s="73" t="s">
        <v>5163</v>
      </c>
    </row>
    <row r="245" spans="1:33" hidden="1">
      <c r="A245" s="355" t="str">
        <f>IF(C245="","",VLOOKUP('OPĆI DIO'!$C$3,'OPĆI DIO'!$L$6:$U$138,10,FALSE))</f>
        <v/>
      </c>
      <c r="B245" s="355" t="str">
        <f>IF(C245="","",VLOOKUP('OPĆI DIO'!$C$3,'OPĆI DIO'!$L$6:$U$138,9,FALSE))</f>
        <v/>
      </c>
      <c r="C245" s="356"/>
      <c r="D245" s="357" t="str">
        <f t="shared" si="115"/>
        <v/>
      </c>
      <c r="E245" s="356"/>
      <c r="F245" s="357" t="str">
        <f t="shared" si="116"/>
        <v/>
      </c>
      <c r="G245" s="358"/>
      <c r="H245" s="357" t="str">
        <f t="shared" si="117"/>
        <v/>
      </c>
      <c r="I245" s="357" t="str">
        <f t="shared" si="118"/>
        <v/>
      </c>
      <c r="J245" s="359"/>
      <c r="K245" s="359"/>
      <c r="L245" s="359"/>
      <c r="M245" s="81"/>
      <c r="O245" s="73" t="str">
        <f t="shared" si="119"/>
        <v/>
      </c>
      <c r="P245" s="73" t="str">
        <f t="shared" si="120"/>
        <v/>
      </c>
      <c r="Q245" s="73" t="str">
        <f t="shared" si="121"/>
        <v/>
      </c>
      <c r="R245" s="73" t="str">
        <f t="shared" si="122"/>
        <v/>
      </c>
      <c r="AB245" s="73" t="s">
        <v>1029</v>
      </c>
      <c r="AC245" s="73" t="s">
        <v>1030</v>
      </c>
      <c r="AD245" s="73" t="s">
        <v>5142</v>
      </c>
      <c r="AE245" s="73" t="s">
        <v>5143</v>
      </c>
      <c r="AF245" s="73" t="s">
        <v>5160</v>
      </c>
      <c r="AG245" s="73" t="s">
        <v>5168</v>
      </c>
    </row>
    <row r="246" spans="1:33" hidden="1">
      <c r="A246" s="355" t="str">
        <f>IF(C246="","",VLOOKUP('OPĆI DIO'!$C$3,'OPĆI DIO'!$L$6:$U$138,10,FALSE))</f>
        <v/>
      </c>
      <c r="B246" s="355" t="str">
        <f>IF(C246="","",VLOOKUP('OPĆI DIO'!$C$3,'OPĆI DIO'!$L$6:$U$138,9,FALSE))</f>
        <v/>
      </c>
      <c r="C246" s="356"/>
      <c r="D246" s="357" t="str">
        <f t="shared" si="115"/>
        <v/>
      </c>
      <c r="E246" s="356"/>
      <c r="F246" s="357" t="str">
        <f t="shared" si="116"/>
        <v/>
      </c>
      <c r="G246" s="358"/>
      <c r="H246" s="357" t="str">
        <f t="shared" si="117"/>
        <v/>
      </c>
      <c r="I246" s="357" t="str">
        <f t="shared" si="118"/>
        <v/>
      </c>
      <c r="J246" s="359"/>
      <c r="K246" s="359"/>
      <c r="L246" s="359"/>
      <c r="M246" s="81"/>
      <c r="O246" s="73" t="str">
        <f t="shared" si="119"/>
        <v/>
      </c>
      <c r="P246" s="73" t="str">
        <f t="shared" si="120"/>
        <v/>
      </c>
      <c r="Q246" s="73" t="str">
        <f t="shared" si="121"/>
        <v/>
      </c>
      <c r="R246" s="73" t="str">
        <f t="shared" si="122"/>
        <v/>
      </c>
      <c r="AB246" s="73" t="s">
        <v>1031</v>
      </c>
      <c r="AC246" s="73" t="s">
        <v>1032</v>
      </c>
      <c r="AD246" s="73" t="s">
        <v>5142</v>
      </c>
      <c r="AE246" s="73" t="s">
        <v>5143</v>
      </c>
      <c r="AF246" s="73" t="s">
        <v>5160</v>
      </c>
      <c r="AG246" s="73" t="s">
        <v>5168</v>
      </c>
    </row>
    <row r="247" spans="1:33" hidden="1">
      <c r="A247" s="355" t="str">
        <f>IF(C247="","",VLOOKUP('OPĆI DIO'!$C$3,'OPĆI DIO'!$L$6:$U$138,10,FALSE))</f>
        <v/>
      </c>
      <c r="B247" s="355" t="str">
        <f>IF(C247="","",VLOOKUP('OPĆI DIO'!$C$3,'OPĆI DIO'!$L$6:$U$138,9,FALSE))</f>
        <v/>
      </c>
      <c r="C247" s="356"/>
      <c r="D247" s="357" t="str">
        <f t="shared" si="115"/>
        <v/>
      </c>
      <c r="E247" s="356"/>
      <c r="F247" s="357" t="str">
        <f t="shared" si="116"/>
        <v/>
      </c>
      <c r="G247" s="358"/>
      <c r="H247" s="357" t="str">
        <f t="shared" si="117"/>
        <v/>
      </c>
      <c r="I247" s="357" t="str">
        <f t="shared" si="118"/>
        <v/>
      </c>
      <c r="J247" s="359"/>
      <c r="K247" s="359"/>
      <c r="L247" s="359"/>
      <c r="M247" s="81"/>
      <c r="O247" s="73" t="str">
        <f t="shared" si="119"/>
        <v/>
      </c>
      <c r="P247" s="73" t="str">
        <f t="shared" si="120"/>
        <v/>
      </c>
      <c r="Q247" s="73" t="str">
        <f t="shared" si="121"/>
        <v/>
      </c>
      <c r="R247" s="73" t="str">
        <f t="shared" si="122"/>
        <v/>
      </c>
      <c r="AB247" s="73" t="s">
        <v>1033</v>
      </c>
      <c r="AC247" s="73" t="s">
        <v>1034</v>
      </c>
      <c r="AD247" s="73" t="s">
        <v>5142</v>
      </c>
      <c r="AE247" s="73" t="s">
        <v>5143</v>
      </c>
      <c r="AF247" s="73" t="s">
        <v>5160</v>
      </c>
      <c r="AG247" s="73" t="s">
        <v>5168</v>
      </c>
    </row>
    <row r="248" spans="1:33" hidden="1">
      <c r="A248" s="355" t="str">
        <f>IF(C248="","",VLOOKUP('OPĆI DIO'!$C$3,'OPĆI DIO'!$L$6:$U$138,10,FALSE))</f>
        <v/>
      </c>
      <c r="B248" s="355" t="str">
        <f>IF(C248="","",VLOOKUP('OPĆI DIO'!$C$3,'OPĆI DIO'!$L$6:$U$138,9,FALSE))</f>
        <v/>
      </c>
      <c r="C248" s="356"/>
      <c r="D248" s="357" t="str">
        <f t="shared" si="115"/>
        <v/>
      </c>
      <c r="E248" s="356"/>
      <c r="F248" s="357" t="str">
        <f t="shared" si="116"/>
        <v/>
      </c>
      <c r="G248" s="358"/>
      <c r="H248" s="357" t="str">
        <f t="shared" si="117"/>
        <v/>
      </c>
      <c r="I248" s="357" t="str">
        <f t="shared" si="118"/>
        <v/>
      </c>
      <c r="J248" s="359"/>
      <c r="K248" s="359"/>
      <c r="L248" s="359"/>
      <c r="M248" s="81"/>
      <c r="O248" s="73" t="str">
        <f t="shared" si="119"/>
        <v/>
      </c>
      <c r="P248" s="73" t="str">
        <f t="shared" si="120"/>
        <v/>
      </c>
      <c r="Q248" s="73" t="str">
        <f t="shared" si="121"/>
        <v/>
      </c>
      <c r="R248" s="73" t="str">
        <f t="shared" si="122"/>
        <v/>
      </c>
      <c r="AB248" s="73" t="s">
        <v>1035</v>
      </c>
      <c r="AC248" s="73" t="s">
        <v>1036</v>
      </c>
      <c r="AD248" s="73" t="s">
        <v>5142</v>
      </c>
      <c r="AE248" s="73" t="s">
        <v>5143</v>
      </c>
      <c r="AF248" s="73" t="s">
        <v>5160</v>
      </c>
      <c r="AG248" s="73" t="s">
        <v>5168</v>
      </c>
    </row>
    <row r="249" spans="1:33" hidden="1">
      <c r="A249" s="355" t="str">
        <f>IF(C249="","",VLOOKUP('OPĆI DIO'!$C$3,'OPĆI DIO'!$L$6:$U$138,10,FALSE))</f>
        <v/>
      </c>
      <c r="B249" s="355" t="str">
        <f>IF(C249="","",VLOOKUP('OPĆI DIO'!$C$3,'OPĆI DIO'!$L$6:$U$138,9,FALSE))</f>
        <v/>
      </c>
      <c r="C249" s="356"/>
      <c r="D249" s="357" t="str">
        <f t="shared" si="115"/>
        <v/>
      </c>
      <c r="E249" s="356"/>
      <c r="F249" s="357" t="str">
        <f t="shared" si="116"/>
        <v/>
      </c>
      <c r="G249" s="358"/>
      <c r="H249" s="357" t="str">
        <f t="shared" si="117"/>
        <v/>
      </c>
      <c r="I249" s="357" t="str">
        <f t="shared" si="118"/>
        <v/>
      </c>
      <c r="J249" s="359"/>
      <c r="K249" s="359"/>
      <c r="L249" s="359"/>
      <c r="M249" s="81"/>
      <c r="O249" s="73" t="str">
        <f t="shared" si="119"/>
        <v/>
      </c>
      <c r="P249" s="73" t="str">
        <f t="shared" si="120"/>
        <v/>
      </c>
      <c r="Q249" s="73" t="str">
        <f t="shared" si="121"/>
        <v/>
      </c>
      <c r="R249" s="73" t="str">
        <f t="shared" si="122"/>
        <v/>
      </c>
      <c r="AB249" s="73" t="s">
        <v>1037</v>
      </c>
      <c r="AC249" s="73" t="s">
        <v>1038</v>
      </c>
      <c r="AD249" s="73" t="s">
        <v>5142</v>
      </c>
      <c r="AE249" s="73" t="s">
        <v>5143</v>
      </c>
      <c r="AF249" s="73" t="s">
        <v>5160</v>
      </c>
      <c r="AG249" s="73" t="s">
        <v>5168</v>
      </c>
    </row>
    <row r="250" spans="1:33" hidden="1">
      <c r="A250" s="355" t="str">
        <f>IF(C250="","",VLOOKUP('OPĆI DIO'!$C$3,'OPĆI DIO'!$L$6:$U$138,10,FALSE))</f>
        <v/>
      </c>
      <c r="B250" s="355" t="str">
        <f>IF(C250="","",VLOOKUP('OPĆI DIO'!$C$3,'OPĆI DIO'!$L$6:$U$138,9,FALSE))</f>
        <v/>
      </c>
      <c r="C250" s="356"/>
      <c r="D250" s="357" t="str">
        <f t="shared" ref="D250:D313" si="123">IFERROR(VLOOKUP(C250,$S$6:$T$27,2,FALSE),"")</f>
        <v/>
      </c>
      <c r="E250" s="356"/>
      <c r="F250" s="357" t="str">
        <f t="shared" ref="F250:F313" si="124">IFERROR(VLOOKUP(E250,$V$5:$X$126,2,FALSE),"")</f>
        <v/>
      </c>
      <c r="G250" s="358"/>
      <c r="H250" s="357" t="str">
        <f t="shared" ref="H250:H313" si="125">IFERROR(VLOOKUP(G250,$AB$6:$AC$324,2,FALSE),"")</f>
        <v/>
      </c>
      <c r="I250" s="357" t="str">
        <f t="shared" ref="I250:I313" si="126">IFERROR(VLOOKUP(G250,$AB$6:$AF$324,3,FALSE),"")</f>
        <v/>
      </c>
      <c r="J250" s="359"/>
      <c r="K250" s="359"/>
      <c r="L250" s="359"/>
      <c r="M250" s="81"/>
      <c r="O250" s="73" t="str">
        <f t="shared" si="119"/>
        <v/>
      </c>
      <c r="P250" s="73" t="str">
        <f t="shared" si="120"/>
        <v/>
      </c>
      <c r="Q250" s="73" t="str">
        <f t="shared" si="121"/>
        <v/>
      </c>
      <c r="R250" s="73" t="str">
        <f t="shared" si="122"/>
        <v/>
      </c>
      <c r="AB250" s="73" t="s">
        <v>1039</v>
      </c>
      <c r="AC250" s="73" t="s">
        <v>1040</v>
      </c>
      <c r="AD250" s="73" t="s">
        <v>5142</v>
      </c>
      <c r="AE250" s="73" t="s">
        <v>5143</v>
      </c>
      <c r="AF250" s="73" t="s">
        <v>5160</v>
      </c>
      <c r="AG250" s="73" t="s">
        <v>5168</v>
      </c>
    </row>
    <row r="251" spans="1:33" hidden="1">
      <c r="A251" s="355" t="str">
        <f>IF(C251="","",VLOOKUP('OPĆI DIO'!$C$3,'OPĆI DIO'!$L$6:$U$138,10,FALSE))</f>
        <v/>
      </c>
      <c r="B251" s="355" t="str">
        <f>IF(C251="","",VLOOKUP('OPĆI DIO'!$C$3,'OPĆI DIO'!$L$6:$U$138,9,FALSE))</f>
        <v/>
      </c>
      <c r="C251" s="356"/>
      <c r="D251" s="357" t="str">
        <f t="shared" si="123"/>
        <v/>
      </c>
      <c r="E251" s="356"/>
      <c r="F251" s="357" t="str">
        <f t="shared" si="124"/>
        <v/>
      </c>
      <c r="G251" s="358"/>
      <c r="H251" s="357" t="str">
        <f t="shared" si="125"/>
        <v/>
      </c>
      <c r="I251" s="357" t="str">
        <f t="shared" si="126"/>
        <v/>
      </c>
      <c r="J251" s="359"/>
      <c r="K251" s="359"/>
      <c r="L251" s="359"/>
      <c r="M251" s="81"/>
      <c r="O251" s="73" t="str">
        <f t="shared" si="119"/>
        <v/>
      </c>
      <c r="P251" s="73" t="str">
        <f t="shared" si="120"/>
        <v/>
      </c>
      <c r="Q251" s="73" t="str">
        <f t="shared" si="121"/>
        <v/>
      </c>
      <c r="R251" s="73" t="str">
        <f t="shared" si="122"/>
        <v/>
      </c>
      <c r="AB251" s="73" t="s">
        <v>1041</v>
      </c>
      <c r="AC251" s="73" t="s">
        <v>1042</v>
      </c>
      <c r="AD251" s="73" t="s">
        <v>5142</v>
      </c>
      <c r="AE251" s="73" t="s">
        <v>5143</v>
      </c>
      <c r="AF251" s="73" t="s">
        <v>5160</v>
      </c>
      <c r="AG251" s="73" t="s">
        <v>5168</v>
      </c>
    </row>
    <row r="252" spans="1:33" hidden="1">
      <c r="A252" s="355" t="str">
        <f>IF(C252="","",VLOOKUP('OPĆI DIO'!$C$3,'OPĆI DIO'!$L$6:$U$138,10,FALSE))</f>
        <v/>
      </c>
      <c r="B252" s="355" t="str">
        <f>IF(C252="","",VLOOKUP('OPĆI DIO'!$C$3,'OPĆI DIO'!$L$6:$U$138,9,FALSE))</f>
        <v/>
      </c>
      <c r="C252" s="356"/>
      <c r="D252" s="357" t="str">
        <f t="shared" si="123"/>
        <v/>
      </c>
      <c r="E252" s="356"/>
      <c r="F252" s="357" t="str">
        <f t="shared" si="124"/>
        <v/>
      </c>
      <c r="G252" s="358"/>
      <c r="H252" s="357" t="str">
        <f t="shared" si="125"/>
        <v/>
      </c>
      <c r="I252" s="357" t="str">
        <f t="shared" si="126"/>
        <v/>
      </c>
      <c r="J252" s="359"/>
      <c r="K252" s="359"/>
      <c r="L252" s="359"/>
      <c r="M252" s="81"/>
      <c r="O252" s="73" t="str">
        <f t="shared" si="119"/>
        <v/>
      </c>
      <c r="P252" s="73" t="str">
        <f t="shared" si="120"/>
        <v/>
      </c>
      <c r="Q252" s="73" t="str">
        <f t="shared" si="121"/>
        <v/>
      </c>
      <c r="R252" s="73" t="str">
        <f t="shared" si="122"/>
        <v/>
      </c>
      <c r="AB252" s="73" t="s">
        <v>1043</v>
      </c>
      <c r="AC252" s="73" t="s">
        <v>1044</v>
      </c>
      <c r="AD252" s="73" t="s">
        <v>5142</v>
      </c>
      <c r="AE252" s="73" t="s">
        <v>5143</v>
      </c>
      <c r="AF252" s="73" t="s">
        <v>5160</v>
      </c>
      <c r="AG252" s="73" t="s">
        <v>5168</v>
      </c>
    </row>
    <row r="253" spans="1:33" hidden="1">
      <c r="A253" s="355" t="str">
        <f>IF(C253="","",VLOOKUP('OPĆI DIO'!$C$3,'OPĆI DIO'!$L$6:$U$138,10,FALSE))</f>
        <v/>
      </c>
      <c r="B253" s="355" t="str">
        <f>IF(C253="","",VLOOKUP('OPĆI DIO'!$C$3,'OPĆI DIO'!$L$6:$U$138,9,FALSE))</f>
        <v/>
      </c>
      <c r="C253" s="356"/>
      <c r="D253" s="357" t="str">
        <f t="shared" si="123"/>
        <v/>
      </c>
      <c r="E253" s="356"/>
      <c r="F253" s="357" t="str">
        <f t="shared" si="124"/>
        <v/>
      </c>
      <c r="G253" s="358"/>
      <c r="H253" s="357" t="str">
        <f t="shared" si="125"/>
        <v/>
      </c>
      <c r="I253" s="357" t="str">
        <f t="shared" si="126"/>
        <v/>
      </c>
      <c r="J253" s="359"/>
      <c r="K253" s="359"/>
      <c r="L253" s="359"/>
      <c r="M253" s="81"/>
      <c r="O253" s="73" t="str">
        <f t="shared" si="119"/>
        <v/>
      </c>
      <c r="P253" s="73" t="str">
        <f t="shared" si="120"/>
        <v/>
      </c>
      <c r="Q253" s="73" t="str">
        <f t="shared" si="121"/>
        <v/>
      </c>
      <c r="R253" s="73" t="str">
        <f t="shared" si="122"/>
        <v/>
      </c>
      <c r="AB253" s="73" t="s">
        <v>1045</v>
      </c>
      <c r="AC253" s="73" t="s">
        <v>1046</v>
      </c>
      <c r="AD253" s="73" t="s">
        <v>5142</v>
      </c>
      <c r="AE253" s="73" t="s">
        <v>5143</v>
      </c>
      <c r="AF253" s="73" t="s">
        <v>5160</v>
      </c>
      <c r="AG253" s="73" t="s">
        <v>5168</v>
      </c>
    </row>
    <row r="254" spans="1:33" hidden="1">
      <c r="A254" s="355" t="str">
        <f>IF(C254="","",VLOOKUP('OPĆI DIO'!$C$3,'OPĆI DIO'!$L$6:$U$138,10,FALSE))</f>
        <v/>
      </c>
      <c r="B254" s="355" t="str">
        <f>IF(C254="","",VLOOKUP('OPĆI DIO'!$C$3,'OPĆI DIO'!$L$6:$U$138,9,FALSE))</f>
        <v/>
      </c>
      <c r="C254" s="356"/>
      <c r="D254" s="357" t="str">
        <f t="shared" si="123"/>
        <v/>
      </c>
      <c r="E254" s="356"/>
      <c r="F254" s="357" t="str">
        <f t="shared" si="124"/>
        <v/>
      </c>
      <c r="G254" s="358"/>
      <c r="H254" s="357" t="str">
        <f t="shared" si="125"/>
        <v/>
      </c>
      <c r="I254" s="357" t="str">
        <f t="shared" si="126"/>
        <v/>
      </c>
      <c r="J254" s="359"/>
      <c r="K254" s="359"/>
      <c r="L254" s="359"/>
      <c r="M254" s="81"/>
      <c r="O254" s="73" t="str">
        <f t="shared" si="119"/>
        <v/>
      </c>
      <c r="P254" s="73" t="str">
        <f t="shared" si="120"/>
        <v/>
      </c>
      <c r="Q254" s="73" t="str">
        <f t="shared" si="121"/>
        <v/>
      </c>
      <c r="R254" s="73" t="str">
        <f t="shared" si="122"/>
        <v/>
      </c>
      <c r="AB254" s="73" t="s">
        <v>1047</v>
      </c>
      <c r="AC254" s="73" t="s">
        <v>1048</v>
      </c>
      <c r="AD254" s="73" t="s">
        <v>5142</v>
      </c>
      <c r="AE254" s="73" t="s">
        <v>5143</v>
      </c>
      <c r="AF254" s="73" t="s">
        <v>5160</v>
      </c>
      <c r="AG254" s="73" t="s">
        <v>5168</v>
      </c>
    </row>
    <row r="255" spans="1:33" hidden="1">
      <c r="A255" s="355" t="str">
        <f>IF(C255="","",VLOOKUP('OPĆI DIO'!$C$3,'OPĆI DIO'!$L$6:$U$138,10,FALSE))</f>
        <v/>
      </c>
      <c r="B255" s="355" t="str">
        <f>IF(C255="","",VLOOKUP('OPĆI DIO'!$C$3,'OPĆI DIO'!$L$6:$U$138,9,FALSE))</f>
        <v/>
      </c>
      <c r="C255" s="356"/>
      <c r="D255" s="357" t="str">
        <f t="shared" si="123"/>
        <v/>
      </c>
      <c r="E255" s="356"/>
      <c r="F255" s="357" t="str">
        <f t="shared" si="124"/>
        <v/>
      </c>
      <c r="G255" s="358"/>
      <c r="H255" s="357" t="str">
        <f t="shared" si="125"/>
        <v/>
      </c>
      <c r="I255" s="357" t="str">
        <f t="shared" si="126"/>
        <v/>
      </c>
      <c r="J255" s="359"/>
      <c r="K255" s="359"/>
      <c r="L255" s="359"/>
      <c r="M255" s="81"/>
      <c r="O255" s="73" t="str">
        <f t="shared" si="119"/>
        <v/>
      </c>
      <c r="P255" s="73" t="str">
        <f t="shared" si="120"/>
        <v/>
      </c>
      <c r="Q255" s="73" t="str">
        <f t="shared" si="121"/>
        <v/>
      </c>
      <c r="R255" s="73" t="str">
        <f t="shared" si="122"/>
        <v/>
      </c>
      <c r="AB255" s="73" t="s">
        <v>1049</v>
      </c>
      <c r="AC255" s="73" t="s">
        <v>1050</v>
      </c>
      <c r="AD255" s="73" t="s">
        <v>5142</v>
      </c>
      <c r="AE255" s="73" t="s">
        <v>5143</v>
      </c>
      <c r="AF255" s="73" t="s">
        <v>5160</v>
      </c>
      <c r="AG255" s="73" t="s">
        <v>5168</v>
      </c>
    </row>
    <row r="256" spans="1:33" hidden="1">
      <c r="A256" s="355" t="str">
        <f>IF(C256="","",VLOOKUP('OPĆI DIO'!$C$3,'OPĆI DIO'!$L$6:$U$138,10,FALSE))</f>
        <v/>
      </c>
      <c r="B256" s="355" t="str">
        <f>IF(C256="","",VLOOKUP('OPĆI DIO'!$C$3,'OPĆI DIO'!$L$6:$U$138,9,FALSE))</f>
        <v/>
      </c>
      <c r="C256" s="356"/>
      <c r="D256" s="357" t="str">
        <f t="shared" si="123"/>
        <v/>
      </c>
      <c r="E256" s="356"/>
      <c r="F256" s="357" t="str">
        <f t="shared" si="124"/>
        <v/>
      </c>
      <c r="G256" s="358"/>
      <c r="H256" s="357" t="str">
        <f t="shared" si="125"/>
        <v/>
      </c>
      <c r="I256" s="357" t="str">
        <f t="shared" si="126"/>
        <v/>
      </c>
      <c r="J256" s="359"/>
      <c r="K256" s="359"/>
      <c r="L256" s="359"/>
      <c r="M256" s="81"/>
      <c r="O256" s="73" t="str">
        <f t="shared" si="119"/>
        <v/>
      </c>
      <c r="P256" s="73" t="str">
        <f t="shared" si="120"/>
        <v/>
      </c>
      <c r="Q256" s="73" t="str">
        <f t="shared" si="121"/>
        <v/>
      </c>
      <c r="R256" s="73" t="str">
        <f t="shared" si="122"/>
        <v/>
      </c>
      <c r="AB256" s="73" t="s">
        <v>1051</v>
      </c>
      <c r="AC256" s="73" t="s">
        <v>1052</v>
      </c>
      <c r="AD256" s="73" t="s">
        <v>5142</v>
      </c>
      <c r="AE256" s="73" t="s">
        <v>5143</v>
      </c>
      <c r="AF256" s="73" t="s">
        <v>5160</v>
      </c>
      <c r="AG256" s="73" t="s">
        <v>5168</v>
      </c>
    </row>
    <row r="257" spans="1:33" hidden="1">
      <c r="A257" s="355" t="str">
        <f>IF(C257="","",VLOOKUP('OPĆI DIO'!$C$3,'OPĆI DIO'!$L$6:$U$138,10,FALSE))</f>
        <v/>
      </c>
      <c r="B257" s="355" t="str">
        <f>IF(C257="","",VLOOKUP('OPĆI DIO'!$C$3,'OPĆI DIO'!$L$6:$U$138,9,FALSE))</f>
        <v/>
      </c>
      <c r="C257" s="356"/>
      <c r="D257" s="357" t="str">
        <f t="shared" si="123"/>
        <v/>
      </c>
      <c r="E257" s="356"/>
      <c r="F257" s="357" t="str">
        <f t="shared" si="124"/>
        <v/>
      </c>
      <c r="G257" s="358"/>
      <c r="H257" s="357" t="str">
        <f t="shared" si="125"/>
        <v/>
      </c>
      <c r="I257" s="357" t="str">
        <f t="shared" si="126"/>
        <v/>
      </c>
      <c r="J257" s="359"/>
      <c r="K257" s="359"/>
      <c r="L257" s="359"/>
      <c r="M257" s="81"/>
      <c r="O257" s="73" t="str">
        <f t="shared" ref="O257:O320" si="127">LEFT(E257,3)</f>
        <v/>
      </c>
      <c r="P257" s="73" t="str">
        <f t="shared" ref="P257:P320" si="128">LEFT(E257,2)</f>
        <v/>
      </c>
      <c r="Q257" s="73" t="str">
        <f t="shared" ref="Q257:Q320" si="129">LEFT(C257,3)</f>
        <v/>
      </c>
      <c r="R257" s="73" t="str">
        <f t="shared" ref="R257:R320" si="130">MID(I257,2,2)</f>
        <v/>
      </c>
      <c r="AB257" s="73" t="s">
        <v>1658</v>
      </c>
      <c r="AC257" s="73" t="s">
        <v>1659</v>
      </c>
      <c r="AD257" s="73" t="s">
        <v>5142</v>
      </c>
      <c r="AE257" s="73" t="s">
        <v>5143</v>
      </c>
      <c r="AF257" s="73" t="s">
        <v>5160</v>
      </c>
      <c r="AG257" s="73" t="s">
        <v>5168</v>
      </c>
    </row>
    <row r="258" spans="1:33" hidden="1">
      <c r="A258" s="355" t="str">
        <f>IF(C258="","",VLOOKUP('OPĆI DIO'!$C$3,'OPĆI DIO'!$L$6:$U$138,10,FALSE))</f>
        <v/>
      </c>
      <c r="B258" s="355" t="str">
        <f>IF(C258="","",VLOOKUP('OPĆI DIO'!$C$3,'OPĆI DIO'!$L$6:$U$138,9,FALSE))</f>
        <v/>
      </c>
      <c r="C258" s="356"/>
      <c r="D258" s="357" t="str">
        <f t="shared" si="123"/>
        <v/>
      </c>
      <c r="E258" s="356"/>
      <c r="F258" s="357" t="str">
        <f t="shared" si="124"/>
        <v/>
      </c>
      <c r="G258" s="358"/>
      <c r="H258" s="357" t="str">
        <f t="shared" si="125"/>
        <v/>
      </c>
      <c r="I258" s="357" t="str">
        <f t="shared" si="126"/>
        <v/>
      </c>
      <c r="J258" s="359"/>
      <c r="K258" s="359"/>
      <c r="L258" s="359"/>
      <c r="M258" s="81"/>
      <c r="O258" s="73" t="str">
        <f t="shared" si="127"/>
        <v/>
      </c>
      <c r="P258" s="73" t="str">
        <f t="shared" si="128"/>
        <v/>
      </c>
      <c r="Q258" s="73" t="str">
        <f t="shared" si="129"/>
        <v/>
      </c>
      <c r="R258" s="73" t="str">
        <f t="shared" si="130"/>
        <v/>
      </c>
      <c r="AB258" s="73" t="s">
        <v>1964</v>
      </c>
      <c r="AC258" s="73" t="s">
        <v>1965</v>
      </c>
      <c r="AD258" s="73" t="s">
        <v>5142</v>
      </c>
      <c r="AE258" s="73" t="s">
        <v>5143</v>
      </c>
      <c r="AF258" s="73" t="s">
        <v>5160</v>
      </c>
      <c r="AG258" s="73" t="s">
        <v>5168</v>
      </c>
    </row>
    <row r="259" spans="1:33" hidden="1">
      <c r="A259" s="355" t="str">
        <f>IF(C259="","",VLOOKUP('OPĆI DIO'!$C$3,'OPĆI DIO'!$L$6:$U$138,10,FALSE))</f>
        <v/>
      </c>
      <c r="B259" s="355" t="str">
        <f>IF(C259="","",VLOOKUP('OPĆI DIO'!$C$3,'OPĆI DIO'!$L$6:$U$138,9,FALSE))</f>
        <v/>
      </c>
      <c r="C259" s="356"/>
      <c r="D259" s="357" t="str">
        <f t="shared" si="123"/>
        <v/>
      </c>
      <c r="E259" s="356"/>
      <c r="F259" s="357" t="str">
        <f t="shared" si="124"/>
        <v/>
      </c>
      <c r="G259" s="358"/>
      <c r="H259" s="357" t="str">
        <f t="shared" si="125"/>
        <v/>
      </c>
      <c r="I259" s="357" t="str">
        <f t="shared" si="126"/>
        <v/>
      </c>
      <c r="J259" s="359"/>
      <c r="K259" s="359"/>
      <c r="L259" s="359"/>
      <c r="M259" s="81"/>
      <c r="O259" s="73" t="str">
        <f t="shared" si="127"/>
        <v/>
      </c>
      <c r="P259" s="73" t="str">
        <f t="shared" si="128"/>
        <v/>
      </c>
      <c r="Q259" s="73" t="str">
        <f t="shared" si="129"/>
        <v/>
      </c>
      <c r="R259" s="73" t="str">
        <f t="shared" si="130"/>
        <v/>
      </c>
      <c r="AB259" s="73" t="s">
        <v>3493</v>
      </c>
      <c r="AC259" s="73" t="s">
        <v>3494</v>
      </c>
      <c r="AD259" s="73" t="s">
        <v>5142</v>
      </c>
      <c r="AE259" s="73" t="s">
        <v>5143</v>
      </c>
      <c r="AF259" s="73" t="s">
        <v>5160</v>
      </c>
      <c r="AG259" s="73" t="s">
        <v>5168</v>
      </c>
    </row>
    <row r="260" spans="1:33" hidden="1">
      <c r="A260" s="355" t="str">
        <f>IF(C260="","",VLOOKUP('OPĆI DIO'!$C$3,'OPĆI DIO'!$L$6:$U$138,10,FALSE))</f>
        <v/>
      </c>
      <c r="B260" s="355" t="str">
        <f>IF(C260="","",VLOOKUP('OPĆI DIO'!$C$3,'OPĆI DIO'!$L$6:$U$138,9,FALSE))</f>
        <v/>
      </c>
      <c r="C260" s="356"/>
      <c r="D260" s="357" t="str">
        <f t="shared" si="123"/>
        <v/>
      </c>
      <c r="E260" s="356"/>
      <c r="F260" s="357" t="str">
        <f t="shared" si="124"/>
        <v/>
      </c>
      <c r="G260" s="358"/>
      <c r="H260" s="357" t="str">
        <f t="shared" si="125"/>
        <v/>
      </c>
      <c r="I260" s="357" t="str">
        <f t="shared" si="126"/>
        <v/>
      </c>
      <c r="J260" s="359"/>
      <c r="K260" s="359"/>
      <c r="L260" s="359"/>
      <c r="M260" s="81"/>
      <c r="O260" s="73" t="str">
        <f t="shared" si="127"/>
        <v/>
      </c>
      <c r="P260" s="73" t="str">
        <f t="shared" si="128"/>
        <v/>
      </c>
      <c r="Q260" s="73" t="str">
        <f t="shared" si="129"/>
        <v/>
      </c>
      <c r="R260" s="73" t="str">
        <f t="shared" si="130"/>
        <v/>
      </c>
      <c r="AB260" s="73" t="s">
        <v>3495</v>
      </c>
      <c r="AC260" s="73" t="s">
        <v>3496</v>
      </c>
      <c r="AD260" s="73" t="s">
        <v>5142</v>
      </c>
      <c r="AE260" s="73" t="s">
        <v>5143</v>
      </c>
      <c r="AF260" s="73" t="s">
        <v>5160</v>
      </c>
      <c r="AG260" s="73" t="s">
        <v>5168</v>
      </c>
    </row>
    <row r="261" spans="1:33" hidden="1">
      <c r="A261" s="355" t="str">
        <f>IF(C261="","",VLOOKUP('OPĆI DIO'!$C$3,'OPĆI DIO'!$L$6:$U$138,10,FALSE))</f>
        <v/>
      </c>
      <c r="B261" s="355" t="str">
        <f>IF(C261="","",VLOOKUP('OPĆI DIO'!$C$3,'OPĆI DIO'!$L$6:$U$138,9,FALSE))</f>
        <v/>
      </c>
      <c r="C261" s="356"/>
      <c r="D261" s="357" t="str">
        <f t="shared" si="123"/>
        <v/>
      </c>
      <c r="E261" s="356"/>
      <c r="F261" s="357" t="str">
        <f t="shared" si="124"/>
        <v/>
      </c>
      <c r="G261" s="358"/>
      <c r="H261" s="357" t="str">
        <f t="shared" si="125"/>
        <v/>
      </c>
      <c r="I261" s="357" t="str">
        <f t="shared" si="126"/>
        <v/>
      </c>
      <c r="J261" s="359"/>
      <c r="K261" s="359"/>
      <c r="L261" s="359"/>
      <c r="M261" s="81"/>
      <c r="O261" s="73" t="str">
        <f t="shared" si="127"/>
        <v/>
      </c>
      <c r="P261" s="73" t="str">
        <f t="shared" si="128"/>
        <v/>
      </c>
      <c r="Q261" s="73" t="str">
        <f t="shared" si="129"/>
        <v/>
      </c>
      <c r="R261" s="73" t="str">
        <f t="shared" si="130"/>
        <v/>
      </c>
      <c r="AB261" s="73" t="s">
        <v>1966</v>
      </c>
      <c r="AC261" s="73" t="s">
        <v>1967</v>
      </c>
      <c r="AD261" s="73" t="s">
        <v>5142</v>
      </c>
      <c r="AE261" s="73" t="s">
        <v>5143</v>
      </c>
      <c r="AF261" s="73" t="s">
        <v>5160</v>
      </c>
      <c r="AG261" s="73" t="s">
        <v>5168</v>
      </c>
    </row>
    <row r="262" spans="1:33" hidden="1">
      <c r="A262" s="355" t="str">
        <f>IF(C262="","",VLOOKUP('OPĆI DIO'!$C$3,'OPĆI DIO'!$L$6:$U$138,10,FALSE))</f>
        <v/>
      </c>
      <c r="B262" s="355" t="str">
        <f>IF(C262="","",VLOOKUP('OPĆI DIO'!$C$3,'OPĆI DIO'!$L$6:$U$138,9,FALSE))</f>
        <v/>
      </c>
      <c r="C262" s="356"/>
      <c r="D262" s="357" t="str">
        <f t="shared" si="123"/>
        <v/>
      </c>
      <c r="E262" s="356"/>
      <c r="F262" s="357" t="str">
        <f t="shared" si="124"/>
        <v/>
      </c>
      <c r="G262" s="358"/>
      <c r="H262" s="357" t="str">
        <f t="shared" si="125"/>
        <v/>
      </c>
      <c r="I262" s="357" t="str">
        <f t="shared" si="126"/>
        <v/>
      </c>
      <c r="J262" s="359"/>
      <c r="K262" s="359"/>
      <c r="L262" s="359"/>
      <c r="M262" s="81"/>
      <c r="O262" s="73" t="str">
        <f t="shared" si="127"/>
        <v/>
      </c>
      <c r="P262" s="73" t="str">
        <f t="shared" si="128"/>
        <v/>
      </c>
      <c r="Q262" s="73" t="str">
        <f t="shared" si="129"/>
        <v/>
      </c>
      <c r="R262" s="73" t="str">
        <f t="shared" si="130"/>
        <v/>
      </c>
      <c r="AB262" s="73" t="s">
        <v>1053</v>
      </c>
      <c r="AC262" s="73" t="s">
        <v>1054</v>
      </c>
      <c r="AD262" s="73" t="s">
        <v>5142</v>
      </c>
      <c r="AE262" s="73" t="s">
        <v>5143</v>
      </c>
      <c r="AF262" s="73" t="s">
        <v>5160</v>
      </c>
      <c r="AG262" s="73" t="s">
        <v>5168</v>
      </c>
    </row>
    <row r="263" spans="1:33" hidden="1">
      <c r="A263" s="355" t="str">
        <f>IF(C263="","",VLOOKUP('OPĆI DIO'!$C$3,'OPĆI DIO'!$L$6:$U$138,10,FALSE))</f>
        <v/>
      </c>
      <c r="B263" s="355" t="str">
        <f>IF(C263="","",VLOOKUP('OPĆI DIO'!$C$3,'OPĆI DIO'!$L$6:$U$138,9,FALSE))</f>
        <v/>
      </c>
      <c r="C263" s="356"/>
      <c r="D263" s="357" t="str">
        <f t="shared" si="123"/>
        <v/>
      </c>
      <c r="E263" s="356"/>
      <c r="F263" s="357" t="str">
        <f t="shared" si="124"/>
        <v/>
      </c>
      <c r="G263" s="358"/>
      <c r="H263" s="357" t="str">
        <f t="shared" si="125"/>
        <v/>
      </c>
      <c r="I263" s="357" t="str">
        <f t="shared" si="126"/>
        <v/>
      </c>
      <c r="J263" s="359"/>
      <c r="K263" s="359"/>
      <c r="L263" s="359"/>
      <c r="M263" s="81"/>
      <c r="O263" s="73" t="str">
        <f t="shared" si="127"/>
        <v/>
      </c>
      <c r="P263" s="73" t="str">
        <f t="shared" si="128"/>
        <v/>
      </c>
      <c r="Q263" s="73" t="str">
        <f t="shared" si="129"/>
        <v/>
      </c>
      <c r="R263" s="73" t="str">
        <f t="shared" si="130"/>
        <v/>
      </c>
      <c r="AB263" s="73" t="s">
        <v>1055</v>
      </c>
      <c r="AC263" s="73" t="s">
        <v>1056</v>
      </c>
      <c r="AD263" s="73" t="s">
        <v>5142</v>
      </c>
      <c r="AE263" s="73" t="s">
        <v>5143</v>
      </c>
      <c r="AF263" s="73" t="s">
        <v>5160</v>
      </c>
      <c r="AG263" s="73" t="s">
        <v>5168</v>
      </c>
    </row>
    <row r="264" spans="1:33" hidden="1">
      <c r="A264" s="355" t="str">
        <f>IF(C264="","",VLOOKUP('OPĆI DIO'!$C$3,'OPĆI DIO'!$L$6:$U$138,10,FALSE))</f>
        <v/>
      </c>
      <c r="B264" s="355" t="str">
        <f>IF(C264="","",VLOOKUP('OPĆI DIO'!$C$3,'OPĆI DIO'!$L$6:$U$138,9,FALSE))</f>
        <v/>
      </c>
      <c r="C264" s="356"/>
      <c r="D264" s="357" t="str">
        <f t="shared" si="123"/>
        <v/>
      </c>
      <c r="E264" s="356"/>
      <c r="F264" s="357" t="str">
        <f t="shared" si="124"/>
        <v/>
      </c>
      <c r="G264" s="358"/>
      <c r="H264" s="357" t="str">
        <f t="shared" si="125"/>
        <v/>
      </c>
      <c r="I264" s="357" t="str">
        <f t="shared" si="126"/>
        <v/>
      </c>
      <c r="J264" s="359"/>
      <c r="K264" s="359"/>
      <c r="L264" s="359"/>
      <c r="M264" s="81"/>
      <c r="O264" s="73" t="str">
        <f t="shared" si="127"/>
        <v/>
      </c>
      <c r="P264" s="73" t="str">
        <f t="shared" si="128"/>
        <v/>
      </c>
      <c r="Q264" s="73" t="str">
        <f t="shared" si="129"/>
        <v/>
      </c>
      <c r="R264" s="73" t="str">
        <f t="shared" si="130"/>
        <v/>
      </c>
      <c r="AB264" s="73" t="s">
        <v>1057</v>
      </c>
      <c r="AC264" s="73" t="s">
        <v>680</v>
      </c>
      <c r="AD264" s="73" t="s">
        <v>5142</v>
      </c>
      <c r="AE264" s="73" t="s">
        <v>5143</v>
      </c>
      <c r="AF264" s="73" t="s">
        <v>5160</v>
      </c>
      <c r="AG264" s="73" t="s">
        <v>5168</v>
      </c>
    </row>
    <row r="265" spans="1:33" hidden="1">
      <c r="A265" s="355" t="str">
        <f>IF(C265="","",VLOOKUP('OPĆI DIO'!$C$3,'OPĆI DIO'!$L$6:$U$138,10,FALSE))</f>
        <v/>
      </c>
      <c r="B265" s="355" t="str">
        <f>IF(C265="","",VLOOKUP('OPĆI DIO'!$C$3,'OPĆI DIO'!$L$6:$U$138,9,FALSE))</f>
        <v/>
      </c>
      <c r="C265" s="356"/>
      <c r="D265" s="357" t="str">
        <f t="shared" si="123"/>
        <v/>
      </c>
      <c r="E265" s="356"/>
      <c r="F265" s="357" t="str">
        <f t="shared" si="124"/>
        <v/>
      </c>
      <c r="G265" s="358"/>
      <c r="H265" s="357" t="str">
        <f t="shared" si="125"/>
        <v/>
      </c>
      <c r="I265" s="357" t="str">
        <f t="shared" si="126"/>
        <v/>
      </c>
      <c r="J265" s="359"/>
      <c r="K265" s="359"/>
      <c r="L265" s="359"/>
      <c r="M265" s="81"/>
      <c r="O265" s="73" t="str">
        <f t="shared" si="127"/>
        <v/>
      </c>
      <c r="P265" s="73" t="str">
        <f t="shared" si="128"/>
        <v/>
      </c>
      <c r="Q265" s="73" t="str">
        <f t="shared" si="129"/>
        <v/>
      </c>
      <c r="R265" s="73" t="str">
        <f t="shared" si="130"/>
        <v/>
      </c>
      <c r="AB265" s="73" t="s">
        <v>1060</v>
      </c>
      <c r="AC265" s="73" t="s">
        <v>1061</v>
      </c>
      <c r="AD265" s="73" t="s">
        <v>5138</v>
      </c>
      <c r="AE265" s="73" t="s">
        <v>5139</v>
      </c>
      <c r="AF265" s="73" t="s">
        <v>5160</v>
      </c>
      <c r="AG265" s="73" t="s">
        <v>5170</v>
      </c>
    </row>
    <row r="266" spans="1:33" hidden="1">
      <c r="A266" s="355" t="str">
        <f>IF(C266="","",VLOOKUP('OPĆI DIO'!$C$3,'OPĆI DIO'!$L$6:$U$138,10,FALSE))</f>
        <v/>
      </c>
      <c r="B266" s="355" t="str">
        <f>IF(C266="","",VLOOKUP('OPĆI DIO'!$C$3,'OPĆI DIO'!$L$6:$U$138,9,FALSE))</f>
        <v/>
      </c>
      <c r="C266" s="356"/>
      <c r="D266" s="357" t="str">
        <f t="shared" si="123"/>
        <v/>
      </c>
      <c r="E266" s="356"/>
      <c r="F266" s="357" t="str">
        <f t="shared" si="124"/>
        <v/>
      </c>
      <c r="G266" s="358"/>
      <c r="H266" s="357" t="str">
        <f t="shared" si="125"/>
        <v/>
      </c>
      <c r="I266" s="357" t="str">
        <f t="shared" si="126"/>
        <v/>
      </c>
      <c r="J266" s="359"/>
      <c r="K266" s="359"/>
      <c r="L266" s="359"/>
      <c r="M266" s="81"/>
      <c r="O266" s="73" t="str">
        <f t="shared" si="127"/>
        <v/>
      </c>
      <c r="P266" s="73" t="str">
        <f t="shared" si="128"/>
        <v/>
      </c>
      <c r="Q266" s="73" t="str">
        <f t="shared" si="129"/>
        <v/>
      </c>
      <c r="R266" s="73" t="str">
        <f t="shared" si="130"/>
        <v/>
      </c>
      <c r="AB266" s="73" t="s">
        <v>1062</v>
      </c>
      <c r="AC266" s="73" t="s">
        <v>1660</v>
      </c>
      <c r="AD266" s="73" t="s">
        <v>5138</v>
      </c>
      <c r="AE266" s="73" t="s">
        <v>5139</v>
      </c>
      <c r="AF266" s="73" t="s">
        <v>5160</v>
      </c>
      <c r="AG266" s="73" t="s">
        <v>5170</v>
      </c>
    </row>
    <row r="267" spans="1:33" hidden="1">
      <c r="A267" s="355" t="str">
        <f>IF(C267="","",VLOOKUP('OPĆI DIO'!$C$3,'OPĆI DIO'!$L$6:$U$138,10,FALSE))</f>
        <v/>
      </c>
      <c r="B267" s="355" t="str">
        <f>IF(C267="","",VLOOKUP('OPĆI DIO'!$C$3,'OPĆI DIO'!$L$6:$U$138,9,FALSE))</f>
        <v/>
      </c>
      <c r="C267" s="356"/>
      <c r="D267" s="357" t="str">
        <f t="shared" si="123"/>
        <v/>
      </c>
      <c r="E267" s="356"/>
      <c r="F267" s="357" t="str">
        <f t="shared" si="124"/>
        <v/>
      </c>
      <c r="G267" s="358"/>
      <c r="H267" s="357" t="str">
        <f t="shared" si="125"/>
        <v/>
      </c>
      <c r="I267" s="357" t="str">
        <f t="shared" si="126"/>
        <v/>
      </c>
      <c r="J267" s="359"/>
      <c r="K267" s="359"/>
      <c r="L267" s="359"/>
      <c r="M267" s="81"/>
      <c r="O267" s="73" t="str">
        <f t="shared" si="127"/>
        <v/>
      </c>
      <c r="P267" s="73" t="str">
        <f t="shared" si="128"/>
        <v/>
      </c>
      <c r="Q267" s="73" t="str">
        <f t="shared" si="129"/>
        <v/>
      </c>
      <c r="R267" s="73" t="str">
        <f t="shared" si="130"/>
        <v/>
      </c>
      <c r="AB267" s="73" t="s">
        <v>1063</v>
      </c>
      <c r="AC267" s="73" t="s">
        <v>1064</v>
      </c>
      <c r="AD267" s="73" t="s">
        <v>5138</v>
      </c>
      <c r="AE267" s="73" t="s">
        <v>5139</v>
      </c>
      <c r="AF267" s="73" t="s">
        <v>5160</v>
      </c>
      <c r="AG267" s="73" t="s">
        <v>5170</v>
      </c>
    </row>
    <row r="268" spans="1:33" hidden="1">
      <c r="A268" s="355" t="str">
        <f>IF(C268="","",VLOOKUP('OPĆI DIO'!$C$3,'OPĆI DIO'!$L$6:$U$138,10,FALSE))</f>
        <v/>
      </c>
      <c r="B268" s="355" t="str">
        <f>IF(C268="","",VLOOKUP('OPĆI DIO'!$C$3,'OPĆI DIO'!$L$6:$U$138,9,FALSE))</f>
        <v/>
      </c>
      <c r="C268" s="356"/>
      <c r="D268" s="357" t="str">
        <f t="shared" si="123"/>
        <v/>
      </c>
      <c r="E268" s="356"/>
      <c r="F268" s="357" t="str">
        <f t="shared" si="124"/>
        <v/>
      </c>
      <c r="G268" s="358"/>
      <c r="H268" s="357" t="str">
        <f t="shared" si="125"/>
        <v/>
      </c>
      <c r="I268" s="357" t="str">
        <f t="shared" si="126"/>
        <v/>
      </c>
      <c r="J268" s="359"/>
      <c r="K268" s="359"/>
      <c r="L268" s="359"/>
      <c r="M268" s="81"/>
      <c r="O268" s="73" t="str">
        <f t="shared" si="127"/>
        <v/>
      </c>
      <c r="P268" s="73" t="str">
        <f t="shared" si="128"/>
        <v/>
      </c>
      <c r="Q268" s="73" t="str">
        <f t="shared" si="129"/>
        <v/>
      </c>
      <c r="R268" s="73" t="str">
        <f t="shared" si="130"/>
        <v/>
      </c>
      <c r="AB268" s="73" t="s">
        <v>3497</v>
      </c>
      <c r="AC268" s="73" t="s">
        <v>3498</v>
      </c>
      <c r="AD268" s="73" t="s">
        <v>5138</v>
      </c>
      <c r="AE268" s="73" t="s">
        <v>5139</v>
      </c>
      <c r="AF268" s="73" t="s">
        <v>5160</v>
      </c>
      <c r="AG268" s="73" t="s">
        <v>5170</v>
      </c>
    </row>
    <row r="269" spans="1:33" hidden="1">
      <c r="A269" s="355" t="str">
        <f>IF(C269="","",VLOOKUP('OPĆI DIO'!$C$3,'OPĆI DIO'!$L$6:$U$138,10,FALSE))</f>
        <v/>
      </c>
      <c r="B269" s="355" t="str">
        <f>IF(C269="","",VLOOKUP('OPĆI DIO'!$C$3,'OPĆI DIO'!$L$6:$U$138,9,FALSE))</f>
        <v/>
      </c>
      <c r="C269" s="356"/>
      <c r="D269" s="357" t="str">
        <f t="shared" si="123"/>
        <v/>
      </c>
      <c r="E269" s="356"/>
      <c r="F269" s="357" t="str">
        <f t="shared" si="124"/>
        <v/>
      </c>
      <c r="G269" s="358"/>
      <c r="H269" s="357" t="str">
        <f t="shared" si="125"/>
        <v/>
      </c>
      <c r="I269" s="357" t="str">
        <f t="shared" si="126"/>
        <v/>
      </c>
      <c r="J269" s="359"/>
      <c r="K269" s="359"/>
      <c r="L269" s="359"/>
      <c r="M269" s="81"/>
      <c r="O269" s="73" t="str">
        <f t="shared" si="127"/>
        <v/>
      </c>
      <c r="P269" s="73" t="str">
        <f t="shared" si="128"/>
        <v/>
      </c>
      <c r="Q269" s="73" t="str">
        <f t="shared" si="129"/>
        <v/>
      </c>
      <c r="R269" s="73" t="str">
        <f t="shared" si="130"/>
        <v/>
      </c>
      <c r="AB269" s="73" t="s">
        <v>1065</v>
      </c>
      <c r="AC269" s="73" t="s">
        <v>1066</v>
      </c>
      <c r="AD269" s="73" t="s">
        <v>5138</v>
      </c>
      <c r="AE269" s="73" t="s">
        <v>5139</v>
      </c>
      <c r="AF269" s="73" t="s">
        <v>5160</v>
      </c>
      <c r="AG269" s="73" t="s">
        <v>5170</v>
      </c>
    </row>
    <row r="270" spans="1:33" hidden="1">
      <c r="A270" s="355" t="str">
        <f>IF(C270="","",VLOOKUP('OPĆI DIO'!$C$3,'OPĆI DIO'!$L$6:$U$138,10,FALSE))</f>
        <v/>
      </c>
      <c r="B270" s="355" t="str">
        <f>IF(C270="","",VLOOKUP('OPĆI DIO'!$C$3,'OPĆI DIO'!$L$6:$U$138,9,FALSE))</f>
        <v/>
      </c>
      <c r="C270" s="356"/>
      <c r="D270" s="357" t="str">
        <f t="shared" si="123"/>
        <v/>
      </c>
      <c r="E270" s="356"/>
      <c r="F270" s="357" t="str">
        <f t="shared" si="124"/>
        <v/>
      </c>
      <c r="G270" s="358"/>
      <c r="H270" s="357" t="str">
        <f t="shared" si="125"/>
        <v/>
      </c>
      <c r="I270" s="357" t="str">
        <f t="shared" si="126"/>
        <v/>
      </c>
      <c r="J270" s="359"/>
      <c r="K270" s="359"/>
      <c r="L270" s="359"/>
      <c r="M270" s="81"/>
      <c r="O270" s="73" t="str">
        <f t="shared" si="127"/>
        <v/>
      </c>
      <c r="P270" s="73" t="str">
        <f t="shared" si="128"/>
        <v/>
      </c>
      <c r="Q270" s="73" t="str">
        <f t="shared" si="129"/>
        <v/>
      </c>
      <c r="R270" s="73" t="str">
        <f t="shared" si="130"/>
        <v/>
      </c>
      <c r="AB270" s="73" t="s">
        <v>2004</v>
      </c>
      <c r="AC270" s="73" t="s">
        <v>2005</v>
      </c>
      <c r="AD270" s="73" t="s">
        <v>5138</v>
      </c>
      <c r="AE270" s="73" t="s">
        <v>5139</v>
      </c>
      <c r="AF270" s="73" t="s">
        <v>5160</v>
      </c>
      <c r="AG270" s="73" t="s">
        <v>5170</v>
      </c>
    </row>
    <row r="271" spans="1:33" hidden="1">
      <c r="A271" s="355" t="str">
        <f>IF(C271="","",VLOOKUP('OPĆI DIO'!$C$3,'OPĆI DIO'!$L$6:$U$138,10,FALSE))</f>
        <v/>
      </c>
      <c r="B271" s="355" t="str">
        <f>IF(C271="","",VLOOKUP('OPĆI DIO'!$C$3,'OPĆI DIO'!$L$6:$U$138,9,FALSE))</f>
        <v/>
      </c>
      <c r="C271" s="356"/>
      <c r="D271" s="357" t="str">
        <f t="shared" si="123"/>
        <v/>
      </c>
      <c r="E271" s="356"/>
      <c r="F271" s="357" t="str">
        <f t="shared" si="124"/>
        <v/>
      </c>
      <c r="G271" s="358"/>
      <c r="H271" s="357" t="str">
        <f t="shared" si="125"/>
        <v/>
      </c>
      <c r="I271" s="357" t="str">
        <f t="shared" si="126"/>
        <v/>
      </c>
      <c r="J271" s="359"/>
      <c r="K271" s="359"/>
      <c r="L271" s="359"/>
      <c r="M271" s="81"/>
      <c r="O271" s="73" t="str">
        <f t="shared" si="127"/>
        <v/>
      </c>
      <c r="P271" s="73" t="str">
        <f t="shared" si="128"/>
        <v/>
      </c>
      <c r="Q271" s="73" t="str">
        <f t="shared" si="129"/>
        <v/>
      </c>
      <c r="R271" s="73" t="str">
        <f t="shared" si="130"/>
        <v/>
      </c>
      <c r="AB271" s="73" t="s">
        <v>2006</v>
      </c>
      <c r="AC271" s="73" t="s">
        <v>3499</v>
      </c>
      <c r="AD271" s="73" t="s">
        <v>5138</v>
      </c>
      <c r="AE271" s="73" t="s">
        <v>5139</v>
      </c>
      <c r="AF271" s="73" t="s">
        <v>5160</v>
      </c>
      <c r="AG271" s="73" t="s">
        <v>5170</v>
      </c>
    </row>
    <row r="272" spans="1:33" hidden="1">
      <c r="A272" s="355" t="str">
        <f>IF(C272="","",VLOOKUP('OPĆI DIO'!$C$3,'OPĆI DIO'!$L$6:$U$138,10,FALSE))</f>
        <v/>
      </c>
      <c r="B272" s="355" t="str">
        <f>IF(C272="","",VLOOKUP('OPĆI DIO'!$C$3,'OPĆI DIO'!$L$6:$U$138,9,FALSE))</f>
        <v/>
      </c>
      <c r="C272" s="356"/>
      <c r="D272" s="357" t="str">
        <f t="shared" si="123"/>
        <v/>
      </c>
      <c r="E272" s="356"/>
      <c r="F272" s="357" t="str">
        <f t="shared" si="124"/>
        <v/>
      </c>
      <c r="G272" s="358"/>
      <c r="H272" s="357" t="str">
        <f t="shared" si="125"/>
        <v/>
      </c>
      <c r="I272" s="357" t="str">
        <f t="shared" si="126"/>
        <v/>
      </c>
      <c r="J272" s="359"/>
      <c r="K272" s="359"/>
      <c r="L272" s="359"/>
      <c r="M272" s="81"/>
      <c r="O272" s="73" t="str">
        <f t="shared" si="127"/>
        <v/>
      </c>
      <c r="P272" s="73" t="str">
        <f t="shared" si="128"/>
        <v/>
      </c>
      <c r="Q272" s="73" t="str">
        <f t="shared" si="129"/>
        <v/>
      </c>
      <c r="R272" s="73" t="str">
        <f t="shared" si="130"/>
        <v/>
      </c>
      <c r="AB272" s="73" t="s">
        <v>1069</v>
      </c>
      <c r="AC272" s="73" t="s">
        <v>1070</v>
      </c>
      <c r="AD272" s="73" t="s">
        <v>5138</v>
      </c>
      <c r="AE272" s="73" t="s">
        <v>5139</v>
      </c>
      <c r="AF272" s="73" t="s">
        <v>5160</v>
      </c>
      <c r="AG272" s="73" t="s">
        <v>5170</v>
      </c>
    </row>
    <row r="273" spans="1:33" hidden="1">
      <c r="A273" s="355" t="str">
        <f>IF(C273="","",VLOOKUP('OPĆI DIO'!$C$3,'OPĆI DIO'!$L$6:$U$138,10,FALSE))</f>
        <v/>
      </c>
      <c r="B273" s="355" t="str">
        <f>IF(C273="","",VLOOKUP('OPĆI DIO'!$C$3,'OPĆI DIO'!$L$6:$U$138,9,FALSE))</f>
        <v/>
      </c>
      <c r="C273" s="356"/>
      <c r="D273" s="357" t="str">
        <f t="shared" si="123"/>
        <v/>
      </c>
      <c r="E273" s="356"/>
      <c r="F273" s="357" t="str">
        <f t="shared" si="124"/>
        <v/>
      </c>
      <c r="G273" s="358"/>
      <c r="H273" s="357" t="str">
        <f t="shared" si="125"/>
        <v/>
      </c>
      <c r="I273" s="357" t="str">
        <f t="shared" si="126"/>
        <v/>
      </c>
      <c r="J273" s="359"/>
      <c r="K273" s="359"/>
      <c r="L273" s="359"/>
      <c r="M273" s="81"/>
      <c r="O273" s="73" t="str">
        <f t="shared" si="127"/>
        <v/>
      </c>
      <c r="P273" s="73" t="str">
        <f t="shared" si="128"/>
        <v/>
      </c>
      <c r="Q273" s="73" t="str">
        <f t="shared" si="129"/>
        <v/>
      </c>
      <c r="R273" s="73" t="str">
        <f t="shared" si="130"/>
        <v/>
      </c>
      <c r="AB273" s="73" t="s">
        <v>1071</v>
      </c>
      <c r="AC273" s="73" t="s">
        <v>1072</v>
      </c>
      <c r="AD273" s="73" t="s">
        <v>5138</v>
      </c>
      <c r="AE273" s="73" t="s">
        <v>5139</v>
      </c>
      <c r="AF273" s="73" t="s">
        <v>5160</v>
      </c>
      <c r="AG273" s="73" t="s">
        <v>5170</v>
      </c>
    </row>
    <row r="274" spans="1:33" hidden="1">
      <c r="A274" s="355" t="str">
        <f>IF(C274="","",VLOOKUP('OPĆI DIO'!$C$3,'OPĆI DIO'!$L$6:$U$138,10,FALSE))</f>
        <v/>
      </c>
      <c r="B274" s="355" t="str">
        <f>IF(C274="","",VLOOKUP('OPĆI DIO'!$C$3,'OPĆI DIO'!$L$6:$U$138,9,FALSE))</f>
        <v/>
      </c>
      <c r="C274" s="356"/>
      <c r="D274" s="357" t="str">
        <f t="shared" si="123"/>
        <v/>
      </c>
      <c r="E274" s="356"/>
      <c r="F274" s="357" t="str">
        <f t="shared" si="124"/>
        <v/>
      </c>
      <c r="G274" s="358"/>
      <c r="H274" s="357" t="str">
        <f t="shared" si="125"/>
        <v/>
      </c>
      <c r="I274" s="357" t="str">
        <f t="shared" si="126"/>
        <v/>
      </c>
      <c r="J274" s="359"/>
      <c r="K274" s="359"/>
      <c r="L274" s="359"/>
      <c r="M274" s="81"/>
      <c r="O274" s="73" t="str">
        <f t="shared" si="127"/>
        <v/>
      </c>
      <c r="P274" s="73" t="str">
        <f t="shared" si="128"/>
        <v/>
      </c>
      <c r="Q274" s="73" t="str">
        <f t="shared" si="129"/>
        <v/>
      </c>
      <c r="R274" s="73" t="str">
        <f t="shared" si="130"/>
        <v/>
      </c>
      <c r="AB274" s="73" t="s">
        <v>1073</v>
      </c>
      <c r="AC274" s="73" t="s">
        <v>1074</v>
      </c>
      <c r="AD274" s="73" t="s">
        <v>5138</v>
      </c>
      <c r="AE274" s="73" t="s">
        <v>5139</v>
      </c>
      <c r="AF274" s="73" t="s">
        <v>5160</v>
      </c>
      <c r="AG274" s="73" t="s">
        <v>5170</v>
      </c>
    </row>
    <row r="275" spans="1:33" hidden="1">
      <c r="A275" s="355" t="str">
        <f>IF(C275="","",VLOOKUP('OPĆI DIO'!$C$3,'OPĆI DIO'!$L$6:$U$138,10,FALSE))</f>
        <v/>
      </c>
      <c r="B275" s="355" t="str">
        <f>IF(C275="","",VLOOKUP('OPĆI DIO'!$C$3,'OPĆI DIO'!$L$6:$U$138,9,FALSE))</f>
        <v/>
      </c>
      <c r="C275" s="356"/>
      <c r="D275" s="357" t="str">
        <f t="shared" si="123"/>
        <v/>
      </c>
      <c r="E275" s="356"/>
      <c r="F275" s="357" t="str">
        <f t="shared" si="124"/>
        <v/>
      </c>
      <c r="G275" s="358"/>
      <c r="H275" s="357" t="str">
        <f t="shared" si="125"/>
        <v/>
      </c>
      <c r="I275" s="357" t="str">
        <f t="shared" si="126"/>
        <v/>
      </c>
      <c r="J275" s="359"/>
      <c r="K275" s="359"/>
      <c r="L275" s="359"/>
      <c r="M275" s="81"/>
      <c r="O275" s="73" t="str">
        <f t="shared" si="127"/>
        <v/>
      </c>
      <c r="P275" s="73" t="str">
        <f t="shared" si="128"/>
        <v/>
      </c>
      <c r="Q275" s="73" t="str">
        <f t="shared" si="129"/>
        <v/>
      </c>
      <c r="R275" s="73" t="str">
        <f t="shared" si="130"/>
        <v/>
      </c>
      <c r="AB275" s="73" t="s">
        <v>1075</v>
      </c>
      <c r="AC275" s="73" t="s">
        <v>1076</v>
      </c>
      <c r="AD275" s="73" t="s">
        <v>5138</v>
      </c>
      <c r="AE275" s="73" t="s">
        <v>5139</v>
      </c>
      <c r="AF275" s="73" t="s">
        <v>5160</v>
      </c>
      <c r="AG275" s="73" t="s">
        <v>5170</v>
      </c>
    </row>
    <row r="276" spans="1:33" hidden="1">
      <c r="A276" s="355" t="str">
        <f>IF(C276="","",VLOOKUP('OPĆI DIO'!$C$3,'OPĆI DIO'!$L$6:$U$138,10,FALSE))</f>
        <v/>
      </c>
      <c r="B276" s="355" t="str">
        <f>IF(C276="","",VLOOKUP('OPĆI DIO'!$C$3,'OPĆI DIO'!$L$6:$U$138,9,FALSE))</f>
        <v/>
      </c>
      <c r="C276" s="356"/>
      <c r="D276" s="357" t="str">
        <f t="shared" si="123"/>
        <v/>
      </c>
      <c r="E276" s="356"/>
      <c r="F276" s="357" t="str">
        <f t="shared" si="124"/>
        <v/>
      </c>
      <c r="G276" s="358"/>
      <c r="H276" s="357" t="str">
        <f t="shared" si="125"/>
        <v/>
      </c>
      <c r="I276" s="357" t="str">
        <f t="shared" si="126"/>
        <v/>
      </c>
      <c r="J276" s="359"/>
      <c r="K276" s="359"/>
      <c r="L276" s="359"/>
      <c r="M276" s="81"/>
      <c r="O276" s="73" t="str">
        <f t="shared" si="127"/>
        <v/>
      </c>
      <c r="P276" s="73" t="str">
        <f t="shared" si="128"/>
        <v/>
      </c>
      <c r="Q276" s="73" t="str">
        <f t="shared" si="129"/>
        <v/>
      </c>
      <c r="R276" s="73" t="str">
        <f t="shared" si="130"/>
        <v/>
      </c>
      <c r="AB276" s="73" t="s">
        <v>1077</v>
      </c>
      <c r="AC276" s="73" t="s">
        <v>1078</v>
      </c>
      <c r="AD276" s="73" t="s">
        <v>5138</v>
      </c>
      <c r="AE276" s="73" t="s">
        <v>5139</v>
      </c>
      <c r="AF276" s="73" t="s">
        <v>5160</v>
      </c>
      <c r="AG276" s="73" t="s">
        <v>5170</v>
      </c>
    </row>
    <row r="277" spans="1:33" hidden="1">
      <c r="A277" s="355" t="str">
        <f>IF(C277="","",VLOOKUP('OPĆI DIO'!$C$3,'OPĆI DIO'!$L$6:$U$138,10,FALSE))</f>
        <v/>
      </c>
      <c r="B277" s="355" t="str">
        <f>IF(C277="","",VLOOKUP('OPĆI DIO'!$C$3,'OPĆI DIO'!$L$6:$U$138,9,FALSE))</f>
        <v/>
      </c>
      <c r="C277" s="356"/>
      <c r="D277" s="357" t="str">
        <f t="shared" si="123"/>
        <v/>
      </c>
      <c r="E277" s="356"/>
      <c r="F277" s="357" t="str">
        <f t="shared" si="124"/>
        <v/>
      </c>
      <c r="G277" s="358"/>
      <c r="H277" s="357" t="str">
        <f t="shared" si="125"/>
        <v/>
      </c>
      <c r="I277" s="357" t="str">
        <f t="shared" si="126"/>
        <v/>
      </c>
      <c r="J277" s="359"/>
      <c r="K277" s="359"/>
      <c r="L277" s="359"/>
      <c r="M277" s="81"/>
      <c r="O277" s="73" t="str">
        <f t="shared" si="127"/>
        <v/>
      </c>
      <c r="P277" s="73" t="str">
        <f t="shared" si="128"/>
        <v/>
      </c>
      <c r="Q277" s="73" t="str">
        <f t="shared" si="129"/>
        <v/>
      </c>
      <c r="R277" s="73" t="str">
        <f t="shared" si="130"/>
        <v/>
      </c>
      <c r="AB277" s="73" t="s">
        <v>1079</v>
      </c>
      <c r="AC277" s="73" t="s">
        <v>1080</v>
      </c>
      <c r="AD277" s="73" t="s">
        <v>5138</v>
      </c>
      <c r="AE277" s="73" t="s">
        <v>5139</v>
      </c>
      <c r="AF277" s="73" t="s">
        <v>5160</v>
      </c>
      <c r="AG277" s="73" t="s">
        <v>5170</v>
      </c>
    </row>
    <row r="278" spans="1:33" hidden="1">
      <c r="A278" s="355" t="str">
        <f>IF(C278="","",VLOOKUP('OPĆI DIO'!$C$3,'OPĆI DIO'!$L$6:$U$138,10,FALSE))</f>
        <v/>
      </c>
      <c r="B278" s="355" t="str">
        <f>IF(C278="","",VLOOKUP('OPĆI DIO'!$C$3,'OPĆI DIO'!$L$6:$U$138,9,FALSE))</f>
        <v/>
      </c>
      <c r="C278" s="356"/>
      <c r="D278" s="357" t="str">
        <f t="shared" si="123"/>
        <v/>
      </c>
      <c r="E278" s="356"/>
      <c r="F278" s="357" t="str">
        <f t="shared" si="124"/>
        <v/>
      </c>
      <c r="G278" s="358"/>
      <c r="H278" s="357" t="str">
        <f t="shared" si="125"/>
        <v/>
      </c>
      <c r="I278" s="357" t="str">
        <f t="shared" si="126"/>
        <v/>
      </c>
      <c r="J278" s="359"/>
      <c r="K278" s="359"/>
      <c r="L278" s="359"/>
      <c r="M278" s="81"/>
      <c r="O278" s="73" t="str">
        <f t="shared" si="127"/>
        <v/>
      </c>
      <c r="P278" s="73" t="str">
        <f t="shared" si="128"/>
        <v/>
      </c>
      <c r="Q278" s="73" t="str">
        <f t="shared" si="129"/>
        <v/>
      </c>
      <c r="R278" s="73" t="str">
        <f t="shared" si="130"/>
        <v/>
      </c>
      <c r="AB278" s="73" t="s">
        <v>1081</v>
      </c>
      <c r="AC278" s="73" t="s">
        <v>1082</v>
      </c>
      <c r="AD278" s="73" t="s">
        <v>5138</v>
      </c>
      <c r="AE278" s="73" t="s">
        <v>5139</v>
      </c>
      <c r="AF278" s="73" t="s">
        <v>5160</v>
      </c>
      <c r="AG278" s="73" t="s">
        <v>5170</v>
      </c>
    </row>
    <row r="279" spans="1:33" hidden="1">
      <c r="A279" s="355" t="str">
        <f>IF(C279="","",VLOOKUP('OPĆI DIO'!$C$3,'OPĆI DIO'!$L$6:$U$138,10,FALSE))</f>
        <v/>
      </c>
      <c r="B279" s="355" t="str">
        <f>IF(C279="","",VLOOKUP('OPĆI DIO'!$C$3,'OPĆI DIO'!$L$6:$U$138,9,FALSE))</f>
        <v/>
      </c>
      <c r="C279" s="356"/>
      <c r="D279" s="357" t="str">
        <f t="shared" si="123"/>
        <v/>
      </c>
      <c r="E279" s="356"/>
      <c r="F279" s="357" t="str">
        <f t="shared" si="124"/>
        <v/>
      </c>
      <c r="G279" s="358"/>
      <c r="H279" s="357" t="str">
        <f t="shared" si="125"/>
        <v/>
      </c>
      <c r="I279" s="357" t="str">
        <f t="shared" si="126"/>
        <v/>
      </c>
      <c r="J279" s="359"/>
      <c r="K279" s="359"/>
      <c r="L279" s="359"/>
      <c r="M279" s="81"/>
      <c r="O279" s="73" t="str">
        <f t="shared" si="127"/>
        <v/>
      </c>
      <c r="P279" s="73" t="str">
        <f t="shared" si="128"/>
        <v/>
      </c>
      <c r="Q279" s="73" t="str">
        <f t="shared" si="129"/>
        <v/>
      </c>
      <c r="R279" s="73" t="str">
        <f t="shared" si="130"/>
        <v/>
      </c>
      <c r="AB279" s="73" t="s">
        <v>1083</v>
      </c>
      <c r="AC279" s="73" t="s">
        <v>1084</v>
      </c>
      <c r="AD279" s="73" t="s">
        <v>5138</v>
      </c>
      <c r="AE279" s="73" t="s">
        <v>5139</v>
      </c>
      <c r="AF279" s="73" t="s">
        <v>5160</v>
      </c>
      <c r="AG279" s="73" t="s">
        <v>5170</v>
      </c>
    </row>
    <row r="280" spans="1:33" hidden="1">
      <c r="A280" s="355" t="str">
        <f>IF(C280="","",VLOOKUP('OPĆI DIO'!$C$3,'OPĆI DIO'!$L$6:$U$138,10,FALSE))</f>
        <v/>
      </c>
      <c r="B280" s="355" t="str">
        <f>IF(C280="","",VLOOKUP('OPĆI DIO'!$C$3,'OPĆI DIO'!$L$6:$U$138,9,FALSE))</f>
        <v/>
      </c>
      <c r="C280" s="356"/>
      <c r="D280" s="357" t="str">
        <f t="shared" si="123"/>
        <v/>
      </c>
      <c r="E280" s="356"/>
      <c r="F280" s="357" t="str">
        <f t="shared" si="124"/>
        <v/>
      </c>
      <c r="G280" s="358"/>
      <c r="H280" s="357" t="str">
        <f t="shared" si="125"/>
        <v/>
      </c>
      <c r="I280" s="357" t="str">
        <f t="shared" si="126"/>
        <v/>
      </c>
      <c r="J280" s="359"/>
      <c r="K280" s="359"/>
      <c r="L280" s="359"/>
      <c r="M280" s="81"/>
      <c r="O280" s="73" t="str">
        <f t="shared" si="127"/>
        <v/>
      </c>
      <c r="P280" s="73" t="str">
        <f t="shared" si="128"/>
        <v/>
      </c>
      <c r="Q280" s="73" t="str">
        <f t="shared" si="129"/>
        <v/>
      </c>
      <c r="R280" s="73" t="str">
        <f t="shared" si="130"/>
        <v/>
      </c>
      <c r="AB280" s="73" t="s">
        <v>1085</v>
      </c>
      <c r="AC280" s="73" t="s">
        <v>1086</v>
      </c>
      <c r="AD280" s="73" t="s">
        <v>5138</v>
      </c>
      <c r="AE280" s="73" t="s">
        <v>5139</v>
      </c>
      <c r="AF280" s="73" t="s">
        <v>5160</v>
      </c>
      <c r="AG280" s="73" t="s">
        <v>5170</v>
      </c>
    </row>
    <row r="281" spans="1:33" hidden="1">
      <c r="A281" s="355" t="str">
        <f>IF(C281="","",VLOOKUP('OPĆI DIO'!$C$3,'OPĆI DIO'!$L$6:$U$138,10,FALSE))</f>
        <v/>
      </c>
      <c r="B281" s="355" t="str">
        <f>IF(C281="","",VLOOKUP('OPĆI DIO'!$C$3,'OPĆI DIO'!$L$6:$U$138,9,FALSE))</f>
        <v/>
      </c>
      <c r="C281" s="356"/>
      <c r="D281" s="357" t="str">
        <f t="shared" si="123"/>
        <v/>
      </c>
      <c r="E281" s="356"/>
      <c r="F281" s="357" t="str">
        <f t="shared" si="124"/>
        <v/>
      </c>
      <c r="G281" s="358"/>
      <c r="H281" s="357" t="str">
        <f t="shared" si="125"/>
        <v/>
      </c>
      <c r="I281" s="357" t="str">
        <f t="shared" si="126"/>
        <v/>
      </c>
      <c r="J281" s="359"/>
      <c r="K281" s="359"/>
      <c r="L281" s="359"/>
      <c r="M281" s="81"/>
      <c r="O281" s="73" t="str">
        <f t="shared" si="127"/>
        <v/>
      </c>
      <c r="P281" s="73" t="str">
        <f t="shared" si="128"/>
        <v/>
      </c>
      <c r="Q281" s="73" t="str">
        <f t="shared" si="129"/>
        <v/>
      </c>
      <c r="R281" s="73" t="str">
        <f t="shared" si="130"/>
        <v/>
      </c>
      <c r="AB281" s="73" t="s">
        <v>1087</v>
      </c>
      <c r="AC281" s="73" t="s">
        <v>3500</v>
      </c>
      <c r="AD281" s="73" t="s">
        <v>5138</v>
      </c>
      <c r="AE281" s="73" t="s">
        <v>5139</v>
      </c>
      <c r="AF281" s="73" t="s">
        <v>5160</v>
      </c>
      <c r="AG281" s="73" t="s">
        <v>5170</v>
      </c>
    </row>
    <row r="282" spans="1:33" hidden="1">
      <c r="A282" s="355" t="str">
        <f>IF(C282="","",VLOOKUP('OPĆI DIO'!$C$3,'OPĆI DIO'!$L$6:$U$138,10,FALSE))</f>
        <v/>
      </c>
      <c r="B282" s="355" t="str">
        <f>IF(C282="","",VLOOKUP('OPĆI DIO'!$C$3,'OPĆI DIO'!$L$6:$U$138,9,FALSE))</f>
        <v/>
      </c>
      <c r="C282" s="356"/>
      <c r="D282" s="357" t="str">
        <f t="shared" si="123"/>
        <v/>
      </c>
      <c r="E282" s="356"/>
      <c r="F282" s="357" t="str">
        <f t="shared" si="124"/>
        <v/>
      </c>
      <c r="G282" s="358"/>
      <c r="H282" s="357" t="str">
        <f t="shared" si="125"/>
        <v/>
      </c>
      <c r="I282" s="357" t="str">
        <f t="shared" si="126"/>
        <v/>
      </c>
      <c r="J282" s="359"/>
      <c r="K282" s="359"/>
      <c r="L282" s="359"/>
      <c r="M282" s="81"/>
      <c r="O282" s="73" t="str">
        <f t="shared" si="127"/>
        <v/>
      </c>
      <c r="P282" s="73" t="str">
        <f t="shared" si="128"/>
        <v/>
      </c>
      <c r="Q282" s="73" t="str">
        <f t="shared" si="129"/>
        <v/>
      </c>
      <c r="R282" s="73" t="str">
        <f t="shared" si="130"/>
        <v/>
      </c>
      <c r="AB282" s="73" t="s">
        <v>1088</v>
      </c>
      <c r="AC282" s="73" t="s">
        <v>1661</v>
      </c>
      <c r="AD282" s="73" t="s">
        <v>5138</v>
      </c>
      <c r="AE282" s="73" t="s">
        <v>5139</v>
      </c>
      <c r="AF282" s="73" t="s">
        <v>5160</v>
      </c>
      <c r="AG282" s="73" t="s">
        <v>5170</v>
      </c>
    </row>
    <row r="283" spans="1:33" hidden="1">
      <c r="A283" s="355" t="str">
        <f>IF(C283="","",VLOOKUP('OPĆI DIO'!$C$3,'OPĆI DIO'!$L$6:$U$138,10,FALSE))</f>
        <v/>
      </c>
      <c r="B283" s="355" t="str">
        <f>IF(C283="","",VLOOKUP('OPĆI DIO'!$C$3,'OPĆI DIO'!$L$6:$U$138,9,FALSE))</f>
        <v/>
      </c>
      <c r="C283" s="356"/>
      <c r="D283" s="357" t="str">
        <f t="shared" si="123"/>
        <v/>
      </c>
      <c r="E283" s="356"/>
      <c r="F283" s="357" t="str">
        <f t="shared" si="124"/>
        <v/>
      </c>
      <c r="G283" s="358"/>
      <c r="H283" s="357" t="str">
        <f t="shared" si="125"/>
        <v/>
      </c>
      <c r="I283" s="357" t="str">
        <f t="shared" si="126"/>
        <v/>
      </c>
      <c r="J283" s="359"/>
      <c r="K283" s="359"/>
      <c r="L283" s="359"/>
      <c r="M283" s="81"/>
      <c r="O283" s="73" t="str">
        <f t="shared" si="127"/>
        <v/>
      </c>
      <c r="P283" s="73" t="str">
        <f t="shared" si="128"/>
        <v/>
      </c>
      <c r="Q283" s="73" t="str">
        <f t="shared" si="129"/>
        <v/>
      </c>
      <c r="R283" s="73" t="str">
        <f t="shared" si="130"/>
        <v/>
      </c>
      <c r="AB283" s="73" t="s">
        <v>1089</v>
      </c>
      <c r="AC283" s="73" t="s">
        <v>1662</v>
      </c>
      <c r="AD283" s="73" t="s">
        <v>5138</v>
      </c>
      <c r="AE283" s="73" t="s">
        <v>5139</v>
      </c>
      <c r="AF283" s="73" t="s">
        <v>5160</v>
      </c>
      <c r="AG283" s="73" t="s">
        <v>5170</v>
      </c>
    </row>
    <row r="284" spans="1:33" hidden="1">
      <c r="A284" s="355" t="str">
        <f>IF(C284="","",VLOOKUP('OPĆI DIO'!$C$3,'OPĆI DIO'!$L$6:$U$138,10,FALSE))</f>
        <v/>
      </c>
      <c r="B284" s="355" t="str">
        <f>IF(C284="","",VLOOKUP('OPĆI DIO'!$C$3,'OPĆI DIO'!$L$6:$U$138,9,FALSE))</f>
        <v/>
      </c>
      <c r="C284" s="356"/>
      <c r="D284" s="357" t="str">
        <f t="shared" si="123"/>
        <v/>
      </c>
      <c r="E284" s="356"/>
      <c r="F284" s="357" t="str">
        <f t="shared" si="124"/>
        <v/>
      </c>
      <c r="G284" s="358"/>
      <c r="H284" s="357" t="str">
        <f t="shared" si="125"/>
        <v/>
      </c>
      <c r="I284" s="357" t="str">
        <f t="shared" si="126"/>
        <v/>
      </c>
      <c r="J284" s="359"/>
      <c r="K284" s="359"/>
      <c r="L284" s="359"/>
      <c r="M284" s="81"/>
      <c r="O284" s="73" t="str">
        <f t="shared" si="127"/>
        <v/>
      </c>
      <c r="P284" s="73" t="str">
        <f t="shared" si="128"/>
        <v/>
      </c>
      <c r="Q284" s="73" t="str">
        <f t="shared" si="129"/>
        <v/>
      </c>
      <c r="R284" s="73" t="str">
        <f t="shared" si="130"/>
        <v/>
      </c>
      <c r="AB284" s="73" t="s">
        <v>1090</v>
      </c>
      <c r="AC284" s="73" t="s">
        <v>1663</v>
      </c>
      <c r="AD284" s="73" t="s">
        <v>5138</v>
      </c>
      <c r="AE284" s="73" t="s">
        <v>5139</v>
      </c>
      <c r="AF284" s="73" t="s">
        <v>5160</v>
      </c>
      <c r="AG284" s="73" t="s">
        <v>5170</v>
      </c>
    </row>
    <row r="285" spans="1:33" hidden="1">
      <c r="A285" s="355" t="str">
        <f>IF(C285="","",VLOOKUP('OPĆI DIO'!$C$3,'OPĆI DIO'!$L$6:$U$138,10,FALSE))</f>
        <v/>
      </c>
      <c r="B285" s="355" t="str">
        <f>IF(C285="","",VLOOKUP('OPĆI DIO'!$C$3,'OPĆI DIO'!$L$6:$U$138,9,FALSE))</f>
        <v/>
      </c>
      <c r="C285" s="356"/>
      <c r="D285" s="357" t="str">
        <f t="shared" si="123"/>
        <v/>
      </c>
      <c r="E285" s="356"/>
      <c r="F285" s="357" t="str">
        <f t="shared" si="124"/>
        <v/>
      </c>
      <c r="G285" s="358"/>
      <c r="H285" s="357" t="str">
        <f t="shared" si="125"/>
        <v/>
      </c>
      <c r="I285" s="357" t="str">
        <f t="shared" si="126"/>
        <v/>
      </c>
      <c r="J285" s="359"/>
      <c r="K285" s="359"/>
      <c r="L285" s="359"/>
      <c r="M285" s="81"/>
      <c r="O285" s="73" t="str">
        <f t="shared" si="127"/>
        <v/>
      </c>
      <c r="P285" s="73" t="str">
        <f t="shared" si="128"/>
        <v/>
      </c>
      <c r="Q285" s="73" t="str">
        <f t="shared" si="129"/>
        <v/>
      </c>
      <c r="R285" s="73" t="str">
        <f t="shared" si="130"/>
        <v/>
      </c>
      <c r="AB285" s="73" t="s">
        <v>1091</v>
      </c>
      <c r="AC285" s="73" t="s">
        <v>1092</v>
      </c>
      <c r="AD285" s="73" t="s">
        <v>5138</v>
      </c>
      <c r="AE285" s="73" t="s">
        <v>5139</v>
      </c>
      <c r="AF285" s="73" t="s">
        <v>5160</v>
      </c>
      <c r="AG285" s="73" t="s">
        <v>5170</v>
      </c>
    </row>
    <row r="286" spans="1:33" hidden="1">
      <c r="A286" s="355" t="str">
        <f>IF(C286="","",VLOOKUP('OPĆI DIO'!$C$3,'OPĆI DIO'!$L$6:$U$138,10,FALSE))</f>
        <v/>
      </c>
      <c r="B286" s="355" t="str">
        <f>IF(C286="","",VLOOKUP('OPĆI DIO'!$C$3,'OPĆI DIO'!$L$6:$U$138,9,FALSE))</f>
        <v/>
      </c>
      <c r="C286" s="356"/>
      <c r="D286" s="357" t="str">
        <f t="shared" si="123"/>
        <v/>
      </c>
      <c r="E286" s="356"/>
      <c r="F286" s="357" t="str">
        <f t="shared" si="124"/>
        <v/>
      </c>
      <c r="G286" s="358"/>
      <c r="H286" s="357" t="str">
        <f t="shared" si="125"/>
        <v/>
      </c>
      <c r="I286" s="357" t="str">
        <f t="shared" si="126"/>
        <v/>
      </c>
      <c r="J286" s="359"/>
      <c r="K286" s="359"/>
      <c r="L286" s="359"/>
      <c r="M286" s="81"/>
      <c r="O286" s="73" t="str">
        <f t="shared" si="127"/>
        <v/>
      </c>
      <c r="P286" s="73" t="str">
        <f t="shared" si="128"/>
        <v/>
      </c>
      <c r="Q286" s="73" t="str">
        <f t="shared" si="129"/>
        <v/>
      </c>
      <c r="R286" s="73" t="str">
        <f t="shared" si="130"/>
        <v/>
      </c>
      <c r="AB286" s="73" t="s">
        <v>1093</v>
      </c>
      <c r="AC286" s="73" t="s">
        <v>1664</v>
      </c>
      <c r="AD286" s="73" t="s">
        <v>5138</v>
      </c>
      <c r="AE286" s="73" t="s">
        <v>5139</v>
      </c>
      <c r="AF286" s="73" t="s">
        <v>5160</v>
      </c>
      <c r="AG286" s="73" t="s">
        <v>5170</v>
      </c>
    </row>
    <row r="287" spans="1:33" hidden="1">
      <c r="A287" s="355" t="str">
        <f>IF(C287="","",VLOOKUP('OPĆI DIO'!$C$3,'OPĆI DIO'!$L$6:$U$138,10,FALSE))</f>
        <v/>
      </c>
      <c r="B287" s="355" t="str">
        <f>IF(C287="","",VLOOKUP('OPĆI DIO'!$C$3,'OPĆI DIO'!$L$6:$U$138,9,FALSE))</f>
        <v/>
      </c>
      <c r="C287" s="356"/>
      <c r="D287" s="357" t="str">
        <f t="shared" si="123"/>
        <v/>
      </c>
      <c r="E287" s="356"/>
      <c r="F287" s="357" t="str">
        <f t="shared" si="124"/>
        <v/>
      </c>
      <c r="G287" s="358"/>
      <c r="H287" s="357" t="str">
        <f t="shared" si="125"/>
        <v/>
      </c>
      <c r="I287" s="357" t="str">
        <f t="shared" si="126"/>
        <v/>
      </c>
      <c r="J287" s="359"/>
      <c r="K287" s="359"/>
      <c r="L287" s="359"/>
      <c r="M287" s="81"/>
      <c r="O287" s="73" t="str">
        <f t="shared" si="127"/>
        <v/>
      </c>
      <c r="P287" s="73" t="str">
        <f t="shared" si="128"/>
        <v/>
      </c>
      <c r="Q287" s="73" t="str">
        <f t="shared" si="129"/>
        <v/>
      </c>
      <c r="R287" s="73" t="str">
        <f t="shared" si="130"/>
        <v/>
      </c>
      <c r="AB287" s="73" t="s">
        <v>1094</v>
      </c>
      <c r="AC287" s="73" t="s">
        <v>1665</v>
      </c>
      <c r="AD287" s="73" t="s">
        <v>5138</v>
      </c>
      <c r="AE287" s="73" t="s">
        <v>5139</v>
      </c>
      <c r="AF287" s="73" t="s">
        <v>5160</v>
      </c>
      <c r="AG287" s="73" t="s">
        <v>5170</v>
      </c>
    </row>
    <row r="288" spans="1:33" hidden="1">
      <c r="A288" s="355" t="str">
        <f>IF(C288="","",VLOOKUP('OPĆI DIO'!$C$3,'OPĆI DIO'!$L$6:$U$138,10,FALSE))</f>
        <v/>
      </c>
      <c r="B288" s="355" t="str">
        <f>IF(C288="","",VLOOKUP('OPĆI DIO'!$C$3,'OPĆI DIO'!$L$6:$U$138,9,FALSE))</f>
        <v/>
      </c>
      <c r="C288" s="356"/>
      <c r="D288" s="357" t="str">
        <f t="shared" si="123"/>
        <v/>
      </c>
      <c r="E288" s="356"/>
      <c r="F288" s="357" t="str">
        <f t="shared" si="124"/>
        <v/>
      </c>
      <c r="G288" s="358"/>
      <c r="H288" s="357" t="str">
        <f t="shared" si="125"/>
        <v/>
      </c>
      <c r="I288" s="357" t="str">
        <f t="shared" si="126"/>
        <v/>
      </c>
      <c r="J288" s="359"/>
      <c r="K288" s="359"/>
      <c r="L288" s="359"/>
      <c r="M288" s="81"/>
      <c r="O288" s="73" t="str">
        <f t="shared" si="127"/>
        <v/>
      </c>
      <c r="P288" s="73" t="str">
        <f t="shared" si="128"/>
        <v/>
      </c>
      <c r="Q288" s="73" t="str">
        <f t="shared" si="129"/>
        <v/>
      </c>
      <c r="R288" s="73" t="str">
        <f t="shared" si="130"/>
        <v/>
      </c>
      <c r="AB288" s="73" t="s">
        <v>1095</v>
      </c>
      <c r="AC288" s="73" t="s">
        <v>1096</v>
      </c>
      <c r="AD288" s="73" t="s">
        <v>5138</v>
      </c>
      <c r="AE288" s="73" t="s">
        <v>5139</v>
      </c>
      <c r="AF288" s="73" t="s">
        <v>5160</v>
      </c>
      <c r="AG288" s="73" t="s">
        <v>5170</v>
      </c>
    </row>
    <row r="289" spans="1:33" hidden="1">
      <c r="A289" s="355" t="str">
        <f>IF(C289="","",VLOOKUP('OPĆI DIO'!$C$3,'OPĆI DIO'!$L$6:$U$138,10,FALSE))</f>
        <v/>
      </c>
      <c r="B289" s="355" t="str">
        <f>IF(C289="","",VLOOKUP('OPĆI DIO'!$C$3,'OPĆI DIO'!$L$6:$U$138,9,FALSE))</f>
        <v/>
      </c>
      <c r="C289" s="356"/>
      <c r="D289" s="357" t="str">
        <f t="shared" si="123"/>
        <v/>
      </c>
      <c r="E289" s="356"/>
      <c r="F289" s="357" t="str">
        <f t="shared" si="124"/>
        <v/>
      </c>
      <c r="G289" s="358"/>
      <c r="H289" s="357" t="str">
        <f t="shared" si="125"/>
        <v/>
      </c>
      <c r="I289" s="357" t="str">
        <f t="shared" si="126"/>
        <v/>
      </c>
      <c r="J289" s="359"/>
      <c r="K289" s="359"/>
      <c r="L289" s="359"/>
      <c r="M289" s="81"/>
      <c r="O289" s="73" t="str">
        <f t="shared" si="127"/>
        <v/>
      </c>
      <c r="P289" s="73" t="str">
        <f t="shared" si="128"/>
        <v/>
      </c>
      <c r="Q289" s="73" t="str">
        <f t="shared" si="129"/>
        <v/>
      </c>
      <c r="R289" s="73" t="str">
        <f t="shared" si="130"/>
        <v/>
      </c>
      <c r="AB289" s="73" t="s">
        <v>1097</v>
      </c>
      <c r="AC289" s="73" t="s">
        <v>1098</v>
      </c>
      <c r="AD289" s="73" t="s">
        <v>5138</v>
      </c>
      <c r="AE289" s="73" t="s">
        <v>5139</v>
      </c>
      <c r="AF289" s="73" t="s">
        <v>5160</v>
      </c>
      <c r="AG289" s="73" t="s">
        <v>5170</v>
      </c>
    </row>
    <row r="290" spans="1:33" hidden="1">
      <c r="A290" s="355" t="str">
        <f>IF(C290="","",VLOOKUP('OPĆI DIO'!$C$3,'OPĆI DIO'!$L$6:$U$138,10,FALSE))</f>
        <v/>
      </c>
      <c r="B290" s="355" t="str">
        <f>IF(C290="","",VLOOKUP('OPĆI DIO'!$C$3,'OPĆI DIO'!$L$6:$U$138,9,FALSE))</f>
        <v/>
      </c>
      <c r="C290" s="356"/>
      <c r="D290" s="357" t="str">
        <f t="shared" si="123"/>
        <v/>
      </c>
      <c r="E290" s="356"/>
      <c r="F290" s="357" t="str">
        <f t="shared" si="124"/>
        <v/>
      </c>
      <c r="G290" s="358"/>
      <c r="H290" s="357" t="str">
        <f t="shared" si="125"/>
        <v/>
      </c>
      <c r="I290" s="357" t="str">
        <f t="shared" si="126"/>
        <v/>
      </c>
      <c r="J290" s="359"/>
      <c r="K290" s="359"/>
      <c r="L290" s="359"/>
      <c r="M290" s="81"/>
      <c r="O290" s="73" t="str">
        <f t="shared" si="127"/>
        <v/>
      </c>
      <c r="P290" s="73" t="str">
        <f t="shared" si="128"/>
        <v/>
      </c>
      <c r="Q290" s="73" t="str">
        <f t="shared" si="129"/>
        <v/>
      </c>
      <c r="R290" s="73" t="str">
        <f t="shared" si="130"/>
        <v/>
      </c>
      <c r="AB290" s="73" t="s">
        <v>1952</v>
      </c>
      <c r="AC290" s="73" t="s">
        <v>1953</v>
      </c>
      <c r="AD290" s="73" t="s">
        <v>5138</v>
      </c>
      <c r="AE290" s="73" t="s">
        <v>5139</v>
      </c>
      <c r="AF290" s="73" t="s">
        <v>5160</v>
      </c>
      <c r="AG290" s="73" t="s">
        <v>5170</v>
      </c>
    </row>
    <row r="291" spans="1:33" hidden="1">
      <c r="A291" s="355" t="str">
        <f>IF(C291="","",VLOOKUP('OPĆI DIO'!$C$3,'OPĆI DIO'!$L$6:$U$138,10,FALSE))</f>
        <v/>
      </c>
      <c r="B291" s="355" t="str">
        <f>IF(C291="","",VLOOKUP('OPĆI DIO'!$C$3,'OPĆI DIO'!$L$6:$U$138,9,FALSE))</f>
        <v/>
      </c>
      <c r="C291" s="356"/>
      <c r="D291" s="357" t="str">
        <f t="shared" si="123"/>
        <v/>
      </c>
      <c r="E291" s="356"/>
      <c r="F291" s="357" t="str">
        <f t="shared" si="124"/>
        <v/>
      </c>
      <c r="G291" s="358"/>
      <c r="H291" s="357" t="str">
        <f t="shared" si="125"/>
        <v/>
      </c>
      <c r="I291" s="357" t="str">
        <f t="shared" si="126"/>
        <v/>
      </c>
      <c r="J291" s="359"/>
      <c r="K291" s="359"/>
      <c r="L291" s="359"/>
      <c r="M291" s="81"/>
      <c r="O291" s="73" t="str">
        <f t="shared" si="127"/>
        <v/>
      </c>
      <c r="P291" s="73" t="str">
        <f t="shared" si="128"/>
        <v/>
      </c>
      <c r="Q291" s="73" t="str">
        <f t="shared" si="129"/>
        <v/>
      </c>
      <c r="R291" s="73" t="str">
        <f t="shared" si="130"/>
        <v/>
      </c>
      <c r="AB291" s="73" t="s">
        <v>1954</v>
      </c>
      <c r="AC291" s="73" t="s">
        <v>1955</v>
      </c>
      <c r="AD291" s="73" t="s">
        <v>5138</v>
      </c>
      <c r="AE291" s="73" t="s">
        <v>5139</v>
      </c>
      <c r="AF291" s="73" t="s">
        <v>5160</v>
      </c>
      <c r="AG291" s="73" t="s">
        <v>5170</v>
      </c>
    </row>
    <row r="292" spans="1:33" hidden="1">
      <c r="A292" s="355" t="str">
        <f>IF(C292="","",VLOOKUP('OPĆI DIO'!$C$3,'OPĆI DIO'!$L$6:$U$138,10,FALSE))</f>
        <v/>
      </c>
      <c r="B292" s="355" t="str">
        <f>IF(C292="","",VLOOKUP('OPĆI DIO'!$C$3,'OPĆI DIO'!$L$6:$U$138,9,FALSE))</f>
        <v/>
      </c>
      <c r="C292" s="356"/>
      <c r="D292" s="357" t="str">
        <f t="shared" si="123"/>
        <v/>
      </c>
      <c r="E292" s="356"/>
      <c r="F292" s="357" t="str">
        <f t="shared" si="124"/>
        <v/>
      </c>
      <c r="G292" s="358"/>
      <c r="H292" s="357" t="str">
        <f t="shared" si="125"/>
        <v/>
      </c>
      <c r="I292" s="357" t="str">
        <f t="shared" si="126"/>
        <v/>
      </c>
      <c r="J292" s="359"/>
      <c r="K292" s="359"/>
      <c r="L292" s="359"/>
      <c r="M292" s="81"/>
      <c r="O292" s="73" t="str">
        <f t="shared" si="127"/>
        <v/>
      </c>
      <c r="P292" s="73" t="str">
        <f t="shared" si="128"/>
        <v/>
      </c>
      <c r="Q292" s="73" t="str">
        <f t="shared" si="129"/>
        <v/>
      </c>
      <c r="R292" s="73" t="str">
        <f t="shared" si="130"/>
        <v/>
      </c>
      <c r="AB292" s="73" t="s">
        <v>1956</v>
      </c>
      <c r="AC292" s="73" t="s">
        <v>1957</v>
      </c>
      <c r="AD292" s="73" t="s">
        <v>5138</v>
      </c>
      <c r="AE292" s="73" t="s">
        <v>5139</v>
      </c>
      <c r="AF292" s="73" t="s">
        <v>5160</v>
      </c>
      <c r="AG292" s="73" t="s">
        <v>5170</v>
      </c>
    </row>
    <row r="293" spans="1:33" hidden="1">
      <c r="A293" s="355" t="str">
        <f>IF(C293="","",VLOOKUP('OPĆI DIO'!$C$3,'OPĆI DIO'!$L$6:$U$138,10,FALSE))</f>
        <v/>
      </c>
      <c r="B293" s="355" t="str">
        <f>IF(C293="","",VLOOKUP('OPĆI DIO'!$C$3,'OPĆI DIO'!$L$6:$U$138,9,FALSE))</f>
        <v/>
      </c>
      <c r="C293" s="356"/>
      <c r="D293" s="357" t="str">
        <f t="shared" si="123"/>
        <v/>
      </c>
      <c r="E293" s="356"/>
      <c r="F293" s="357" t="str">
        <f t="shared" si="124"/>
        <v/>
      </c>
      <c r="G293" s="358"/>
      <c r="H293" s="357" t="str">
        <f t="shared" si="125"/>
        <v/>
      </c>
      <c r="I293" s="357" t="str">
        <f t="shared" si="126"/>
        <v/>
      </c>
      <c r="J293" s="359"/>
      <c r="K293" s="359"/>
      <c r="L293" s="359"/>
      <c r="M293" s="81"/>
      <c r="O293" s="73" t="str">
        <f t="shared" si="127"/>
        <v/>
      </c>
      <c r="P293" s="73" t="str">
        <f t="shared" si="128"/>
        <v/>
      </c>
      <c r="Q293" s="73" t="str">
        <f t="shared" si="129"/>
        <v/>
      </c>
      <c r="R293" s="73" t="str">
        <f t="shared" si="130"/>
        <v/>
      </c>
      <c r="AB293" s="73" t="s">
        <v>3501</v>
      </c>
      <c r="AC293" s="73" t="s">
        <v>3502</v>
      </c>
      <c r="AD293" s="73" t="s">
        <v>5138</v>
      </c>
      <c r="AE293" s="73" t="s">
        <v>5139</v>
      </c>
      <c r="AF293" s="73" t="s">
        <v>5160</v>
      </c>
      <c r="AG293" s="73" t="s">
        <v>5170</v>
      </c>
    </row>
    <row r="294" spans="1:33" hidden="1">
      <c r="A294" s="355" t="str">
        <f>IF(C294="","",VLOOKUP('OPĆI DIO'!$C$3,'OPĆI DIO'!$L$6:$U$138,10,FALSE))</f>
        <v/>
      </c>
      <c r="B294" s="355" t="str">
        <f>IF(C294="","",VLOOKUP('OPĆI DIO'!$C$3,'OPĆI DIO'!$L$6:$U$138,9,FALSE))</f>
        <v/>
      </c>
      <c r="C294" s="356"/>
      <c r="D294" s="357" t="str">
        <f t="shared" si="123"/>
        <v/>
      </c>
      <c r="E294" s="356"/>
      <c r="F294" s="357" t="str">
        <f t="shared" si="124"/>
        <v/>
      </c>
      <c r="G294" s="358"/>
      <c r="H294" s="357" t="str">
        <f t="shared" si="125"/>
        <v/>
      </c>
      <c r="I294" s="357" t="str">
        <f t="shared" si="126"/>
        <v/>
      </c>
      <c r="J294" s="359"/>
      <c r="K294" s="359"/>
      <c r="L294" s="359"/>
      <c r="M294" s="81"/>
      <c r="O294" s="73" t="str">
        <f t="shared" si="127"/>
        <v/>
      </c>
      <c r="P294" s="73" t="str">
        <f t="shared" si="128"/>
        <v/>
      </c>
      <c r="Q294" s="73" t="str">
        <f t="shared" si="129"/>
        <v/>
      </c>
      <c r="R294" s="73" t="str">
        <f t="shared" si="130"/>
        <v/>
      </c>
      <c r="AB294" s="73" t="s">
        <v>3503</v>
      </c>
      <c r="AC294" s="73" t="s">
        <v>3504</v>
      </c>
      <c r="AD294" s="73" t="s">
        <v>5138</v>
      </c>
      <c r="AE294" s="73" t="s">
        <v>5139</v>
      </c>
      <c r="AF294" s="73" t="s">
        <v>5160</v>
      </c>
      <c r="AG294" s="73" t="s">
        <v>5170</v>
      </c>
    </row>
    <row r="295" spans="1:33" hidden="1">
      <c r="A295" s="355" t="str">
        <f>IF(C295="","",VLOOKUP('OPĆI DIO'!$C$3,'OPĆI DIO'!$L$6:$U$138,10,FALSE))</f>
        <v/>
      </c>
      <c r="B295" s="355" t="str">
        <f>IF(C295="","",VLOOKUP('OPĆI DIO'!$C$3,'OPĆI DIO'!$L$6:$U$138,9,FALSE))</f>
        <v/>
      </c>
      <c r="C295" s="356"/>
      <c r="D295" s="357" t="str">
        <f t="shared" si="123"/>
        <v/>
      </c>
      <c r="E295" s="356"/>
      <c r="F295" s="357" t="str">
        <f t="shared" si="124"/>
        <v/>
      </c>
      <c r="G295" s="358"/>
      <c r="H295" s="357" t="str">
        <f t="shared" si="125"/>
        <v/>
      </c>
      <c r="I295" s="357" t="str">
        <f t="shared" si="126"/>
        <v/>
      </c>
      <c r="J295" s="359"/>
      <c r="K295" s="359"/>
      <c r="L295" s="359"/>
      <c r="M295" s="81"/>
      <c r="O295" s="73" t="str">
        <f t="shared" si="127"/>
        <v/>
      </c>
      <c r="P295" s="73" t="str">
        <f t="shared" si="128"/>
        <v/>
      </c>
      <c r="Q295" s="73" t="str">
        <f t="shared" si="129"/>
        <v/>
      </c>
      <c r="R295" s="73" t="str">
        <f t="shared" si="130"/>
        <v/>
      </c>
      <c r="AB295" s="73" t="s">
        <v>1101</v>
      </c>
      <c r="AC295" s="73" t="s">
        <v>1102</v>
      </c>
      <c r="AD295" s="73" t="s">
        <v>5154</v>
      </c>
      <c r="AE295" s="73" t="s">
        <v>5155</v>
      </c>
      <c r="AF295" s="73" t="s">
        <v>5160</v>
      </c>
      <c r="AG295" s="73" t="s">
        <v>5172</v>
      </c>
    </row>
    <row r="296" spans="1:33" hidden="1">
      <c r="A296" s="355" t="str">
        <f>IF(C296="","",VLOOKUP('OPĆI DIO'!$C$3,'OPĆI DIO'!$L$6:$U$138,10,FALSE))</f>
        <v/>
      </c>
      <c r="B296" s="355" t="str">
        <f>IF(C296="","",VLOOKUP('OPĆI DIO'!$C$3,'OPĆI DIO'!$L$6:$U$138,9,FALSE))</f>
        <v/>
      </c>
      <c r="C296" s="356"/>
      <c r="D296" s="357" t="str">
        <f t="shared" si="123"/>
        <v/>
      </c>
      <c r="E296" s="356"/>
      <c r="F296" s="357" t="str">
        <f t="shared" si="124"/>
        <v/>
      </c>
      <c r="G296" s="358"/>
      <c r="H296" s="357" t="str">
        <f t="shared" si="125"/>
        <v/>
      </c>
      <c r="I296" s="357" t="str">
        <f t="shared" si="126"/>
        <v/>
      </c>
      <c r="J296" s="359"/>
      <c r="K296" s="359"/>
      <c r="L296" s="359"/>
      <c r="M296" s="81"/>
      <c r="O296" s="73" t="str">
        <f t="shared" si="127"/>
        <v/>
      </c>
      <c r="P296" s="73" t="str">
        <f t="shared" si="128"/>
        <v/>
      </c>
      <c r="Q296" s="73" t="str">
        <f t="shared" si="129"/>
        <v/>
      </c>
      <c r="R296" s="73" t="str">
        <f t="shared" si="130"/>
        <v/>
      </c>
      <c r="AB296" s="73" t="s">
        <v>1101</v>
      </c>
      <c r="AC296" s="73" t="s">
        <v>1102</v>
      </c>
      <c r="AD296" s="73" t="s">
        <v>5138</v>
      </c>
      <c r="AE296" s="73" t="s">
        <v>5139</v>
      </c>
      <c r="AF296" s="73" t="s">
        <v>5160</v>
      </c>
      <c r="AG296" s="73" t="s">
        <v>5170</v>
      </c>
    </row>
    <row r="297" spans="1:33" hidden="1">
      <c r="A297" s="355" t="str">
        <f>IF(C297="","",VLOOKUP('OPĆI DIO'!$C$3,'OPĆI DIO'!$L$6:$U$138,10,FALSE))</f>
        <v/>
      </c>
      <c r="B297" s="355" t="str">
        <f>IF(C297="","",VLOOKUP('OPĆI DIO'!$C$3,'OPĆI DIO'!$L$6:$U$138,9,FALSE))</f>
        <v/>
      </c>
      <c r="C297" s="356"/>
      <c r="D297" s="357" t="str">
        <f t="shared" si="123"/>
        <v/>
      </c>
      <c r="E297" s="356"/>
      <c r="F297" s="357" t="str">
        <f t="shared" si="124"/>
        <v/>
      </c>
      <c r="G297" s="358"/>
      <c r="H297" s="357" t="str">
        <f t="shared" si="125"/>
        <v/>
      </c>
      <c r="I297" s="357" t="str">
        <f t="shared" si="126"/>
        <v/>
      </c>
      <c r="J297" s="359"/>
      <c r="K297" s="359"/>
      <c r="L297" s="359"/>
      <c r="M297" s="81"/>
      <c r="O297" s="73" t="str">
        <f t="shared" si="127"/>
        <v/>
      </c>
      <c r="P297" s="73" t="str">
        <f t="shared" si="128"/>
        <v/>
      </c>
      <c r="Q297" s="73" t="str">
        <f t="shared" si="129"/>
        <v/>
      </c>
      <c r="R297" s="73" t="str">
        <f t="shared" si="130"/>
        <v/>
      </c>
      <c r="AB297" s="73" t="s">
        <v>1103</v>
      </c>
      <c r="AC297" s="73" t="s">
        <v>1104</v>
      </c>
      <c r="AD297" s="73" t="s">
        <v>5138</v>
      </c>
      <c r="AE297" s="73" t="s">
        <v>5139</v>
      </c>
      <c r="AF297" s="73" t="s">
        <v>5160</v>
      </c>
      <c r="AG297" s="73" t="s">
        <v>5170</v>
      </c>
    </row>
    <row r="298" spans="1:33" hidden="1">
      <c r="A298" s="355" t="str">
        <f>IF(C298="","",VLOOKUP('OPĆI DIO'!$C$3,'OPĆI DIO'!$L$6:$U$138,10,FALSE))</f>
        <v/>
      </c>
      <c r="B298" s="355" t="str">
        <f>IF(C298="","",VLOOKUP('OPĆI DIO'!$C$3,'OPĆI DIO'!$L$6:$U$138,9,FALSE))</f>
        <v/>
      </c>
      <c r="C298" s="356"/>
      <c r="D298" s="357" t="str">
        <f t="shared" si="123"/>
        <v/>
      </c>
      <c r="E298" s="356"/>
      <c r="F298" s="357" t="str">
        <f t="shared" si="124"/>
        <v/>
      </c>
      <c r="G298" s="358"/>
      <c r="H298" s="357" t="str">
        <f t="shared" si="125"/>
        <v/>
      </c>
      <c r="I298" s="357" t="str">
        <f t="shared" si="126"/>
        <v/>
      </c>
      <c r="J298" s="359"/>
      <c r="K298" s="359"/>
      <c r="L298" s="359"/>
      <c r="M298" s="81"/>
      <c r="O298" s="73" t="str">
        <f t="shared" si="127"/>
        <v/>
      </c>
      <c r="P298" s="73" t="str">
        <f t="shared" si="128"/>
        <v/>
      </c>
      <c r="Q298" s="73" t="str">
        <f t="shared" si="129"/>
        <v/>
      </c>
      <c r="R298" s="73" t="str">
        <f t="shared" si="130"/>
        <v/>
      </c>
      <c r="AB298" s="73" t="s">
        <v>1105</v>
      </c>
      <c r="AC298" s="73" t="s">
        <v>1106</v>
      </c>
      <c r="AD298" s="73" t="s">
        <v>5138</v>
      </c>
      <c r="AE298" s="73" t="s">
        <v>5139</v>
      </c>
      <c r="AF298" s="73" t="s">
        <v>5160</v>
      </c>
      <c r="AG298" s="73" t="s">
        <v>5170</v>
      </c>
    </row>
    <row r="299" spans="1:33" hidden="1">
      <c r="A299" s="355" t="str">
        <f>IF(C299="","",VLOOKUP('OPĆI DIO'!$C$3,'OPĆI DIO'!$L$6:$U$138,10,FALSE))</f>
        <v/>
      </c>
      <c r="B299" s="355" t="str">
        <f>IF(C299="","",VLOOKUP('OPĆI DIO'!$C$3,'OPĆI DIO'!$L$6:$U$138,9,FALSE))</f>
        <v/>
      </c>
      <c r="C299" s="356"/>
      <c r="D299" s="357" t="str">
        <f t="shared" si="123"/>
        <v/>
      </c>
      <c r="E299" s="356"/>
      <c r="F299" s="357" t="str">
        <f t="shared" si="124"/>
        <v/>
      </c>
      <c r="G299" s="358"/>
      <c r="H299" s="357" t="str">
        <f t="shared" si="125"/>
        <v/>
      </c>
      <c r="I299" s="357" t="str">
        <f t="shared" si="126"/>
        <v/>
      </c>
      <c r="J299" s="359"/>
      <c r="K299" s="359"/>
      <c r="L299" s="359"/>
      <c r="M299" s="81"/>
      <c r="O299" s="73" t="str">
        <f t="shared" si="127"/>
        <v/>
      </c>
      <c r="P299" s="73" t="str">
        <f t="shared" si="128"/>
        <v/>
      </c>
      <c r="Q299" s="73" t="str">
        <f t="shared" si="129"/>
        <v/>
      </c>
      <c r="R299" s="73" t="str">
        <f t="shared" si="130"/>
        <v/>
      </c>
      <c r="AB299" s="73" t="s">
        <v>1107</v>
      </c>
      <c r="AC299" s="73" t="s">
        <v>1108</v>
      </c>
      <c r="AD299" s="73" t="s">
        <v>5138</v>
      </c>
      <c r="AE299" s="73" t="s">
        <v>5139</v>
      </c>
      <c r="AF299" s="73" t="s">
        <v>5160</v>
      </c>
      <c r="AG299" s="73" t="s">
        <v>5170</v>
      </c>
    </row>
    <row r="300" spans="1:33" hidden="1">
      <c r="A300" s="355" t="str">
        <f>IF(C300="","",VLOOKUP('OPĆI DIO'!$C$3,'OPĆI DIO'!$L$6:$U$138,10,FALSE))</f>
        <v/>
      </c>
      <c r="B300" s="355" t="str">
        <f>IF(C300="","",VLOOKUP('OPĆI DIO'!$C$3,'OPĆI DIO'!$L$6:$U$138,9,FALSE))</f>
        <v/>
      </c>
      <c r="C300" s="356"/>
      <c r="D300" s="357" t="str">
        <f t="shared" si="123"/>
        <v/>
      </c>
      <c r="E300" s="356"/>
      <c r="F300" s="357" t="str">
        <f t="shared" si="124"/>
        <v/>
      </c>
      <c r="G300" s="358"/>
      <c r="H300" s="357" t="str">
        <f t="shared" si="125"/>
        <v/>
      </c>
      <c r="I300" s="357" t="str">
        <f t="shared" si="126"/>
        <v/>
      </c>
      <c r="J300" s="359"/>
      <c r="K300" s="359"/>
      <c r="L300" s="359"/>
      <c r="M300" s="81"/>
      <c r="O300" s="73" t="str">
        <f t="shared" si="127"/>
        <v/>
      </c>
      <c r="P300" s="73" t="str">
        <f t="shared" si="128"/>
        <v/>
      </c>
      <c r="Q300" s="73" t="str">
        <f t="shared" si="129"/>
        <v/>
      </c>
      <c r="R300" s="73" t="str">
        <f t="shared" si="130"/>
        <v/>
      </c>
      <c r="AB300" s="73" t="s">
        <v>1109</v>
      </c>
      <c r="AC300" s="73" t="s">
        <v>1110</v>
      </c>
      <c r="AD300" s="73" t="s">
        <v>5138</v>
      </c>
      <c r="AE300" s="73" t="s">
        <v>5139</v>
      </c>
      <c r="AF300" s="73" t="s">
        <v>5160</v>
      </c>
      <c r="AG300" s="73" t="s">
        <v>5170</v>
      </c>
    </row>
    <row r="301" spans="1:33" hidden="1">
      <c r="A301" s="355" t="str">
        <f>IF(C301="","",VLOOKUP('OPĆI DIO'!$C$3,'OPĆI DIO'!$L$6:$U$138,10,FALSE))</f>
        <v/>
      </c>
      <c r="B301" s="355" t="str">
        <f>IF(C301="","",VLOOKUP('OPĆI DIO'!$C$3,'OPĆI DIO'!$L$6:$U$138,9,FALSE))</f>
        <v/>
      </c>
      <c r="C301" s="356"/>
      <c r="D301" s="357" t="str">
        <f t="shared" si="123"/>
        <v/>
      </c>
      <c r="E301" s="356"/>
      <c r="F301" s="357" t="str">
        <f t="shared" si="124"/>
        <v/>
      </c>
      <c r="G301" s="358"/>
      <c r="H301" s="357" t="str">
        <f t="shared" si="125"/>
        <v/>
      </c>
      <c r="I301" s="357" t="str">
        <f t="shared" si="126"/>
        <v/>
      </c>
      <c r="J301" s="359"/>
      <c r="K301" s="359"/>
      <c r="L301" s="359"/>
      <c r="M301" s="81"/>
      <c r="O301" s="73" t="str">
        <f t="shared" si="127"/>
        <v/>
      </c>
      <c r="P301" s="73" t="str">
        <f t="shared" si="128"/>
        <v/>
      </c>
      <c r="Q301" s="73" t="str">
        <f t="shared" si="129"/>
        <v/>
      </c>
      <c r="R301" s="73" t="str">
        <f t="shared" si="130"/>
        <v/>
      </c>
      <c r="AB301" s="73" t="s">
        <v>1111</v>
      </c>
      <c r="AC301" s="73" t="s">
        <v>1112</v>
      </c>
      <c r="AD301" s="73" t="s">
        <v>5138</v>
      </c>
      <c r="AE301" s="73" t="s">
        <v>5139</v>
      </c>
      <c r="AF301" s="73" t="s">
        <v>5160</v>
      </c>
      <c r="AG301" s="73" t="s">
        <v>5170</v>
      </c>
    </row>
    <row r="302" spans="1:33" hidden="1">
      <c r="A302" s="355" t="str">
        <f>IF(C302="","",VLOOKUP('OPĆI DIO'!$C$3,'OPĆI DIO'!$L$6:$U$138,10,FALSE))</f>
        <v/>
      </c>
      <c r="B302" s="355" t="str">
        <f>IF(C302="","",VLOOKUP('OPĆI DIO'!$C$3,'OPĆI DIO'!$L$6:$U$138,9,FALSE))</f>
        <v/>
      </c>
      <c r="C302" s="356"/>
      <c r="D302" s="357" t="str">
        <f t="shared" si="123"/>
        <v/>
      </c>
      <c r="E302" s="356"/>
      <c r="F302" s="357" t="str">
        <f t="shared" si="124"/>
        <v/>
      </c>
      <c r="G302" s="358"/>
      <c r="H302" s="357" t="str">
        <f t="shared" si="125"/>
        <v/>
      </c>
      <c r="I302" s="357" t="str">
        <f t="shared" si="126"/>
        <v/>
      </c>
      <c r="J302" s="359"/>
      <c r="K302" s="359"/>
      <c r="L302" s="359"/>
      <c r="M302" s="81"/>
      <c r="O302" s="73" t="str">
        <f t="shared" si="127"/>
        <v/>
      </c>
      <c r="P302" s="73" t="str">
        <f t="shared" si="128"/>
        <v/>
      </c>
      <c r="Q302" s="73" t="str">
        <f t="shared" si="129"/>
        <v/>
      </c>
      <c r="R302" s="73" t="str">
        <f t="shared" si="130"/>
        <v/>
      </c>
      <c r="AB302" s="73" t="s">
        <v>1113</v>
      </c>
      <c r="AC302" s="73" t="s">
        <v>1114</v>
      </c>
      <c r="AD302" s="73" t="s">
        <v>5138</v>
      </c>
      <c r="AE302" s="73" t="s">
        <v>5139</v>
      </c>
      <c r="AF302" s="73" t="s">
        <v>5160</v>
      </c>
      <c r="AG302" s="73" t="s">
        <v>5170</v>
      </c>
    </row>
    <row r="303" spans="1:33" hidden="1">
      <c r="A303" s="355" t="str">
        <f>IF(C303="","",VLOOKUP('OPĆI DIO'!$C$3,'OPĆI DIO'!$L$6:$U$138,10,FALSE))</f>
        <v/>
      </c>
      <c r="B303" s="355" t="str">
        <f>IF(C303="","",VLOOKUP('OPĆI DIO'!$C$3,'OPĆI DIO'!$L$6:$U$138,9,FALSE))</f>
        <v/>
      </c>
      <c r="C303" s="356"/>
      <c r="D303" s="357" t="str">
        <f t="shared" si="123"/>
        <v/>
      </c>
      <c r="E303" s="356"/>
      <c r="F303" s="357" t="str">
        <f t="shared" si="124"/>
        <v/>
      </c>
      <c r="G303" s="358"/>
      <c r="H303" s="357" t="str">
        <f t="shared" si="125"/>
        <v/>
      </c>
      <c r="I303" s="357" t="str">
        <f t="shared" si="126"/>
        <v/>
      </c>
      <c r="J303" s="359"/>
      <c r="K303" s="359"/>
      <c r="L303" s="359"/>
      <c r="M303" s="81"/>
      <c r="O303" s="73" t="str">
        <f t="shared" si="127"/>
        <v/>
      </c>
      <c r="P303" s="73" t="str">
        <f t="shared" si="128"/>
        <v/>
      </c>
      <c r="Q303" s="73" t="str">
        <f t="shared" si="129"/>
        <v/>
      </c>
      <c r="R303" s="73" t="str">
        <f t="shared" si="130"/>
        <v/>
      </c>
      <c r="AB303" s="73" t="s">
        <v>1115</v>
      </c>
      <c r="AC303" s="73" t="s">
        <v>1116</v>
      </c>
      <c r="AD303" s="73" t="s">
        <v>5138</v>
      </c>
      <c r="AE303" s="73" t="s">
        <v>5139</v>
      </c>
      <c r="AF303" s="73" t="s">
        <v>5160</v>
      </c>
      <c r="AG303" s="73" t="s">
        <v>5170</v>
      </c>
    </row>
    <row r="304" spans="1:33" hidden="1">
      <c r="A304" s="355" t="str">
        <f>IF(C304="","",VLOOKUP('OPĆI DIO'!$C$3,'OPĆI DIO'!$L$6:$U$138,10,FALSE))</f>
        <v/>
      </c>
      <c r="B304" s="355" t="str">
        <f>IF(C304="","",VLOOKUP('OPĆI DIO'!$C$3,'OPĆI DIO'!$L$6:$U$138,9,FALSE))</f>
        <v/>
      </c>
      <c r="C304" s="356"/>
      <c r="D304" s="357" t="str">
        <f t="shared" si="123"/>
        <v/>
      </c>
      <c r="E304" s="356"/>
      <c r="F304" s="357" t="str">
        <f t="shared" si="124"/>
        <v/>
      </c>
      <c r="G304" s="358"/>
      <c r="H304" s="357" t="str">
        <f t="shared" si="125"/>
        <v/>
      </c>
      <c r="I304" s="357" t="str">
        <f t="shared" si="126"/>
        <v/>
      </c>
      <c r="J304" s="359"/>
      <c r="K304" s="359"/>
      <c r="L304" s="359"/>
      <c r="M304" s="81"/>
      <c r="O304" s="73" t="str">
        <f t="shared" si="127"/>
        <v/>
      </c>
      <c r="P304" s="73" t="str">
        <f t="shared" si="128"/>
        <v/>
      </c>
      <c r="Q304" s="73" t="str">
        <f t="shared" si="129"/>
        <v/>
      </c>
      <c r="R304" s="73" t="str">
        <f t="shared" si="130"/>
        <v/>
      </c>
      <c r="AB304" s="73" t="s">
        <v>1117</v>
      </c>
      <c r="AC304" s="73" t="s">
        <v>1118</v>
      </c>
      <c r="AD304" s="73" t="s">
        <v>5154</v>
      </c>
      <c r="AE304" s="73" t="s">
        <v>5155</v>
      </c>
      <c r="AF304" s="73" t="s">
        <v>5160</v>
      </c>
      <c r="AG304" s="73" t="s">
        <v>5172</v>
      </c>
    </row>
    <row r="305" spans="1:33" hidden="1">
      <c r="A305" s="355" t="str">
        <f>IF(C305="","",VLOOKUP('OPĆI DIO'!$C$3,'OPĆI DIO'!$L$6:$U$138,10,FALSE))</f>
        <v/>
      </c>
      <c r="B305" s="355" t="str">
        <f>IF(C305="","",VLOOKUP('OPĆI DIO'!$C$3,'OPĆI DIO'!$L$6:$U$138,9,FALSE))</f>
        <v/>
      </c>
      <c r="C305" s="356"/>
      <c r="D305" s="357" t="str">
        <f t="shared" si="123"/>
        <v/>
      </c>
      <c r="E305" s="356"/>
      <c r="F305" s="357" t="str">
        <f t="shared" si="124"/>
        <v/>
      </c>
      <c r="G305" s="358"/>
      <c r="H305" s="357" t="str">
        <f t="shared" si="125"/>
        <v/>
      </c>
      <c r="I305" s="357" t="str">
        <f t="shared" si="126"/>
        <v/>
      </c>
      <c r="J305" s="359"/>
      <c r="K305" s="359"/>
      <c r="L305" s="359"/>
      <c r="M305" s="81"/>
      <c r="O305" s="73" t="str">
        <f t="shared" si="127"/>
        <v/>
      </c>
      <c r="P305" s="73" t="str">
        <f t="shared" si="128"/>
        <v/>
      </c>
      <c r="Q305" s="73" t="str">
        <f t="shared" si="129"/>
        <v/>
      </c>
      <c r="R305" s="73" t="str">
        <f t="shared" si="130"/>
        <v/>
      </c>
      <c r="AB305" s="73" t="s">
        <v>1117</v>
      </c>
      <c r="AC305" s="73" t="s">
        <v>1118</v>
      </c>
      <c r="AD305" s="73" t="s">
        <v>5138</v>
      </c>
      <c r="AE305" s="73" t="s">
        <v>5139</v>
      </c>
      <c r="AF305" s="73" t="s">
        <v>5160</v>
      </c>
      <c r="AG305" s="73" t="s">
        <v>5170</v>
      </c>
    </row>
    <row r="306" spans="1:33" hidden="1">
      <c r="A306" s="355" t="str">
        <f>IF(C306="","",VLOOKUP('OPĆI DIO'!$C$3,'OPĆI DIO'!$L$6:$U$138,10,FALSE))</f>
        <v/>
      </c>
      <c r="B306" s="355" t="str">
        <f>IF(C306="","",VLOOKUP('OPĆI DIO'!$C$3,'OPĆI DIO'!$L$6:$U$138,9,FALSE))</f>
        <v/>
      </c>
      <c r="C306" s="356"/>
      <c r="D306" s="357" t="str">
        <f t="shared" si="123"/>
        <v/>
      </c>
      <c r="E306" s="356"/>
      <c r="F306" s="357" t="str">
        <f t="shared" si="124"/>
        <v/>
      </c>
      <c r="G306" s="358"/>
      <c r="H306" s="357" t="str">
        <f t="shared" si="125"/>
        <v/>
      </c>
      <c r="I306" s="357" t="str">
        <f t="shared" si="126"/>
        <v/>
      </c>
      <c r="J306" s="359"/>
      <c r="K306" s="359"/>
      <c r="L306" s="359"/>
      <c r="M306" s="81"/>
      <c r="O306" s="73" t="str">
        <f t="shared" si="127"/>
        <v/>
      </c>
      <c r="P306" s="73" t="str">
        <f t="shared" si="128"/>
        <v/>
      </c>
      <c r="Q306" s="73" t="str">
        <f t="shared" si="129"/>
        <v/>
      </c>
      <c r="R306" s="73" t="str">
        <f t="shared" si="130"/>
        <v/>
      </c>
      <c r="AB306" s="73" t="s">
        <v>1119</v>
      </c>
      <c r="AC306" s="73" t="s">
        <v>1120</v>
      </c>
      <c r="AD306" s="73" t="s">
        <v>5138</v>
      </c>
      <c r="AE306" s="73" t="s">
        <v>5139</v>
      </c>
      <c r="AF306" s="73" t="s">
        <v>5160</v>
      </c>
      <c r="AG306" s="73" t="s">
        <v>5170</v>
      </c>
    </row>
    <row r="307" spans="1:33" hidden="1">
      <c r="A307" s="355" t="str">
        <f>IF(C307="","",VLOOKUP('OPĆI DIO'!$C$3,'OPĆI DIO'!$L$6:$U$138,10,FALSE))</f>
        <v/>
      </c>
      <c r="B307" s="355" t="str">
        <f>IF(C307="","",VLOOKUP('OPĆI DIO'!$C$3,'OPĆI DIO'!$L$6:$U$138,9,FALSE))</f>
        <v/>
      </c>
      <c r="C307" s="356"/>
      <c r="D307" s="357" t="str">
        <f t="shared" si="123"/>
        <v/>
      </c>
      <c r="E307" s="356"/>
      <c r="F307" s="357" t="str">
        <f t="shared" si="124"/>
        <v/>
      </c>
      <c r="G307" s="358"/>
      <c r="H307" s="357" t="str">
        <f t="shared" si="125"/>
        <v/>
      </c>
      <c r="I307" s="357" t="str">
        <f t="shared" si="126"/>
        <v/>
      </c>
      <c r="J307" s="359"/>
      <c r="K307" s="359"/>
      <c r="L307" s="359"/>
      <c r="M307" s="81"/>
      <c r="O307" s="73" t="str">
        <f t="shared" si="127"/>
        <v/>
      </c>
      <c r="P307" s="73" t="str">
        <f t="shared" si="128"/>
        <v/>
      </c>
      <c r="Q307" s="73" t="str">
        <f t="shared" si="129"/>
        <v/>
      </c>
      <c r="R307" s="73" t="str">
        <f t="shared" si="130"/>
        <v/>
      </c>
      <c r="AB307" s="73" t="s">
        <v>1121</v>
      </c>
      <c r="AC307" s="73" t="s">
        <v>1122</v>
      </c>
      <c r="AD307" s="73" t="s">
        <v>5138</v>
      </c>
      <c r="AE307" s="73" t="s">
        <v>5139</v>
      </c>
      <c r="AF307" s="73" t="s">
        <v>5160</v>
      </c>
      <c r="AG307" s="73" t="s">
        <v>5170</v>
      </c>
    </row>
    <row r="308" spans="1:33" hidden="1">
      <c r="A308" s="355" t="str">
        <f>IF(C308="","",VLOOKUP('OPĆI DIO'!$C$3,'OPĆI DIO'!$L$6:$U$138,10,FALSE))</f>
        <v/>
      </c>
      <c r="B308" s="355" t="str">
        <f>IF(C308="","",VLOOKUP('OPĆI DIO'!$C$3,'OPĆI DIO'!$L$6:$U$138,9,FALSE))</f>
        <v/>
      </c>
      <c r="C308" s="356"/>
      <c r="D308" s="357" t="str">
        <f t="shared" si="123"/>
        <v/>
      </c>
      <c r="E308" s="356"/>
      <c r="F308" s="357" t="str">
        <f t="shared" si="124"/>
        <v/>
      </c>
      <c r="G308" s="358"/>
      <c r="H308" s="357" t="str">
        <f t="shared" si="125"/>
        <v/>
      </c>
      <c r="I308" s="357" t="str">
        <f t="shared" si="126"/>
        <v/>
      </c>
      <c r="J308" s="359"/>
      <c r="K308" s="359"/>
      <c r="L308" s="359"/>
      <c r="M308" s="81"/>
      <c r="O308" s="73" t="str">
        <f t="shared" si="127"/>
        <v/>
      </c>
      <c r="P308" s="73" t="str">
        <f t="shared" si="128"/>
        <v/>
      </c>
      <c r="Q308" s="73" t="str">
        <f t="shared" si="129"/>
        <v/>
      </c>
      <c r="R308" s="73" t="str">
        <f t="shared" si="130"/>
        <v/>
      </c>
      <c r="AB308" s="73" t="s">
        <v>1958</v>
      </c>
      <c r="AC308" s="73" t="s">
        <v>1959</v>
      </c>
      <c r="AD308" s="73" t="s">
        <v>5138</v>
      </c>
      <c r="AE308" s="73" t="s">
        <v>5139</v>
      </c>
      <c r="AF308" s="73" t="s">
        <v>5160</v>
      </c>
      <c r="AG308" s="73" t="s">
        <v>5170</v>
      </c>
    </row>
    <row r="309" spans="1:33" hidden="1">
      <c r="A309" s="355" t="str">
        <f>IF(C309="","",VLOOKUP('OPĆI DIO'!$C$3,'OPĆI DIO'!$L$6:$U$138,10,FALSE))</f>
        <v/>
      </c>
      <c r="B309" s="355" t="str">
        <f>IF(C309="","",VLOOKUP('OPĆI DIO'!$C$3,'OPĆI DIO'!$L$6:$U$138,9,FALSE))</f>
        <v/>
      </c>
      <c r="C309" s="356"/>
      <c r="D309" s="357" t="str">
        <f t="shared" si="123"/>
        <v/>
      </c>
      <c r="E309" s="356"/>
      <c r="F309" s="357" t="str">
        <f t="shared" si="124"/>
        <v/>
      </c>
      <c r="G309" s="358"/>
      <c r="H309" s="357" t="str">
        <f t="shared" si="125"/>
        <v/>
      </c>
      <c r="I309" s="357" t="str">
        <f t="shared" si="126"/>
        <v/>
      </c>
      <c r="J309" s="359"/>
      <c r="K309" s="359"/>
      <c r="L309" s="359"/>
      <c r="M309" s="81"/>
      <c r="O309" s="73" t="str">
        <f t="shared" si="127"/>
        <v/>
      </c>
      <c r="P309" s="73" t="str">
        <f t="shared" si="128"/>
        <v/>
      </c>
      <c r="Q309" s="73" t="str">
        <f t="shared" si="129"/>
        <v/>
      </c>
      <c r="R309" s="73" t="str">
        <f t="shared" si="130"/>
        <v/>
      </c>
      <c r="AB309" s="73" t="s">
        <v>1960</v>
      </c>
      <c r="AC309" s="73" t="s">
        <v>1961</v>
      </c>
      <c r="AD309" s="73" t="s">
        <v>5138</v>
      </c>
      <c r="AE309" s="73" t="s">
        <v>5139</v>
      </c>
      <c r="AF309" s="73" t="s">
        <v>5160</v>
      </c>
      <c r="AG309" s="73" t="s">
        <v>5170</v>
      </c>
    </row>
    <row r="310" spans="1:33" hidden="1">
      <c r="A310" s="355" t="str">
        <f>IF(C310="","",VLOOKUP('OPĆI DIO'!$C$3,'OPĆI DIO'!$L$6:$U$138,10,FALSE))</f>
        <v/>
      </c>
      <c r="B310" s="355" t="str">
        <f>IF(C310="","",VLOOKUP('OPĆI DIO'!$C$3,'OPĆI DIO'!$L$6:$U$138,9,FALSE))</f>
        <v/>
      </c>
      <c r="C310" s="356"/>
      <c r="D310" s="357" t="str">
        <f t="shared" si="123"/>
        <v/>
      </c>
      <c r="E310" s="356"/>
      <c r="F310" s="357" t="str">
        <f t="shared" si="124"/>
        <v/>
      </c>
      <c r="G310" s="358"/>
      <c r="H310" s="357" t="str">
        <f t="shared" si="125"/>
        <v/>
      </c>
      <c r="I310" s="357" t="str">
        <f t="shared" si="126"/>
        <v/>
      </c>
      <c r="J310" s="359"/>
      <c r="K310" s="359"/>
      <c r="L310" s="359"/>
      <c r="M310" s="81"/>
      <c r="O310" s="73" t="str">
        <f t="shared" si="127"/>
        <v/>
      </c>
      <c r="P310" s="73" t="str">
        <f t="shared" si="128"/>
        <v/>
      </c>
      <c r="Q310" s="73" t="str">
        <f t="shared" si="129"/>
        <v/>
      </c>
      <c r="R310" s="73" t="str">
        <f t="shared" si="130"/>
        <v/>
      </c>
      <c r="AB310" s="73" t="s">
        <v>1962</v>
      </c>
      <c r="AC310" s="73" t="s">
        <v>1963</v>
      </c>
      <c r="AD310" s="73" t="s">
        <v>5138</v>
      </c>
      <c r="AE310" s="73" t="s">
        <v>5139</v>
      </c>
      <c r="AF310" s="73" t="s">
        <v>5160</v>
      </c>
      <c r="AG310" s="73" t="s">
        <v>5170</v>
      </c>
    </row>
    <row r="311" spans="1:33" hidden="1">
      <c r="A311" s="355" t="str">
        <f>IF(C311="","",VLOOKUP('OPĆI DIO'!$C$3,'OPĆI DIO'!$L$6:$U$138,10,FALSE))</f>
        <v/>
      </c>
      <c r="B311" s="355" t="str">
        <f>IF(C311="","",VLOOKUP('OPĆI DIO'!$C$3,'OPĆI DIO'!$L$6:$U$138,9,FALSE))</f>
        <v/>
      </c>
      <c r="C311" s="356"/>
      <c r="D311" s="357" t="str">
        <f t="shared" si="123"/>
        <v/>
      </c>
      <c r="E311" s="356"/>
      <c r="F311" s="357" t="str">
        <f t="shared" si="124"/>
        <v/>
      </c>
      <c r="G311" s="358"/>
      <c r="H311" s="357" t="str">
        <f t="shared" si="125"/>
        <v/>
      </c>
      <c r="I311" s="357" t="str">
        <f t="shared" si="126"/>
        <v/>
      </c>
      <c r="J311" s="359"/>
      <c r="K311" s="359"/>
      <c r="L311" s="359"/>
      <c r="M311" s="81"/>
      <c r="O311" s="73" t="str">
        <f t="shared" si="127"/>
        <v/>
      </c>
      <c r="P311" s="73" t="str">
        <f t="shared" si="128"/>
        <v/>
      </c>
      <c r="Q311" s="73" t="str">
        <f t="shared" si="129"/>
        <v/>
      </c>
      <c r="R311" s="73" t="str">
        <f t="shared" si="130"/>
        <v/>
      </c>
      <c r="AB311" s="73" t="s">
        <v>3505</v>
      </c>
      <c r="AC311" s="73" t="s">
        <v>3506</v>
      </c>
      <c r="AD311" s="73" t="s">
        <v>5138</v>
      </c>
      <c r="AE311" s="73" t="s">
        <v>5139</v>
      </c>
      <c r="AF311" s="73" t="s">
        <v>5160</v>
      </c>
      <c r="AG311" s="73" t="s">
        <v>5170</v>
      </c>
    </row>
    <row r="312" spans="1:33" hidden="1">
      <c r="A312" s="355" t="str">
        <f>IF(C312="","",VLOOKUP('OPĆI DIO'!$C$3,'OPĆI DIO'!$L$6:$U$138,10,FALSE))</f>
        <v/>
      </c>
      <c r="B312" s="355" t="str">
        <f>IF(C312="","",VLOOKUP('OPĆI DIO'!$C$3,'OPĆI DIO'!$L$6:$U$138,9,FALSE))</f>
        <v/>
      </c>
      <c r="C312" s="356"/>
      <c r="D312" s="357" t="str">
        <f t="shared" si="123"/>
        <v/>
      </c>
      <c r="E312" s="356"/>
      <c r="F312" s="357" t="str">
        <f t="shared" si="124"/>
        <v/>
      </c>
      <c r="G312" s="358"/>
      <c r="H312" s="357" t="str">
        <f t="shared" si="125"/>
        <v/>
      </c>
      <c r="I312" s="357" t="str">
        <f t="shared" si="126"/>
        <v/>
      </c>
      <c r="J312" s="359"/>
      <c r="K312" s="359"/>
      <c r="L312" s="359"/>
      <c r="M312" s="81"/>
      <c r="O312" s="73" t="str">
        <f t="shared" si="127"/>
        <v/>
      </c>
      <c r="P312" s="73" t="str">
        <f t="shared" si="128"/>
        <v/>
      </c>
      <c r="Q312" s="73" t="str">
        <f t="shared" si="129"/>
        <v/>
      </c>
      <c r="R312" s="73" t="str">
        <f t="shared" si="130"/>
        <v/>
      </c>
      <c r="AB312" s="73" t="s">
        <v>1123</v>
      </c>
      <c r="AC312" s="73" t="s">
        <v>680</v>
      </c>
      <c r="AD312" s="73" t="s">
        <v>5154</v>
      </c>
      <c r="AE312" s="73" t="s">
        <v>5155</v>
      </c>
      <c r="AF312" s="73" t="s">
        <v>5160</v>
      </c>
      <c r="AG312" s="73" t="s">
        <v>5172</v>
      </c>
    </row>
    <row r="313" spans="1:33" hidden="1">
      <c r="A313" s="355" t="str">
        <f>IF(C313="","",VLOOKUP('OPĆI DIO'!$C$3,'OPĆI DIO'!$L$6:$U$138,10,FALSE))</f>
        <v/>
      </c>
      <c r="B313" s="355" t="str">
        <f>IF(C313="","",VLOOKUP('OPĆI DIO'!$C$3,'OPĆI DIO'!$L$6:$U$138,9,FALSE))</f>
        <v/>
      </c>
      <c r="C313" s="356"/>
      <c r="D313" s="357" t="str">
        <f t="shared" si="123"/>
        <v/>
      </c>
      <c r="E313" s="356"/>
      <c r="F313" s="357" t="str">
        <f t="shared" si="124"/>
        <v/>
      </c>
      <c r="G313" s="358"/>
      <c r="H313" s="357" t="str">
        <f t="shared" si="125"/>
        <v/>
      </c>
      <c r="I313" s="357" t="str">
        <f t="shared" si="126"/>
        <v/>
      </c>
      <c r="J313" s="359"/>
      <c r="K313" s="359"/>
      <c r="L313" s="359"/>
      <c r="M313" s="81"/>
      <c r="O313" s="73" t="str">
        <f t="shared" si="127"/>
        <v/>
      </c>
      <c r="P313" s="73" t="str">
        <f t="shared" si="128"/>
        <v/>
      </c>
      <c r="Q313" s="73" t="str">
        <f t="shared" si="129"/>
        <v/>
      </c>
      <c r="R313" s="73" t="str">
        <f t="shared" si="130"/>
        <v/>
      </c>
      <c r="AB313" s="73" t="s">
        <v>1124</v>
      </c>
      <c r="AC313" s="73" t="s">
        <v>1125</v>
      </c>
      <c r="AD313" s="73" t="s">
        <v>5154</v>
      </c>
      <c r="AE313" s="73" t="s">
        <v>5155</v>
      </c>
      <c r="AF313" s="73" t="s">
        <v>5160</v>
      </c>
      <c r="AG313" s="73" t="s">
        <v>5172</v>
      </c>
    </row>
    <row r="314" spans="1:33" hidden="1">
      <c r="A314" s="355" t="str">
        <f>IF(C314="","",VLOOKUP('OPĆI DIO'!$C$3,'OPĆI DIO'!$L$6:$U$138,10,FALSE))</f>
        <v/>
      </c>
      <c r="B314" s="355" t="str">
        <f>IF(C314="","",VLOOKUP('OPĆI DIO'!$C$3,'OPĆI DIO'!$L$6:$U$138,9,FALSE))</f>
        <v/>
      </c>
      <c r="C314" s="356"/>
      <c r="D314" s="357" t="str">
        <f t="shared" ref="D314:D377" si="131">IFERROR(VLOOKUP(C314,$S$6:$T$27,2,FALSE),"")</f>
        <v/>
      </c>
      <c r="E314" s="356"/>
      <c r="F314" s="357" t="str">
        <f t="shared" ref="F314:F377" si="132">IFERROR(VLOOKUP(E314,$V$5:$X$126,2,FALSE),"")</f>
        <v/>
      </c>
      <c r="G314" s="358"/>
      <c r="H314" s="357" t="str">
        <f t="shared" ref="H314:H377" si="133">IFERROR(VLOOKUP(G314,$AB$6:$AC$324,2,FALSE),"")</f>
        <v/>
      </c>
      <c r="I314" s="357" t="str">
        <f t="shared" ref="I314:I377" si="134">IFERROR(VLOOKUP(G314,$AB$6:$AF$324,3,FALSE),"")</f>
        <v/>
      </c>
      <c r="J314" s="359"/>
      <c r="K314" s="359"/>
      <c r="L314" s="359"/>
      <c r="M314" s="81"/>
      <c r="O314" s="73" t="str">
        <f t="shared" si="127"/>
        <v/>
      </c>
      <c r="P314" s="73" t="str">
        <f t="shared" si="128"/>
        <v/>
      </c>
      <c r="Q314" s="73" t="str">
        <f t="shared" si="129"/>
        <v/>
      </c>
      <c r="R314" s="73" t="str">
        <f t="shared" si="130"/>
        <v/>
      </c>
      <c r="AB314" s="73" t="s">
        <v>1786</v>
      </c>
      <c r="AC314" s="73" t="s">
        <v>1787</v>
      </c>
      <c r="AD314" s="73" t="s">
        <v>5136</v>
      </c>
      <c r="AE314" s="73" t="s">
        <v>5137</v>
      </c>
      <c r="AF314" s="73" t="s">
        <v>5162</v>
      </c>
      <c r="AG314" s="73" t="s">
        <v>5163</v>
      </c>
    </row>
    <row r="315" spans="1:33" hidden="1">
      <c r="A315" s="355" t="str">
        <f>IF(C315="","",VLOOKUP('OPĆI DIO'!$C$3,'OPĆI DIO'!$L$6:$U$138,10,FALSE))</f>
        <v/>
      </c>
      <c r="B315" s="355" t="str">
        <f>IF(C315="","",VLOOKUP('OPĆI DIO'!$C$3,'OPĆI DIO'!$L$6:$U$138,9,FALSE))</f>
        <v/>
      </c>
      <c r="C315" s="356"/>
      <c r="D315" s="357" t="str">
        <f t="shared" si="131"/>
        <v/>
      </c>
      <c r="E315" s="356"/>
      <c r="F315" s="357" t="str">
        <f t="shared" si="132"/>
        <v/>
      </c>
      <c r="G315" s="358"/>
      <c r="H315" s="357" t="str">
        <f t="shared" si="133"/>
        <v/>
      </c>
      <c r="I315" s="357" t="str">
        <f t="shared" si="134"/>
        <v/>
      </c>
      <c r="J315" s="359"/>
      <c r="K315" s="359"/>
      <c r="L315" s="359"/>
      <c r="M315" s="81"/>
      <c r="O315" s="73" t="str">
        <f t="shared" si="127"/>
        <v/>
      </c>
      <c r="P315" s="73" t="str">
        <f t="shared" si="128"/>
        <v/>
      </c>
      <c r="Q315" s="73" t="str">
        <f t="shared" si="129"/>
        <v/>
      </c>
      <c r="R315" s="73" t="str">
        <f t="shared" si="130"/>
        <v/>
      </c>
      <c r="AB315" s="73" t="s">
        <v>1818</v>
      </c>
      <c r="AC315" s="73" t="s">
        <v>1819</v>
      </c>
      <c r="AD315" s="73" t="s">
        <v>5136</v>
      </c>
      <c r="AE315" s="73" t="s">
        <v>5137</v>
      </c>
      <c r="AF315" s="73" t="s">
        <v>5162</v>
      </c>
      <c r="AG315" s="73" t="s">
        <v>5163</v>
      </c>
    </row>
    <row r="316" spans="1:33" hidden="1">
      <c r="A316" s="355" t="str">
        <f>IF(C316="","",VLOOKUP('OPĆI DIO'!$C$3,'OPĆI DIO'!$L$6:$U$138,10,FALSE))</f>
        <v/>
      </c>
      <c r="B316" s="355" t="str">
        <f>IF(C316="","",VLOOKUP('OPĆI DIO'!$C$3,'OPĆI DIO'!$L$6:$U$138,9,FALSE))</f>
        <v/>
      </c>
      <c r="C316" s="356"/>
      <c r="D316" s="357" t="str">
        <f t="shared" si="131"/>
        <v/>
      </c>
      <c r="E316" s="356"/>
      <c r="F316" s="357" t="str">
        <f t="shared" si="132"/>
        <v/>
      </c>
      <c r="G316" s="358"/>
      <c r="H316" s="357" t="str">
        <f t="shared" si="133"/>
        <v/>
      </c>
      <c r="I316" s="357" t="str">
        <f t="shared" si="134"/>
        <v/>
      </c>
      <c r="J316" s="359"/>
      <c r="K316" s="359"/>
      <c r="L316" s="359"/>
      <c r="M316" s="81"/>
      <c r="O316" s="73" t="str">
        <f t="shared" si="127"/>
        <v/>
      </c>
      <c r="P316" s="73" t="str">
        <f t="shared" si="128"/>
        <v/>
      </c>
      <c r="Q316" s="73" t="str">
        <f t="shared" si="129"/>
        <v/>
      </c>
      <c r="R316" s="73" t="str">
        <f t="shared" si="130"/>
        <v/>
      </c>
      <c r="AB316" s="73" t="s">
        <v>3507</v>
      </c>
      <c r="AC316" s="73" t="s">
        <v>3508</v>
      </c>
      <c r="AD316" s="73" t="s">
        <v>5136</v>
      </c>
      <c r="AE316" s="73" t="s">
        <v>5137</v>
      </c>
      <c r="AF316" s="73" t="s">
        <v>5162</v>
      </c>
      <c r="AG316" s="73" t="s">
        <v>5163</v>
      </c>
    </row>
    <row r="317" spans="1:33" hidden="1">
      <c r="A317" s="355" t="str">
        <f>IF(C317="","",VLOOKUP('OPĆI DIO'!$C$3,'OPĆI DIO'!$L$6:$U$138,10,FALSE))</f>
        <v/>
      </c>
      <c r="B317" s="355" t="str">
        <f>IF(C317="","",VLOOKUP('OPĆI DIO'!$C$3,'OPĆI DIO'!$L$6:$U$138,9,FALSE))</f>
        <v/>
      </c>
      <c r="C317" s="356"/>
      <c r="D317" s="357" t="str">
        <f t="shared" si="131"/>
        <v/>
      </c>
      <c r="E317" s="356"/>
      <c r="F317" s="357" t="str">
        <f t="shared" si="132"/>
        <v/>
      </c>
      <c r="G317" s="358"/>
      <c r="H317" s="357" t="str">
        <f t="shared" si="133"/>
        <v/>
      </c>
      <c r="I317" s="357" t="str">
        <f t="shared" si="134"/>
        <v/>
      </c>
      <c r="J317" s="359"/>
      <c r="K317" s="359"/>
      <c r="L317" s="359"/>
      <c r="M317" s="81"/>
      <c r="O317" s="73" t="str">
        <f t="shared" si="127"/>
        <v/>
      </c>
      <c r="P317" s="73" t="str">
        <f t="shared" si="128"/>
        <v/>
      </c>
      <c r="Q317" s="73" t="str">
        <f t="shared" si="129"/>
        <v/>
      </c>
      <c r="R317" s="73" t="str">
        <f t="shared" si="130"/>
        <v/>
      </c>
      <c r="AB317" s="73" t="s">
        <v>3509</v>
      </c>
      <c r="AC317" s="73" t="s">
        <v>3510</v>
      </c>
      <c r="AD317" s="73" t="s">
        <v>5136</v>
      </c>
      <c r="AE317" s="73" t="s">
        <v>5137</v>
      </c>
      <c r="AF317" s="73" t="s">
        <v>5162</v>
      </c>
      <c r="AG317" s="73" t="s">
        <v>5163</v>
      </c>
    </row>
    <row r="318" spans="1:33" hidden="1">
      <c r="A318" s="355" t="str">
        <f>IF(C318="","",VLOOKUP('OPĆI DIO'!$C$3,'OPĆI DIO'!$L$6:$U$138,10,FALSE))</f>
        <v/>
      </c>
      <c r="B318" s="355" t="str">
        <f>IF(C318="","",VLOOKUP('OPĆI DIO'!$C$3,'OPĆI DIO'!$L$6:$U$138,9,FALSE))</f>
        <v/>
      </c>
      <c r="C318" s="356"/>
      <c r="D318" s="357" t="str">
        <f t="shared" si="131"/>
        <v/>
      </c>
      <c r="E318" s="356"/>
      <c r="F318" s="357" t="str">
        <f t="shared" si="132"/>
        <v/>
      </c>
      <c r="G318" s="358"/>
      <c r="H318" s="357" t="str">
        <f t="shared" si="133"/>
        <v/>
      </c>
      <c r="I318" s="357" t="str">
        <f t="shared" si="134"/>
        <v/>
      </c>
      <c r="J318" s="359"/>
      <c r="K318" s="359"/>
      <c r="L318" s="359"/>
      <c r="M318" s="81"/>
      <c r="O318" s="73" t="str">
        <f t="shared" si="127"/>
        <v/>
      </c>
      <c r="P318" s="73" t="str">
        <f t="shared" si="128"/>
        <v/>
      </c>
      <c r="Q318" s="73" t="str">
        <f t="shared" si="129"/>
        <v/>
      </c>
      <c r="R318" s="73" t="str">
        <f t="shared" si="130"/>
        <v/>
      </c>
      <c r="AB318" s="73" t="s">
        <v>3511</v>
      </c>
      <c r="AC318" s="73" t="s">
        <v>3512</v>
      </c>
      <c r="AD318" s="73" t="s">
        <v>5136</v>
      </c>
      <c r="AE318" s="73" t="s">
        <v>5137</v>
      </c>
      <c r="AF318" s="73" t="s">
        <v>5162</v>
      </c>
      <c r="AG318" s="73" t="s">
        <v>5163</v>
      </c>
    </row>
    <row r="319" spans="1:33" hidden="1">
      <c r="A319" s="355" t="str">
        <f>IF(C319="","",VLOOKUP('OPĆI DIO'!$C$3,'OPĆI DIO'!$L$6:$U$138,10,FALSE))</f>
        <v/>
      </c>
      <c r="B319" s="355" t="str">
        <f>IF(C319="","",VLOOKUP('OPĆI DIO'!$C$3,'OPĆI DIO'!$L$6:$U$138,9,FALSE))</f>
        <v/>
      </c>
      <c r="C319" s="356"/>
      <c r="D319" s="357" t="str">
        <f t="shared" si="131"/>
        <v/>
      </c>
      <c r="E319" s="356"/>
      <c r="F319" s="357" t="str">
        <f t="shared" si="132"/>
        <v/>
      </c>
      <c r="G319" s="358"/>
      <c r="H319" s="357" t="str">
        <f t="shared" si="133"/>
        <v/>
      </c>
      <c r="I319" s="357" t="str">
        <f t="shared" si="134"/>
        <v/>
      </c>
      <c r="J319" s="359"/>
      <c r="K319" s="359"/>
      <c r="L319" s="359"/>
      <c r="M319" s="81"/>
      <c r="O319" s="73" t="str">
        <f t="shared" si="127"/>
        <v/>
      </c>
      <c r="P319" s="73" t="str">
        <f t="shared" si="128"/>
        <v/>
      </c>
      <c r="Q319" s="73" t="str">
        <f t="shared" si="129"/>
        <v/>
      </c>
      <c r="R319" s="73" t="str">
        <f t="shared" si="130"/>
        <v/>
      </c>
      <c r="AB319" s="73" t="s">
        <v>1862</v>
      </c>
      <c r="AC319" s="73" t="s">
        <v>1863</v>
      </c>
      <c r="AD319" s="73" t="s">
        <v>5136</v>
      </c>
      <c r="AE319" s="73" t="s">
        <v>5137</v>
      </c>
      <c r="AF319" s="73" t="s">
        <v>5162</v>
      </c>
      <c r="AG319" s="73" t="s">
        <v>5163</v>
      </c>
    </row>
    <row r="320" spans="1:33" hidden="1">
      <c r="A320" s="355" t="str">
        <f>IF(C320="","",VLOOKUP('OPĆI DIO'!$C$3,'OPĆI DIO'!$L$6:$U$138,10,FALSE))</f>
        <v/>
      </c>
      <c r="B320" s="355" t="str">
        <f>IF(C320="","",VLOOKUP('OPĆI DIO'!$C$3,'OPĆI DIO'!$L$6:$U$138,9,FALSE))</f>
        <v/>
      </c>
      <c r="C320" s="356"/>
      <c r="D320" s="357" t="str">
        <f t="shared" si="131"/>
        <v/>
      </c>
      <c r="E320" s="356"/>
      <c r="F320" s="357" t="str">
        <f t="shared" si="132"/>
        <v/>
      </c>
      <c r="G320" s="358"/>
      <c r="H320" s="357" t="str">
        <f t="shared" si="133"/>
        <v/>
      </c>
      <c r="I320" s="357" t="str">
        <f t="shared" si="134"/>
        <v/>
      </c>
      <c r="J320" s="359"/>
      <c r="K320" s="359"/>
      <c r="L320" s="359"/>
      <c r="M320" s="81"/>
      <c r="O320" s="73" t="str">
        <f t="shared" si="127"/>
        <v/>
      </c>
      <c r="P320" s="73" t="str">
        <f t="shared" si="128"/>
        <v/>
      </c>
      <c r="Q320" s="73" t="str">
        <f t="shared" si="129"/>
        <v/>
      </c>
      <c r="R320" s="73" t="str">
        <f t="shared" si="130"/>
        <v/>
      </c>
      <c r="AB320" s="73" t="s">
        <v>955</v>
      </c>
      <c r="AC320" s="73" t="s">
        <v>956</v>
      </c>
      <c r="AD320" s="73" t="s">
        <v>5136</v>
      </c>
      <c r="AE320" s="73" t="s">
        <v>5137</v>
      </c>
      <c r="AF320" s="73" t="s">
        <v>5162</v>
      </c>
      <c r="AG320" s="73" t="s">
        <v>5163</v>
      </c>
    </row>
    <row r="321" spans="1:33" hidden="1">
      <c r="A321" s="355" t="str">
        <f>IF(C321="","",VLOOKUP('OPĆI DIO'!$C$3,'OPĆI DIO'!$L$6:$U$138,10,FALSE))</f>
        <v/>
      </c>
      <c r="B321" s="355" t="str">
        <f>IF(C321="","",VLOOKUP('OPĆI DIO'!$C$3,'OPĆI DIO'!$L$6:$U$138,9,FALSE))</f>
        <v/>
      </c>
      <c r="C321" s="356"/>
      <c r="D321" s="357" t="str">
        <f t="shared" si="131"/>
        <v/>
      </c>
      <c r="E321" s="356"/>
      <c r="F321" s="357" t="str">
        <f t="shared" si="132"/>
        <v/>
      </c>
      <c r="G321" s="358"/>
      <c r="H321" s="357" t="str">
        <f t="shared" si="133"/>
        <v/>
      </c>
      <c r="I321" s="357" t="str">
        <f t="shared" si="134"/>
        <v/>
      </c>
      <c r="J321" s="359"/>
      <c r="K321" s="359"/>
      <c r="L321" s="359"/>
      <c r="M321" s="81"/>
      <c r="O321" s="73" t="str">
        <f t="shared" ref="O321:O384" si="135">LEFT(E321,3)</f>
        <v/>
      </c>
      <c r="P321" s="73" t="str">
        <f t="shared" ref="P321:P384" si="136">LEFT(E321,2)</f>
        <v/>
      </c>
      <c r="Q321" s="73" t="str">
        <f t="shared" ref="Q321:Q384" si="137">LEFT(C321,3)</f>
        <v/>
      </c>
      <c r="R321" s="73" t="str">
        <f t="shared" ref="R321:R384" si="138">MID(I321,2,2)</f>
        <v/>
      </c>
      <c r="AB321" s="73" t="s">
        <v>3513</v>
      </c>
      <c r="AC321" s="73" t="s">
        <v>3514</v>
      </c>
      <c r="AD321" s="73" t="s">
        <v>5136</v>
      </c>
      <c r="AE321" s="73" t="s">
        <v>5137</v>
      </c>
      <c r="AF321" s="73" t="s">
        <v>5162</v>
      </c>
      <c r="AG321" s="73" t="s">
        <v>5163</v>
      </c>
    </row>
    <row r="322" spans="1:33" hidden="1">
      <c r="A322" s="355" t="str">
        <f>IF(C322="","",VLOOKUP('OPĆI DIO'!$C$3,'OPĆI DIO'!$L$6:$U$138,10,FALSE))</f>
        <v/>
      </c>
      <c r="B322" s="355" t="str">
        <f>IF(C322="","",VLOOKUP('OPĆI DIO'!$C$3,'OPĆI DIO'!$L$6:$U$138,9,FALSE))</f>
        <v/>
      </c>
      <c r="C322" s="356"/>
      <c r="D322" s="357" t="str">
        <f t="shared" si="131"/>
        <v/>
      </c>
      <c r="E322" s="356"/>
      <c r="F322" s="357" t="str">
        <f t="shared" si="132"/>
        <v/>
      </c>
      <c r="G322" s="358"/>
      <c r="H322" s="357" t="str">
        <f t="shared" si="133"/>
        <v/>
      </c>
      <c r="I322" s="357" t="str">
        <f t="shared" si="134"/>
        <v/>
      </c>
      <c r="J322" s="359"/>
      <c r="K322" s="359"/>
      <c r="L322" s="359"/>
      <c r="M322" s="81"/>
      <c r="O322" s="73" t="str">
        <f t="shared" si="135"/>
        <v/>
      </c>
      <c r="P322" s="73" t="str">
        <f t="shared" si="136"/>
        <v/>
      </c>
      <c r="Q322" s="73" t="str">
        <f t="shared" si="137"/>
        <v/>
      </c>
      <c r="R322" s="73" t="str">
        <f t="shared" si="138"/>
        <v/>
      </c>
      <c r="AB322" s="73" t="s">
        <v>3515</v>
      </c>
      <c r="AC322" s="73" t="s">
        <v>3516</v>
      </c>
      <c r="AD322" s="73" t="s">
        <v>5136</v>
      </c>
      <c r="AE322" s="73" t="s">
        <v>5137</v>
      </c>
      <c r="AF322" s="73" t="s">
        <v>5162</v>
      </c>
      <c r="AG322" s="73" t="s">
        <v>5163</v>
      </c>
    </row>
    <row r="323" spans="1:33" hidden="1">
      <c r="A323" s="355" t="str">
        <f>IF(C323="","",VLOOKUP('OPĆI DIO'!$C$3,'OPĆI DIO'!$L$6:$U$138,10,FALSE))</f>
        <v/>
      </c>
      <c r="B323" s="355" t="str">
        <f>IF(C323="","",VLOOKUP('OPĆI DIO'!$C$3,'OPĆI DIO'!$L$6:$U$138,9,FALSE))</f>
        <v/>
      </c>
      <c r="C323" s="356"/>
      <c r="D323" s="357" t="str">
        <f t="shared" si="131"/>
        <v/>
      </c>
      <c r="E323" s="356"/>
      <c r="F323" s="357" t="str">
        <f t="shared" si="132"/>
        <v/>
      </c>
      <c r="G323" s="358"/>
      <c r="H323" s="357" t="str">
        <f t="shared" si="133"/>
        <v/>
      </c>
      <c r="I323" s="357" t="str">
        <f t="shared" si="134"/>
        <v/>
      </c>
      <c r="J323" s="359"/>
      <c r="K323" s="359"/>
      <c r="L323" s="359"/>
      <c r="M323" s="81"/>
      <c r="O323" s="73" t="str">
        <f t="shared" si="135"/>
        <v/>
      </c>
      <c r="P323" s="73" t="str">
        <f t="shared" si="136"/>
        <v/>
      </c>
      <c r="Q323" s="73" t="str">
        <f t="shared" si="137"/>
        <v/>
      </c>
      <c r="R323" s="73" t="str">
        <f t="shared" si="138"/>
        <v/>
      </c>
      <c r="AB323" s="73" t="s">
        <v>3517</v>
      </c>
      <c r="AC323" s="73" t="s">
        <v>3518</v>
      </c>
      <c r="AD323" s="73" t="s">
        <v>5136</v>
      </c>
      <c r="AE323" s="73" t="s">
        <v>5137</v>
      </c>
      <c r="AF323" s="73" t="s">
        <v>5162</v>
      </c>
      <c r="AG323" s="73" t="s">
        <v>5163</v>
      </c>
    </row>
    <row r="324" spans="1:33" hidden="1">
      <c r="A324" s="355" t="str">
        <f>IF(C324="","",VLOOKUP('OPĆI DIO'!$C$3,'OPĆI DIO'!$L$6:$U$138,10,FALSE))</f>
        <v/>
      </c>
      <c r="B324" s="355" t="str">
        <f>IF(C324="","",VLOOKUP('OPĆI DIO'!$C$3,'OPĆI DIO'!$L$6:$U$138,9,FALSE))</f>
        <v/>
      </c>
      <c r="C324" s="356"/>
      <c r="D324" s="357" t="str">
        <f t="shared" si="131"/>
        <v/>
      </c>
      <c r="E324" s="356"/>
      <c r="F324" s="357" t="str">
        <f t="shared" si="132"/>
        <v/>
      </c>
      <c r="G324" s="358"/>
      <c r="H324" s="357" t="str">
        <f t="shared" si="133"/>
        <v/>
      </c>
      <c r="I324" s="357" t="str">
        <f t="shared" si="134"/>
        <v/>
      </c>
      <c r="J324" s="359"/>
      <c r="K324" s="359"/>
      <c r="L324" s="359"/>
      <c r="M324" s="81"/>
      <c r="O324" s="73" t="str">
        <f t="shared" si="135"/>
        <v/>
      </c>
      <c r="P324" s="73" t="str">
        <f t="shared" si="136"/>
        <v/>
      </c>
      <c r="Q324" s="73" t="str">
        <f t="shared" si="137"/>
        <v/>
      </c>
      <c r="R324" s="73" t="str">
        <f t="shared" si="138"/>
        <v/>
      </c>
      <c r="AB324" s="73" t="s">
        <v>3455</v>
      </c>
      <c r="AC324" s="73" t="s">
        <v>680</v>
      </c>
      <c r="AD324" s="73" t="s">
        <v>5136</v>
      </c>
      <c r="AE324" s="73" t="s">
        <v>5137</v>
      </c>
      <c r="AF324" s="73" t="s">
        <v>5162</v>
      </c>
      <c r="AG324" s="73" t="s">
        <v>5163</v>
      </c>
    </row>
    <row r="325" spans="1:33" hidden="1">
      <c r="A325" s="355" t="str">
        <f>IF(C325="","",VLOOKUP('OPĆI DIO'!$C$3,'OPĆI DIO'!$L$6:$U$138,10,FALSE))</f>
        <v/>
      </c>
      <c r="B325" s="355" t="str">
        <f>IF(C325="","",VLOOKUP('OPĆI DIO'!$C$3,'OPĆI DIO'!$L$6:$U$138,9,FALSE))</f>
        <v/>
      </c>
      <c r="C325" s="356"/>
      <c r="D325" s="357" t="str">
        <f t="shared" si="131"/>
        <v/>
      </c>
      <c r="E325" s="356"/>
      <c r="F325" s="357" t="str">
        <f t="shared" si="132"/>
        <v/>
      </c>
      <c r="G325" s="358"/>
      <c r="H325" s="357" t="str">
        <f t="shared" si="133"/>
        <v/>
      </c>
      <c r="I325" s="357" t="str">
        <f t="shared" si="134"/>
        <v/>
      </c>
      <c r="J325" s="359"/>
      <c r="K325" s="359"/>
      <c r="L325" s="359"/>
      <c r="M325" s="81"/>
      <c r="O325" s="73" t="str">
        <f t="shared" si="135"/>
        <v/>
      </c>
      <c r="P325" s="73" t="str">
        <f t="shared" si="136"/>
        <v/>
      </c>
      <c r="Q325" s="73" t="str">
        <f t="shared" si="137"/>
        <v/>
      </c>
      <c r="R325" s="73" t="str">
        <f t="shared" si="138"/>
        <v/>
      </c>
    </row>
    <row r="326" spans="1:33" hidden="1">
      <c r="A326" s="355" t="str">
        <f>IF(C326="","",VLOOKUP('OPĆI DIO'!$C$3,'OPĆI DIO'!$L$6:$U$138,10,FALSE))</f>
        <v/>
      </c>
      <c r="B326" s="355" t="str">
        <f>IF(C326="","",VLOOKUP('OPĆI DIO'!$C$3,'OPĆI DIO'!$L$6:$U$138,9,FALSE))</f>
        <v/>
      </c>
      <c r="C326" s="356"/>
      <c r="D326" s="357" t="str">
        <f t="shared" si="131"/>
        <v/>
      </c>
      <c r="E326" s="356"/>
      <c r="F326" s="357" t="str">
        <f t="shared" si="132"/>
        <v/>
      </c>
      <c r="G326" s="358"/>
      <c r="H326" s="357" t="str">
        <f t="shared" si="133"/>
        <v/>
      </c>
      <c r="I326" s="357" t="str">
        <f t="shared" si="134"/>
        <v/>
      </c>
      <c r="J326" s="359"/>
      <c r="K326" s="359"/>
      <c r="L326" s="359"/>
      <c r="M326" s="81"/>
      <c r="O326" s="73" t="str">
        <f t="shared" si="135"/>
        <v/>
      </c>
      <c r="P326" s="73" t="str">
        <f t="shared" si="136"/>
        <v/>
      </c>
      <c r="Q326" s="73" t="str">
        <f t="shared" si="137"/>
        <v/>
      </c>
      <c r="R326" s="73" t="str">
        <f t="shared" si="138"/>
        <v/>
      </c>
    </row>
    <row r="327" spans="1:33" hidden="1">
      <c r="A327" s="355" t="str">
        <f>IF(C327="","",VLOOKUP('OPĆI DIO'!$C$3,'OPĆI DIO'!$L$6:$U$138,10,FALSE))</f>
        <v/>
      </c>
      <c r="B327" s="355" t="str">
        <f>IF(C327="","",VLOOKUP('OPĆI DIO'!$C$3,'OPĆI DIO'!$L$6:$U$138,9,FALSE))</f>
        <v/>
      </c>
      <c r="C327" s="356"/>
      <c r="D327" s="357" t="str">
        <f t="shared" si="131"/>
        <v/>
      </c>
      <c r="E327" s="356"/>
      <c r="F327" s="357" t="str">
        <f t="shared" si="132"/>
        <v/>
      </c>
      <c r="G327" s="358"/>
      <c r="H327" s="357" t="str">
        <f t="shared" si="133"/>
        <v/>
      </c>
      <c r="I327" s="357" t="str">
        <f t="shared" si="134"/>
        <v/>
      </c>
      <c r="J327" s="359"/>
      <c r="K327" s="359"/>
      <c r="L327" s="359"/>
      <c r="M327" s="81"/>
      <c r="O327" s="73" t="str">
        <f t="shared" si="135"/>
        <v/>
      </c>
      <c r="P327" s="73" t="str">
        <f t="shared" si="136"/>
        <v/>
      </c>
      <c r="Q327" s="73" t="str">
        <f t="shared" si="137"/>
        <v/>
      </c>
      <c r="R327" s="73" t="str">
        <f t="shared" si="138"/>
        <v/>
      </c>
    </row>
    <row r="328" spans="1:33" hidden="1">
      <c r="A328" s="355" t="str">
        <f>IF(C328="","",VLOOKUP('OPĆI DIO'!$C$3,'OPĆI DIO'!$L$6:$U$138,10,FALSE))</f>
        <v/>
      </c>
      <c r="B328" s="355" t="str">
        <f>IF(C328="","",VLOOKUP('OPĆI DIO'!$C$3,'OPĆI DIO'!$L$6:$U$138,9,FALSE))</f>
        <v/>
      </c>
      <c r="C328" s="356"/>
      <c r="D328" s="357" t="str">
        <f t="shared" si="131"/>
        <v/>
      </c>
      <c r="E328" s="356"/>
      <c r="F328" s="357" t="str">
        <f t="shared" si="132"/>
        <v/>
      </c>
      <c r="G328" s="358"/>
      <c r="H328" s="357" t="str">
        <f t="shared" si="133"/>
        <v/>
      </c>
      <c r="I328" s="357" t="str">
        <f t="shared" si="134"/>
        <v/>
      </c>
      <c r="J328" s="359"/>
      <c r="K328" s="359"/>
      <c r="L328" s="359"/>
      <c r="M328" s="81"/>
      <c r="O328" s="73" t="str">
        <f t="shared" si="135"/>
        <v/>
      </c>
      <c r="P328" s="73" t="str">
        <f t="shared" si="136"/>
        <v/>
      </c>
      <c r="Q328" s="73" t="str">
        <f t="shared" si="137"/>
        <v/>
      </c>
      <c r="R328" s="73" t="str">
        <f t="shared" si="138"/>
        <v/>
      </c>
    </row>
    <row r="329" spans="1:33" hidden="1">
      <c r="A329" s="355" t="str">
        <f>IF(C329="","",VLOOKUP('OPĆI DIO'!$C$3,'OPĆI DIO'!$L$6:$U$138,10,FALSE))</f>
        <v/>
      </c>
      <c r="B329" s="355" t="str">
        <f>IF(C329="","",VLOOKUP('OPĆI DIO'!$C$3,'OPĆI DIO'!$L$6:$U$138,9,FALSE))</f>
        <v/>
      </c>
      <c r="C329" s="356"/>
      <c r="D329" s="357" t="str">
        <f t="shared" si="131"/>
        <v/>
      </c>
      <c r="E329" s="356"/>
      <c r="F329" s="357" t="str">
        <f t="shared" si="132"/>
        <v/>
      </c>
      <c r="G329" s="358"/>
      <c r="H329" s="357" t="str">
        <f t="shared" si="133"/>
        <v/>
      </c>
      <c r="I329" s="357" t="str">
        <f t="shared" si="134"/>
        <v/>
      </c>
      <c r="J329" s="359"/>
      <c r="K329" s="359"/>
      <c r="L329" s="359"/>
      <c r="M329" s="81"/>
      <c r="O329" s="73" t="str">
        <f t="shared" si="135"/>
        <v/>
      </c>
      <c r="P329" s="73" t="str">
        <f t="shared" si="136"/>
        <v/>
      </c>
      <c r="Q329" s="73" t="str">
        <f t="shared" si="137"/>
        <v/>
      </c>
      <c r="R329" s="73" t="str">
        <f t="shared" si="138"/>
        <v/>
      </c>
    </row>
    <row r="330" spans="1:33" hidden="1">
      <c r="A330" s="355" t="str">
        <f>IF(C330="","",VLOOKUP('OPĆI DIO'!$C$3,'OPĆI DIO'!$L$6:$U$138,10,FALSE))</f>
        <v/>
      </c>
      <c r="B330" s="355" t="str">
        <f>IF(C330="","",VLOOKUP('OPĆI DIO'!$C$3,'OPĆI DIO'!$L$6:$U$138,9,FALSE))</f>
        <v/>
      </c>
      <c r="C330" s="356"/>
      <c r="D330" s="357" t="str">
        <f t="shared" si="131"/>
        <v/>
      </c>
      <c r="E330" s="356"/>
      <c r="F330" s="357" t="str">
        <f t="shared" si="132"/>
        <v/>
      </c>
      <c r="G330" s="358"/>
      <c r="H330" s="357" t="str">
        <f t="shared" si="133"/>
        <v/>
      </c>
      <c r="I330" s="357" t="str">
        <f t="shared" si="134"/>
        <v/>
      </c>
      <c r="J330" s="359"/>
      <c r="K330" s="359"/>
      <c r="L330" s="359"/>
      <c r="M330" s="81"/>
      <c r="O330" s="73" t="str">
        <f t="shared" si="135"/>
        <v/>
      </c>
      <c r="P330" s="73" t="str">
        <f t="shared" si="136"/>
        <v/>
      </c>
      <c r="Q330" s="73" t="str">
        <f t="shared" si="137"/>
        <v/>
      </c>
      <c r="R330" s="73" t="str">
        <f t="shared" si="138"/>
        <v/>
      </c>
    </row>
    <row r="331" spans="1:33" hidden="1">
      <c r="A331" s="355" t="str">
        <f>IF(C331="","",VLOOKUP('OPĆI DIO'!$C$3,'OPĆI DIO'!$L$6:$U$138,10,FALSE))</f>
        <v/>
      </c>
      <c r="B331" s="355" t="str">
        <f>IF(C331="","",VLOOKUP('OPĆI DIO'!$C$3,'OPĆI DIO'!$L$6:$U$138,9,FALSE))</f>
        <v/>
      </c>
      <c r="C331" s="356"/>
      <c r="D331" s="357" t="str">
        <f t="shared" si="131"/>
        <v/>
      </c>
      <c r="E331" s="356"/>
      <c r="F331" s="357" t="str">
        <f t="shared" si="132"/>
        <v/>
      </c>
      <c r="G331" s="358"/>
      <c r="H331" s="357" t="str">
        <f t="shared" si="133"/>
        <v/>
      </c>
      <c r="I331" s="357" t="str">
        <f t="shared" si="134"/>
        <v/>
      </c>
      <c r="J331" s="359"/>
      <c r="K331" s="359"/>
      <c r="L331" s="359"/>
      <c r="M331" s="81"/>
      <c r="O331" s="73" t="str">
        <f t="shared" si="135"/>
        <v/>
      </c>
      <c r="P331" s="73" t="str">
        <f t="shared" si="136"/>
        <v/>
      </c>
      <c r="Q331" s="73" t="str">
        <f t="shared" si="137"/>
        <v/>
      </c>
      <c r="R331" s="73" t="str">
        <f t="shared" si="138"/>
        <v/>
      </c>
    </row>
    <row r="332" spans="1:33" hidden="1">
      <c r="A332" s="355" t="str">
        <f>IF(C332="","",VLOOKUP('OPĆI DIO'!$C$3,'OPĆI DIO'!$L$6:$U$138,10,FALSE))</f>
        <v/>
      </c>
      <c r="B332" s="355" t="str">
        <f>IF(C332="","",VLOOKUP('OPĆI DIO'!$C$3,'OPĆI DIO'!$L$6:$U$138,9,FALSE))</f>
        <v/>
      </c>
      <c r="C332" s="356"/>
      <c r="D332" s="357" t="str">
        <f t="shared" si="131"/>
        <v/>
      </c>
      <c r="E332" s="356"/>
      <c r="F332" s="357" t="str">
        <f t="shared" si="132"/>
        <v/>
      </c>
      <c r="G332" s="358"/>
      <c r="H332" s="357" t="str">
        <f t="shared" si="133"/>
        <v/>
      </c>
      <c r="I332" s="357" t="str">
        <f t="shared" si="134"/>
        <v/>
      </c>
      <c r="J332" s="359"/>
      <c r="K332" s="359"/>
      <c r="L332" s="359"/>
      <c r="M332" s="81"/>
      <c r="O332" s="73" t="str">
        <f t="shared" si="135"/>
        <v/>
      </c>
      <c r="P332" s="73" t="str">
        <f t="shared" si="136"/>
        <v/>
      </c>
      <c r="Q332" s="73" t="str">
        <f t="shared" si="137"/>
        <v/>
      </c>
      <c r="R332" s="73" t="str">
        <f t="shared" si="138"/>
        <v/>
      </c>
    </row>
    <row r="333" spans="1:33" hidden="1">
      <c r="A333" s="355" t="str">
        <f>IF(C333="","",VLOOKUP('OPĆI DIO'!$C$3,'OPĆI DIO'!$L$6:$U$138,10,FALSE))</f>
        <v/>
      </c>
      <c r="B333" s="355" t="str">
        <f>IF(C333="","",VLOOKUP('OPĆI DIO'!$C$3,'OPĆI DIO'!$L$6:$U$138,9,FALSE))</f>
        <v/>
      </c>
      <c r="C333" s="356"/>
      <c r="D333" s="357" t="str">
        <f t="shared" si="131"/>
        <v/>
      </c>
      <c r="E333" s="356"/>
      <c r="F333" s="357" t="str">
        <f t="shared" si="132"/>
        <v/>
      </c>
      <c r="G333" s="358"/>
      <c r="H333" s="357" t="str">
        <f t="shared" si="133"/>
        <v/>
      </c>
      <c r="I333" s="357" t="str">
        <f t="shared" si="134"/>
        <v/>
      </c>
      <c r="J333" s="359"/>
      <c r="K333" s="359"/>
      <c r="L333" s="359"/>
      <c r="M333" s="81"/>
      <c r="O333" s="73" t="str">
        <f t="shared" si="135"/>
        <v/>
      </c>
      <c r="P333" s="73" t="str">
        <f t="shared" si="136"/>
        <v/>
      </c>
      <c r="Q333" s="73" t="str">
        <f t="shared" si="137"/>
        <v/>
      </c>
      <c r="R333" s="73" t="str">
        <f t="shared" si="138"/>
        <v/>
      </c>
    </row>
    <row r="334" spans="1:33" hidden="1">
      <c r="A334" s="355" t="str">
        <f>IF(C334="","",VLOOKUP('OPĆI DIO'!$C$3,'OPĆI DIO'!$L$6:$U$138,10,FALSE))</f>
        <v/>
      </c>
      <c r="B334" s="355" t="str">
        <f>IF(C334="","",VLOOKUP('OPĆI DIO'!$C$3,'OPĆI DIO'!$L$6:$U$138,9,FALSE))</f>
        <v/>
      </c>
      <c r="C334" s="356"/>
      <c r="D334" s="357" t="str">
        <f t="shared" si="131"/>
        <v/>
      </c>
      <c r="E334" s="356"/>
      <c r="F334" s="357" t="str">
        <f t="shared" si="132"/>
        <v/>
      </c>
      <c r="G334" s="358"/>
      <c r="H334" s="357" t="str">
        <f t="shared" si="133"/>
        <v/>
      </c>
      <c r="I334" s="357" t="str">
        <f t="shared" si="134"/>
        <v/>
      </c>
      <c r="J334" s="359"/>
      <c r="K334" s="359"/>
      <c r="L334" s="359"/>
      <c r="M334" s="81"/>
      <c r="O334" s="73" t="str">
        <f t="shared" si="135"/>
        <v/>
      </c>
      <c r="P334" s="73" t="str">
        <f t="shared" si="136"/>
        <v/>
      </c>
      <c r="Q334" s="73" t="str">
        <f t="shared" si="137"/>
        <v/>
      </c>
      <c r="R334" s="73" t="str">
        <f t="shared" si="138"/>
        <v/>
      </c>
    </row>
    <row r="335" spans="1:33" hidden="1">
      <c r="A335" s="355" t="str">
        <f>IF(C335="","",VLOOKUP('OPĆI DIO'!$C$3,'OPĆI DIO'!$L$6:$U$138,10,FALSE))</f>
        <v/>
      </c>
      <c r="B335" s="355" t="str">
        <f>IF(C335="","",VLOOKUP('OPĆI DIO'!$C$3,'OPĆI DIO'!$L$6:$U$138,9,FALSE))</f>
        <v/>
      </c>
      <c r="C335" s="356"/>
      <c r="D335" s="357" t="str">
        <f t="shared" si="131"/>
        <v/>
      </c>
      <c r="E335" s="356"/>
      <c r="F335" s="357" t="str">
        <f t="shared" si="132"/>
        <v/>
      </c>
      <c r="G335" s="358"/>
      <c r="H335" s="357" t="str">
        <f t="shared" si="133"/>
        <v/>
      </c>
      <c r="I335" s="357" t="str">
        <f t="shared" si="134"/>
        <v/>
      </c>
      <c r="J335" s="359"/>
      <c r="K335" s="359"/>
      <c r="L335" s="359"/>
      <c r="M335" s="81"/>
      <c r="O335" s="73" t="str">
        <f t="shared" si="135"/>
        <v/>
      </c>
      <c r="P335" s="73" t="str">
        <f t="shared" si="136"/>
        <v/>
      </c>
      <c r="Q335" s="73" t="str">
        <f t="shared" si="137"/>
        <v/>
      </c>
      <c r="R335" s="73" t="str">
        <f t="shared" si="138"/>
        <v/>
      </c>
    </row>
    <row r="336" spans="1:33" hidden="1">
      <c r="A336" s="355" t="str">
        <f>IF(C336="","",VLOOKUP('OPĆI DIO'!$C$3,'OPĆI DIO'!$L$6:$U$138,10,FALSE))</f>
        <v/>
      </c>
      <c r="B336" s="355" t="str">
        <f>IF(C336="","",VLOOKUP('OPĆI DIO'!$C$3,'OPĆI DIO'!$L$6:$U$138,9,FALSE))</f>
        <v/>
      </c>
      <c r="C336" s="356"/>
      <c r="D336" s="357" t="str">
        <f t="shared" si="131"/>
        <v/>
      </c>
      <c r="E336" s="356"/>
      <c r="F336" s="357" t="str">
        <f t="shared" si="132"/>
        <v/>
      </c>
      <c r="G336" s="358"/>
      <c r="H336" s="357" t="str">
        <f t="shared" si="133"/>
        <v/>
      </c>
      <c r="I336" s="357" t="str">
        <f t="shared" si="134"/>
        <v/>
      </c>
      <c r="J336" s="359"/>
      <c r="K336" s="359"/>
      <c r="L336" s="359"/>
      <c r="M336" s="81"/>
      <c r="O336" s="73" t="str">
        <f t="shared" si="135"/>
        <v/>
      </c>
      <c r="P336" s="73" t="str">
        <f t="shared" si="136"/>
        <v/>
      </c>
      <c r="Q336" s="73" t="str">
        <f t="shared" si="137"/>
        <v/>
      </c>
      <c r="R336" s="73" t="str">
        <f t="shared" si="138"/>
        <v/>
      </c>
    </row>
    <row r="337" spans="1:18" hidden="1">
      <c r="A337" s="355" t="str">
        <f>IF(C337="","",VLOOKUP('OPĆI DIO'!$C$3,'OPĆI DIO'!$L$6:$U$138,10,FALSE))</f>
        <v/>
      </c>
      <c r="B337" s="355" t="str">
        <f>IF(C337="","",VLOOKUP('OPĆI DIO'!$C$3,'OPĆI DIO'!$L$6:$U$138,9,FALSE))</f>
        <v/>
      </c>
      <c r="C337" s="356"/>
      <c r="D337" s="357" t="str">
        <f t="shared" si="131"/>
        <v/>
      </c>
      <c r="E337" s="356"/>
      <c r="F337" s="357" t="str">
        <f t="shared" si="132"/>
        <v/>
      </c>
      <c r="G337" s="358"/>
      <c r="H337" s="357" t="str">
        <f t="shared" si="133"/>
        <v/>
      </c>
      <c r="I337" s="357" t="str">
        <f t="shared" si="134"/>
        <v/>
      </c>
      <c r="J337" s="359"/>
      <c r="K337" s="359"/>
      <c r="L337" s="359"/>
      <c r="M337" s="81"/>
      <c r="O337" s="73" t="str">
        <f t="shared" si="135"/>
        <v/>
      </c>
      <c r="P337" s="73" t="str">
        <f t="shared" si="136"/>
        <v/>
      </c>
      <c r="Q337" s="73" t="str">
        <f t="shared" si="137"/>
        <v/>
      </c>
      <c r="R337" s="73" t="str">
        <f t="shared" si="138"/>
        <v/>
      </c>
    </row>
    <row r="338" spans="1:18" hidden="1">
      <c r="A338" s="355" t="str">
        <f>IF(C338="","",VLOOKUP('OPĆI DIO'!$C$3,'OPĆI DIO'!$L$6:$U$138,10,FALSE))</f>
        <v/>
      </c>
      <c r="B338" s="355" t="str">
        <f>IF(C338="","",VLOOKUP('OPĆI DIO'!$C$3,'OPĆI DIO'!$L$6:$U$138,9,FALSE))</f>
        <v/>
      </c>
      <c r="C338" s="356"/>
      <c r="D338" s="357" t="str">
        <f t="shared" si="131"/>
        <v/>
      </c>
      <c r="E338" s="356"/>
      <c r="F338" s="357" t="str">
        <f t="shared" si="132"/>
        <v/>
      </c>
      <c r="G338" s="358"/>
      <c r="H338" s="357" t="str">
        <f t="shared" si="133"/>
        <v/>
      </c>
      <c r="I338" s="357" t="str">
        <f t="shared" si="134"/>
        <v/>
      </c>
      <c r="J338" s="359"/>
      <c r="K338" s="359"/>
      <c r="L338" s="359"/>
      <c r="M338" s="81"/>
      <c r="O338" s="73" t="str">
        <f t="shared" si="135"/>
        <v/>
      </c>
      <c r="P338" s="73" t="str">
        <f t="shared" si="136"/>
        <v/>
      </c>
      <c r="Q338" s="73" t="str">
        <f t="shared" si="137"/>
        <v/>
      </c>
      <c r="R338" s="73" t="str">
        <f t="shared" si="138"/>
        <v/>
      </c>
    </row>
    <row r="339" spans="1:18" hidden="1">
      <c r="A339" s="355" t="str">
        <f>IF(C339="","",VLOOKUP('OPĆI DIO'!$C$3,'OPĆI DIO'!$L$6:$U$138,10,FALSE))</f>
        <v/>
      </c>
      <c r="B339" s="355" t="str">
        <f>IF(C339="","",VLOOKUP('OPĆI DIO'!$C$3,'OPĆI DIO'!$L$6:$U$138,9,FALSE))</f>
        <v/>
      </c>
      <c r="C339" s="356"/>
      <c r="D339" s="357" t="str">
        <f t="shared" si="131"/>
        <v/>
      </c>
      <c r="E339" s="356"/>
      <c r="F339" s="357" t="str">
        <f t="shared" si="132"/>
        <v/>
      </c>
      <c r="G339" s="358"/>
      <c r="H339" s="357" t="str">
        <f t="shared" si="133"/>
        <v/>
      </c>
      <c r="I339" s="357" t="str">
        <f t="shared" si="134"/>
        <v/>
      </c>
      <c r="J339" s="359"/>
      <c r="K339" s="359"/>
      <c r="L339" s="359"/>
      <c r="M339" s="81"/>
      <c r="O339" s="73" t="str">
        <f t="shared" si="135"/>
        <v/>
      </c>
      <c r="P339" s="73" t="str">
        <f t="shared" si="136"/>
        <v/>
      </c>
      <c r="Q339" s="73" t="str">
        <f t="shared" si="137"/>
        <v/>
      </c>
      <c r="R339" s="73" t="str">
        <f t="shared" si="138"/>
        <v/>
      </c>
    </row>
    <row r="340" spans="1:18" hidden="1">
      <c r="A340" s="355" t="str">
        <f>IF(C340="","",VLOOKUP('OPĆI DIO'!$C$3,'OPĆI DIO'!$L$6:$U$138,10,FALSE))</f>
        <v/>
      </c>
      <c r="B340" s="355" t="str">
        <f>IF(C340="","",VLOOKUP('OPĆI DIO'!$C$3,'OPĆI DIO'!$L$6:$U$138,9,FALSE))</f>
        <v/>
      </c>
      <c r="C340" s="356"/>
      <c r="D340" s="357" t="str">
        <f t="shared" si="131"/>
        <v/>
      </c>
      <c r="E340" s="356"/>
      <c r="F340" s="357" t="str">
        <f t="shared" si="132"/>
        <v/>
      </c>
      <c r="G340" s="358"/>
      <c r="H340" s="357" t="str">
        <f t="shared" si="133"/>
        <v/>
      </c>
      <c r="I340" s="357" t="str">
        <f t="shared" si="134"/>
        <v/>
      </c>
      <c r="J340" s="359"/>
      <c r="K340" s="359"/>
      <c r="L340" s="359"/>
      <c r="M340" s="81"/>
      <c r="O340" s="73" t="str">
        <f t="shared" si="135"/>
        <v/>
      </c>
      <c r="P340" s="73" t="str">
        <f t="shared" si="136"/>
        <v/>
      </c>
      <c r="Q340" s="73" t="str">
        <f t="shared" si="137"/>
        <v/>
      </c>
      <c r="R340" s="73" t="str">
        <f t="shared" si="138"/>
        <v/>
      </c>
    </row>
    <row r="341" spans="1:18" hidden="1">
      <c r="A341" s="355" t="str">
        <f>IF(C341="","",VLOOKUP('OPĆI DIO'!$C$3,'OPĆI DIO'!$L$6:$U$138,10,FALSE))</f>
        <v/>
      </c>
      <c r="B341" s="355" t="str">
        <f>IF(C341="","",VLOOKUP('OPĆI DIO'!$C$3,'OPĆI DIO'!$L$6:$U$138,9,FALSE))</f>
        <v/>
      </c>
      <c r="C341" s="356"/>
      <c r="D341" s="357" t="str">
        <f t="shared" si="131"/>
        <v/>
      </c>
      <c r="E341" s="356"/>
      <c r="F341" s="357" t="str">
        <f t="shared" si="132"/>
        <v/>
      </c>
      <c r="G341" s="358"/>
      <c r="H341" s="357" t="str">
        <f t="shared" si="133"/>
        <v/>
      </c>
      <c r="I341" s="357" t="str">
        <f t="shared" si="134"/>
        <v/>
      </c>
      <c r="J341" s="359"/>
      <c r="K341" s="359"/>
      <c r="L341" s="359"/>
      <c r="M341" s="81"/>
      <c r="O341" s="73" t="str">
        <f t="shared" si="135"/>
        <v/>
      </c>
      <c r="P341" s="73" t="str">
        <f t="shared" si="136"/>
        <v/>
      </c>
      <c r="Q341" s="73" t="str">
        <f t="shared" si="137"/>
        <v/>
      </c>
      <c r="R341" s="73" t="str">
        <f t="shared" si="138"/>
        <v/>
      </c>
    </row>
    <row r="342" spans="1:18" hidden="1">
      <c r="A342" s="355" t="str">
        <f>IF(C342="","",VLOOKUP('OPĆI DIO'!$C$3,'OPĆI DIO'!$L$6:$U$138,10,FALSE))</f>
        <v/>
      </c>
      <c r="B342" s="355" t="str">
        <f>IF(C342="","",VLOOKUP('OPĆI DIO'!$C$3,'OPĆI DIO'!$L$6:$U$138,9,FALSE))</f>
        <v/>
      </c>
      <c r="C342" s="356"/>
      <c r="D342" s="357" t="str">
        <f t="shared" si="131"/>
        <v/>
      </c>
      <c r="E342" s="356"/>
      <c r="F342" s="357" t="str">
        <f t="shared" si="132"/>
        <v/>
      </c>
      <c r="G342" s="358"/>
      <c r="H342" s="357" t="str">
        <f t="shared" si="133"/>
        <v/>
      </c>
      <c r="I342" s="357" t="str">
        <f t="shared" si="134"/>
        <v/>
      </c>
      <c r="J342" s="359"/>
      <c r="K342" s="359"/>
      <c r="L342" s="359"/>
      <c r="M342" s="81"/>
      <c r="O342" s="73" t="str">
        <f t="shared" si="135"/>
        <v/>
      </c>
      <c r="P342" s="73" t="str">
        <f t="shared" si="136"/>
        <v/>
      </c>
      <c r="Q342" s="73" t="str">
        <f t="shared" si="137"/>
        <v/>
      </c>
      <c r="R342" s="73" t="str">
        <f t="shared" si="138"/>
        <v/>
      </c>
    </row>
    <row r="343" spans="1:18" hidden="1">
      <c r="A343" s="355" t="str">
        <f>IF(C343="","",VLOOKUP('OPĆI DIO'!$C$3,'OPĆI DIO'!$L$6:$U$138,10,FALSE))</f>
        <v/>
      </c>
      <c r="B343" s="355" t="str">
        <f>IF(C343="","",VLOOKUP('OPĆI DIO'!$C$3,'OPĆI DIO'!$L$6:$U$138,9,FALSE))</f>
        <v/>
      </c>
      <c r="C343" s="356"/>
      <c r="D343" s="357" t="str">
        <f t="shared" si="131"/>
        <v/>
      </c>
      <c r="E343" s="356"/>
      <c r="F343" s="357" t="str">
        <f t="shared" si="132"/>
        <v/>
      </c>
      <c r="G343" s="358"/>
      <c r="H343" s="357" t="str">
        <f t="shared" si="133"/>
        <v/>
      </c>
      <c r="I343" s="357" t="str">
        <f t="shared" si="134"/>
        <v/>
      </c>
      <c r="J343" s="359"/>
      <c r="K343" s="359"/>
      <c r="L343" s="359"/>
      <c r="M343" s="81"/>
      <c r="O343" s="73" t="str">
        <f t="shared" si="135"/>
        <v/>
      </c>
      <c r="P343" s="73" t="str">
        <f t="shared" si="136"/>
        <v/>
      </c>
      <c r="Q343" s="73" t="str">
        <f t="shared" si="137"/>
        <v/>
      </c>
      <c r="R343" s="73" t="str">
        <f t="shared" si="138"/>
        <v/>
      </c>
    </row>
    <row r="344" spans="1:18" hidden="1">
      <c r="A344" s="355" t="str">
        <f>IF(C344="","",VLOOKUP('OPĆI DIO'!$C$3,'OPĆI DIO'!$L$6:$U$138,10,FALSE))</f>
        <v/>
      </c>
      <c r="B344" s="355" t="str">
        <f>IF(C344="","",VLOOKUP('OPĆI DIO'!$C$3,'OPĆI DIO'!$L$6:$U$138,9,FALSE))</f>
        <v/>
      </c>
      <c r="C344" s="356"/>
      <c r="D344" s="357" t="str">
        <f t="shared" si="131"/>
        <v/>
      </c>
      <c r="E344" s="356"/>
      <c r="F344" s="357" t="str">
        <f t="shared" si="132"/>
        <v/>
      </c>
      <c r="G344" s="358"/>
      <c r="H344" s="357" t="str">
        <f t="shared" si="133"/>
        <v/>
      </c>
      <c r="I344" s="357" t="str">
        <f t="shared" si="134"/>
        <v/>
      </c>
      <c r="J344" s="359"/>
      <c r="K344" s="359"/>
      <c r="L344" s="359"/>
      <c r="M344" s="81"/>
      <c r="O344" s="73" t="str">
        <f t="shared" si="135"/>
        <v/>
      </c>
      <c r="P344" s="73" t="str">
        <f t="shared" si="136"/>
        <v/>
      </c>
      <c r="Q344" s="73" t="str">
        <f t="shared" si="137"/>
        <v/>
      </c>
      <c r="R344" s="73" t="str">
        <f t="shared" si="138"/>
        <v/>
      </c>
    </row>
    <row r="345" spans="1:18" hidden="1">
      <c r="A345" s="355" t="str">
        <f>IF(C345="","",VLOOKUP('OPĆI DIO'!$C$3,'OPĆI DIO'!$L$6:$U$138,10,FALSE))</f>
        <v/>
      </c>
      <c r="B345" s="355" t="str">
        <f>IF(C345="","",VLOOKUP('OPĆI DIO'!$C$3,'OPĆI DIO'!$L$6:$U$138,9,FALSE))</f>
        <v/>
      </c>
      <c r="C345" s="356"/>
      <c r="D345" s="357" t="str">
        <f t="shared" si="131"/>
        <v/>
      </c>
      <c r="E345" s="356"/>
      <c r="F345" s="357" t="str">
        <f t="shared" si="132"/>
        <v/>
      </c>
      <c r="G345" s="358"/>
      <c r="H345" s="357" t="str">
        <f t="shared" si="133"/>
        <v/>
      </c>
      <c r="I345" s="357" t="str">
        <f t="shared" si="134"/>
        <v/>
      </c>
      <c r="J345" s="359"/>
      <c r="K345" s="359"/>
      <c r="L345" s="359"/>
      <c r="M345" s="81"/>
      <c r="O345" s="73" t="str">
        <f t="shared" si="135"/>
        <v/>
      </c>
      <c r="P345" s="73" t="str">
        <f t="shared" si="136"/>
        <v/>
      </c>
      <c r="Q345" s="73" t="str">
        <f t="shared" si="137"/>
        <v/>
      </c>
      <c r="R345" s="73" t="str">
        <f t="shared" si="138"/>
        <v/>
      </c>
    </row>
    <row r="346" spans="1:18" hidden="1">
      <c r="A346" s="355" t="str">
        <f>IF(C346="","",VLOOKUP('OPĆI DIO'!$C$3,'OPĆI DIO'!$L$6:$U$138,10,FALSE))</f>
        <v/>
      </c>
      <c r="B346" s="355" t="str">
        <f>IF(C346="","",VLOOKUP('OPĆI DIO'!$C$3,'OPĆI DIO'!$L$6:$U$138,9,FALSE))</f>
        <v/>
      </c>
      <c r="C346" s="356"/>
      <c r="D346" s="357" t="str">
        <f t="shared" si="131"/>
        <v/>
      </c>
      <c r="E346" s="356"/>
      <c r="F346" s="357" t="str">
        <f t="shared" si="132"/>
        <v/>
      </c>
      <c r="G346" s="358"/>
      <c r="H346" s="357" t="str">
        <f t="shared" si="133"/>
        <v/>
      </c>
      <c r="I346" s="357" t="str">
        <f t="shared" si="134"/>
        <v/>
      </c>
      <c r="J346" s="359"/>
      <c r="K346" s="359"/>
      <c r="L346" s="359"/>
      <c r="M346" s="81"/>
      <c r="O346" s="73" t="str">
        <f t="shared" si="135"/>
        <v/>
      </c>
      <c r="P346" s="73" t="str">
        <f t="shared" si="136"/>
        <v/>
      </c>
      <c r="Q346" s="73" t="str">
        <f t="shared" si="137"/>
        <v/>
      </c>
      <c r="R346" s="73" t="str">
        <f t="shared" si="138"/>
        <v/>
      </c>
    </row>
    <row r="347" spans="1:18" hidden="1">
      <c r="A347" s="355" t="str">
        <f>IF(C347="","",VLOOKUP('OPĆI DIO'!$C$3,'OPĆI DIO'!$L$6:$U$138,10,FALSE))</f>
        <v/>
      </c>
      <c r="B347" s="355" t="str">
        <f>IF(C347="","",VLOOKUP('OPĆI DIO'!$C$3,'OPĆI DIO'!$L$6:$U$138,9,FALSE))</f>
        <v/>
      </c>
      <c r="C347" s="356"/>
      <c r="D347" s="357" t="str">
        <f t="shared" si="131"/>
        <v/>
      </c>
      <c r="E347" s="356"/>
      <c r="F347" s="357" t="str">
        <f t="shared" si="132"/>
        <v/>
      </c>
      <c r="G347" s="358"/>
      <c r="H347" s="357" t="str">
        <f t="shared" si="133"/>
        <v/>
      </c>
      <c r="I347" s="357" t="str">
        <f t="shared" si="134"/>
        <v/>
      </c>
      <c r="J347" s="359"/>
      <c r="K347" s="359"/>
      <c r="L347" s="359"/>
      <c r="M347" s="81"/>
      <c r="O347" s="73" t="str">
        <f t="shared" si="135"/>
        <v/>
      </c>
      <c r="P347" s="73" t="str">
        <f t="shared" si="136"/>
        <v/>
      </c>
      <c r="Q347" s="73" t="str">
        <f t="shared" si="137"/>
        <v/>
      </c>
      <c r="R347" s="73" t="str">
        <f t="shared" si="138"/>
        <v/>
      </c>
    </row>
    <row r="348" spans="1:18" hidden="1">
      <c r="A348" s="355" t="str">
        <f>IF(C348="","",VLOOKUP('OPĆI DIO'!$C$3,'OPĆI DIO'!$L$6:$U$138,10,FALSE))</f>
        <v/>
      </c>
      <c r="B348" s="355" t="str">
        <f>IF(C348="","",VLOOKUP('OPĆI DIO'!$C$3,'OPĆI DIO'!$L$6:$U$138,9,FALSE))</f>
        <v/>
      </c>
      <c r="C348" s="356"/>
      <c r="D348" s="357" t="str">
        <f t="shared" si="131"/>
        <v/>
      </c>
      <c r="E348" s="356"/>
      <c r="F348" s="357" t="str">
        <f t="shared" si="132"/>
        <v/>
      </c>
      <c r="G348" s="358"/>
      <c r="H348" s="357" t="str">
        <f t="shared" si="133"/>
        <v/>
      </c>
      <c r="I348" s="357" t="str">
        <f t="shared" si="134"/>
        <v/>
      </c>
      <c r="J348" s="359"/>
      <c r="K348" s="359"/>
      <c r="L348" s="359"/>
      <c r="M348" s="81"/>
      <c r="O348" s="73" t="str">
        <f t="shared" si="135"/>
        <v/>
      </c>
      <c r="P348" s="73" t="str">
        <f t="shared" si="136"/>
        <v/>
      </c>
      <c r="Q348" s="73" t="str">
        <f t="shared" si="137"/>
        <v/>
      </c>
      <c r="R348" s="73" t="str">
        <f t="shared" si="138"/>
        <v/>
      </c>
    </row>
    <row r="349" spans="1:18" hidden="1">
      <c r="A349" s="355" t="str">
        <f>IF(C349="","",VLOOKUP('OPĆI DIO'!$C$3,'OPĆI DIO'!$L$6:$U$138,10,FALSE))</f>
        <v/>
      </c>
      <c r="B349" s="355" t="str">
        <f>IF(C349="","",VLOOKUP('OPĆI DIO'!$C$3,'OPĆI DIO'!$L$6:$U$138,9,FALSE))</f>
        <v/>
      </c>
      <c r="C349" s="356"/>
      <c r="D349" s="357" t="str">
        <f t="shared" si="131"/>
        <v/>
      </c>
      <c r="E349" s="356"/>
      <c r="F349" s="357" t="str">
        <f t="shared" si="132"/>
        <v/>
      </c>
      <c r="G349" s="358"/>
      <c r="H349" s="357" t="str">
        <f t="shared" si="133"/>
        <v/>
      </c>
      <c r="I349" s="357" t="str">
        <f t="shared" si="134"/>
        <v/>
      </c>
      <c r="J349" s="359"/>
      <c r="K349" s="359"/>
      <c r="L349" s="359"/>
      <c r="M349" s="81"/>
      <c r="O349" s="73" t="str">
        <f t="shared" si="135"/>
        <v/>
      </c>
      <c r="P349" s="73" t="str">
        <f t="shared" si="136"/>
        <v/>
      </c>
      <c r="Q349" s="73" t="str">
        <f t="shared" si="137"/>
        <v/>
      </c>
      <c r="R349" s="73" t="str">
        <f t="shared" si="138"/>
        <v/>
      </c>
    </row>
    <row r="350" spans="1:18" hidden="1">
      <c r="A350" s="355" t="str">
        <f>IF(C350="","",VLOOKUP('OPĆI DIO'!$C$3,'OPĆI DIO'!$L$6:$U$138,10,FALSE))</f>
        <v/>
      </c>
      <c r="B350" s="355" t="str">
        <f>IF(C350="","",VLOOKUP('OPĆI DIO'!$C$3,'OPĆI DIO'!$L$6:$U$138,9,FALSE))</f>
        <v/>
      </c>
      <c r="C350" s="356"/>
      <c r="D350" s="357" t="str">
        <f t="shared" si="131"/>
        <v/>
      </c>
      <c r="E350" s="356"/>
      <c r="F350" s="357" t="str">
        <f t="shared" si="132"/>
        <v/>
      </c>
      <c r="G350" s="358"/>
      <c r="H350" s="357" t="str">
        <f t="shared" si="133"/>
        <v/>
      </c>
      <c r="I350" s="357" t="str">
        <f t="shared" si="134"/>
        <v/>
      </c>
      <c r="J350" s="359"/>
      <c r="K350" s="359"/>
      <c r="L350" s="359"/>
      <c r="M350" s="81"/>
      <c r="O350" s="73" t="str">
        <f t="shared" si="135"/>
        <v/>
      </c>
      <c r="P350" s="73" t="str">
        <f t="shared" si="136"/>
        <v/>
      </c>
      <c r="Q350" s="73" t="str">
        <f t="shared" si="137"/>
        <v/>
      </c>
      <c r="R350" s="73" t="str">
        <f t="shared" si="138"/>
        <v/>
      </c>
    </row>
    <row r="351" spans="1:18" hidden="1">
      <c r="A351" s="355" t="str">
        <f>IF(C351="","",VLOOKUP('OPĆI DIO'!$C$3,'OPĆI DIO'!$L$6:$U$138,10,FALSE))</f>
        <v/>
      </c>
      <c r="B351" s="355" t="str">
        <f>IF(C351="","",VLOOKUP('OPĆI DIO'!$C$3,'OPĆI DIO'!$L$6:$U$138,9,FALSE))</f>
        <v/>
      </c>
      <c r="C351" s="356"/>
      <c r="D351" s="357" t="str">
        <f t="shared" si="131"/>
        <v/>
      </c>
      <c r="E351" s="356"/>
      <c r="F351" s="357" t="str">
        <f t="shared" si="132"/>
        <v/>
      </c>
      <c r="G351" s="358"/>
      <c r="H351" s="357" t="str">
        <f t="shared" si="133"/>
        <v/>
      </c>
      <c r="I351" s="357" t="str">
        <f t="shared" si="134"/>
        <v/>
      </c>
      <c r="J351" s="359"/>
      <c r="K351" s="359"/>
      <c r="L351" s="359"/>
      <c r="M351" s="81"/>
      <c r="O351" s="73" t="str">
        <f t="shared" si="135"/>
        <v/>
      </c>
      <c r="P351" s="73" t="str">
        <f t="shared" si="136"/>
        <v/>
      </c>
      <c r="Q351" s="73" t="str">
        <f t="shared" si="137"/>
        <v/>
      </c>
      <c r="R351" s="73" t="str">
        <f t="shared" si="138"/>
        <v/>
      </c>
    </row>
    <row r="352" spans="1:18" hidden="1">
      <c r="A352" s="355" t="str">
        <f>IF(C352="","",VLOOKUP('OPĆI DIO'!$C$3,'OPĆI DIO'!$L$6:$U$138,10,FALSE))</f>
        <v/>
      </c>
      <c r="B352" s="355" t="str">
        <f>IF(C352="","",VLOOKUP('OPĆI DIO'!$C$3,'OPĆI DIO'!$L$6:$U$138,9,FALSE))</f>
        <v/>
      </c>
      <c r="C352" s="356"/>
      <c r="D352" s="357" t="str">
        <f t="shared" si="131"/>
        <v/>
      </c>
      <c r="E352" s="356"/>
      <c r="F352" s="357" t="str">
        <f t="shared" si="132"/>
        <v/>
      </c>
      <c r="G352" s="358"/>
      <c r="H352" s="357" t="str">
        <f t="shared" si="133"/>
        <v/>
      </c>
      <c r="I352" s="357" t="str">
        <f t="shared" si="134"/>
        <v/>
      </c>
      <c r="J352" s="359"/>
      <c r="K352" s="359"/>
      <c r="L352" s="359"/>
      <c r="M352" s="81"/>
      <c r="O352" s="73" t="str">
        <f t="shared" si="135"/>
        <v/>
      </c>
      <c r="P352" s="73" t="str">
        <f t="shared" si="136"/>
        <v/>
      </c>
      <c r="Q352" s="73" t="str">
        <f t="shared" si="137"/>
        <v/>
      </c>
      <c r="R352" s="73" t="str">
        <f t="shared" si="138"/>
        <v/>
      </c>
    </row>
    <row r="353" spans="1:18" hidden="1">
      <c r="A353" s="355" t="str">
        <f>IF(C353="","",VLOOKUP('OPĆI DIO'!$C$3,'OPĆI DIO'!$L$6:$U$138,10,FALSE))</f>
        <v/>
      </c>
      <c r="B353" s="355" t="str">
        <f>IF(C353="","",VLOOKUP('OPĆI DIO'!$C$3,'OPĆI DIO'!$L$6:$U$138,9,FALSE))</f>
        <v/>
      </c>
      <c r="C353" s="356"/>
      <c r="D353" s="357" t="str">
        <f t="shared" si="131"/>
        <v/>
      </c>
      <c r="E353" s="356"/>
      <c r="F353" s="357" t="str">
        <f t="shared" si="132"/>
        <v/>
      </c>
      <c r="G353" s="358"/>
      <c r="H353" s="357" t="str">
        <f t="shared" si="133"/>
        <v/>
      </c>
      <c r="I353" s="357" t="str">
        <f t="shared" si="134"/>
        <v/>
      </c>
      <c r="J353" s="359"/>
      <c r="K353" s="359"/>
      <c r="L353" s="359"/>
      <c r="M353" s="81"/>
      <c r="O353" s="73" t="str">
        <f t="shared" si="135"/>
        <v/>
      </c>
      <c r="P353" s="73" t="str">
        <f t="shared" si="136"/>
        <v/>
      </c>
      <c r="Q353" s="73" t="str">
        <f t="shared" si="137"/>
        <v/>
      </c>
      <c r="R353" s="73" t="str">
        <f t="shared" si="138"/>
        <v/>
      </c>
    </row>
    <row r="354" spans="1:18" hidden="1">
      <c r="A354" s="355" t="str">
        <f>IF(C354="","",VLOOKUP('OPĆI DIO'!$C$3,'OPĆI DIO'!$L$6:$U$138,10,FALSE))</f>
        <v/>
      </c>
      <c r="B354" s="355" t="str">
        <f>IF(C354="","",VLOOKUP('OPĆI DIO'!$C$3,'OPĆI DIO'!$L$6:$U$138,9,FALSE))</f>
        <v/>
      </c>
      <c r="C354" s="356"/>
      <c r="D354" s="357" t="str">
        <f t="shared" si="131"/>
        <v/>
      </c>
      <c r="E354" s="356"/>
      <c r="F354" s="357" t="str">
        <f t="shared" si="132"/>
        <v/>
      </c>
      <c r="G354" s="358"/>
      <c r="H354" s="357" t="str">
        <f t="shared" si="133"/>
        <v/>
      </c>
      <c r="I354" s="357" t="str">
        <f t="shared" si="134"/>
        <v/>
      </c>
      <c r="J354" s="359"/>
      <c r="K354" s="359"/>
      <c r="L354" s="359"/>
      <c r="M354" s="81"/>
      <c r="O354" s="73" t="str">
        <f t="shared" si="135"/>
        <v/>
      </c>
      <c r="P354" s="73" t="str">
        <f t="shared" si="136"/>
        <v/>
      </c>
      <c r="Q354" s="73" t="str">
        <f t="shared" si="137"/>
        <v/>
      </c>
      <c r="R354" s="73" t="str">
        <f t="shared" si="138"/>
        <v/>
      </c>
    </row>
    <row r="355" spans="1:18" hidden="1">
      <c r="A355" s="355" t="str">
        <f>IF(C355="","",VLOOKUP('OPĆI DIO'!$C$3,'OPĆI DIO'!$L$6:$U$138,10,FALSE))</f>
        <v/>
      </c>
      <c r="B355" s="355" t="str">
        <f>IF(C355="","",VLOOKUP('OPĆI DIO'!$C$3,'OPĆI DIO'!$L$6:$U$138,9,FALSE))</f>
        <v/>
      </c>
      <c r="C355" s="356"/>
      <c r="D355" s="357" t="str">
        <f t="shared" si="131"/>
        <v/>
      </c>
      <c r="E355" s="356"/>
      <c r="F355" s="357" t="str">
        <f t="shared" si="132"/>
        <v/>
      </c>
      <c r="G355" s="358"/>
      <c r="H355" s="357" t="str">
        <f t="shared" si="133"/>
        <v/>
      </c>
      <c r="I355" s="357" t="str">
        <f t="shared" si="134"/>
        <v/>
      </c>
      <c r="J355" s="359"/>
      <c r="K355" s="359"/>
      <c r="L355" s="359"/>
      <c r="M355" s="81"/>
      <c r="O355" s="73" t="str">
        <f t="shared" si="135"/>
        <v/>
      </c>
      <c r="P355" s="73" t="str">
        <f t="shared" si="136"/>
        <v/>
      </c>
      <c r="Q355" s="73" t="str">
        <f t="shared" si="137"/>
        <v/>
      </c>
      <c r="R355" s="73" t="str">
        <f t="shared" si="138"/>
        <v/>
      </c>
    </row>
    <row r="356" spans="1:18" hidden="1">
      <c r="A356" s="355" t="str">
        <f>IF(C356="","",VLOOKUP('OPĆI DIO'!$C$3,'OPĆI DIO'!$L$6:$U$138,10,FALSE))</f>
        <v/>
      </c>
      <c r="B356" s="355" t="str">
        <f>IF(C356="","",VLOOKUP('OPĆI DIO'!$C$3,'OPĆI DIO'!$L$6:$U$138,9,FALSE))</f>
        <v/>
      </c>
      <c r="C356" s="356"/>
      <c r="D356" s="357" t="str">
        <f t="shared" si="131"/>
        <v/>
      </c>
      <c r="E356" s="356"/>
      <c r="F356" s="357" t="str">
        <f t="shared" si="132"/>
        <v/>
      </c>
      <c r="G356" s="358"/>
      <c r="H356" s="357" t="str">
        <f t="shared" si="133"/>
        <v/>
      </c>
      <c r="I356" s="357" t="str">
        <f t="shared" si="134"/>
        <v/>
      </c>
      <c r="J356" s="359"/>
      <c r="K356" s="359"/>
      <c r="L356" s="359"/>
      <c r="M356" s="81"/>
      <c r="O356" s="73" t="str">
        <f t="shared" si="135"/>
        <v/>
      </c>
      <c r="P356" s="73" t="str">
        <f t="shared" si="136"/>
        <v/>
      </c>
      <c r="Q356" s="73" t="str">
        <f t="shared" si="137"/>
        <v/>
      </c>
      <c r="R356" s="73" t="str">
        <f t="shared" si="138"/>
        <v/>
      </c>
    </row>
    <row r="357" spans="1:18" hidden="1">
      <c r="A357" s="355" t="str">
        <f>IF(C357="","",VLOOKUP('OPĆI DIO'!$C$3,'OPĆI DIO'!$L$6:$U$138,10,FALSE))</f>
        <v/>
      </c>
      <c r="B357" s="355" t="str">
        <f>IF(C357="","",VLOOKUP('OPĆI DIO'!$C$3,'OPĆI DIO'!$L$6:$U$138,9,FALSE))</f>
        <v/>
      </c>
      <c r="C357" s="356"/>
      <c r="D357" s="357" t="str">
        <f t="shared" si="131"/>
        <v/>
      </c>
      <c r="E357" s="356"/>
      <c r="F357" s="357" t="str">
        <f t="shared" si="132"/>
        <v/>
      </c>
      <c r="G357" s="358"/>
      <c r="H357" s="357" t="str">
        <f t="shared" si="133"/>
        <v/>
      </c>
      <c r="I357" s="357" t="str">
        <f t="shared" si="134"/>
        <v/>
      </c>
      <c r="J357" s="359"/>
      <c r="K357" s="359"/>
      <c r="L357" s="359"/>
      <c r="M357" s="81"/>
      <c r="O357" s="73" t="str">
        <f t="shared" si="135"/>
        <v/>
      </c>
      <c r="P357" s="73" t="str">
        <f t="shared" si="136"/>
        <v/>
      </c>
      <c r="Q357" s="73" t="str">
        <f t="shared" si="137"/>
        <v/>
      </c>
      <c r="R357" s="73" t="str">
        <f t="shared" si="138"/>
        <v/>
      </c>
    </row>
    <row r="358" spans="1:18" hidden="1">
      <c r="A358" s="355" t="str">
        <f>IF(C358="","",VLOOKUP('OPĆI DIO'!$C$3,'OPĆI DIO'!$L$6:$U$138,10,FALSE))</f>
        <v/>
      </c>
      <c r="B358" s="355" t="str">
        <f>IF(C358="","",VLOOKUP('OPĆI DIO'!$C$3,'OPĆI DIO'!$L$6:$U$138,9,FALSE))</f>
        <v/>
      </c>
      <c r="C358" s="356"/>
      <c r="D358" s="357" t="str">
        <f t="shared" si="131"/>
        <v/>
      </c>
      <c r="E358" s="356"/>
      <c r="F358" s="357" t="str">
        <f t="shared" si="132"/>
        <v/>
      </c>
      <c r="G358" s="358"/>
      <c r="H358" s="357" t="str">
        <f t="shared" si="133"/>
        <v/>
      </c>
      <c r="I358" s="357" t="str">
        <f t="shared" si="134"/>
        <v/>
      </c>
      <c r="J358" s="359"/>
      <c r="K358" s="359"/>
      <c r="L358" s="359"/>
      <c r="M358" s="81"/>
      <c r="O358" s="73" t="str">
        <f t="shared" si="135"/>
        <v/>
      </c>
      <c r="P358" s="73" t="str">
        <f t="shared" si="136"/>
        <v/>
      </c>
      <c r="Q358" s="73" t="str">
        <f t="shared" si="137"/>
        <v/>
      </c>
      <c r="R358" s="73" t="str">
        <f t="shared" si="138"/>
        <v/>
      </c>
    </row>
    <row r="359" spans="1:18" hidden="1">
      <c r="A359" s="355" t="str">
        <f>IF(C359="","",VLOOKUP('OPĆI DIO'!$C$3,'OPĆI DIO'!$L$6:$U$138,10,FALSE))</f>
        <v/>
      </c>
      <c r="B359" s="355" t="str">
        <f>IF(C359="","",VLOOKUP('OPĆI DIO'!$C$3,'OPĆI DIO'!$L$6:$U$138,9,FALSE))</f>
        <v/>
      </c>
      <c r="C359" s="356"/>
      <c r="D359" s="357" t="str">
        <f t="shared" si="131"/>
        <v/>
      </c>
      <c r="E359" s="356"/>
      <c r="F359" s="357" t="str">
        <f t="shared" si="132"/>
        <v/>
      </c>
      <c r="G359" s="358"/>
      <c r="H359" s="357" t="str">
        <f t="shared" si="133"/>
        <v/>
      </c>
      <c r="I359" s="357" t="str">
        <f t="shared" si="134"/>
        <v/>
      </c>
      <c r="J359" s="359"/>
      <c r="K359" s="359"/>
      <c r="L359" s="359"/>
      <c r="M359" s="81"/>
      <c r="O359" s="73" t="str">
        <f t="shared" si="135"/>
        <v/>
      </c>
      <c r="P359" s="73" t="str">
        <f t="shared" si="136"/>
        <v/>
      </c>
      <c r="Q359" s="73" t="str">
        <f t="shared" si="137"/>
        <v/>
      </c>
      <c r="R359" s="73" t="str">
        <f t="shared" si="138"/>
        <v/>
      </c>
    </row>
    <row r="360" spans="1:18" hidden="1">
      <c r="A360" s="355" t="str">
        <f>IF(C360="","",VLOOKUP('OPĆI DIO'!$C$3,'OPĆI DIO'!$L$6:$U$138,10,FALSE))</f>
        <v/>
      </c>
      <c r="B360" s="355" t="str">
        <f>IF(C360="","",VLOOKUP('OPĆI DIO'!$C$3,'OPĆI DIO'!$L$6:$U$138,9,FALSE))</f>
        <v/>
      </c>
      <c r="C360" s="356"/>
      <c r="D360" s="357" t="str">
        <f t="shared" si="131"/>
        <v/>
      </c>
      <c r="E360" s="356"/>
      <c r="F360" s="357" t="str">
        <f t="shared" si="132"/>
        <v/>
      </c>
      <c r="G360" s="358"/>
      <c r="H360" s="357" t="str">
        <f t="shared" si="133"/>
        <v/>
      </c>
      <c r="I360" s="357" t="str">
        <f t="shared" si="134"/>
        <v/>
      </c>
      <c r="J360" s="359"/>
      <c r="K360" s="359"/>
      <c r="L360" s="359"/>
      <c r="M360" s="81"/>
      <c r="O360" s="73" t="str">
        <f t="shared" si="135"/>
        <v/>
      </c>
      <c r="P360" s="73" t="str">
        <f t="shared" si="136"/>
        <v/>
      </c>
      <c r="Q360" s="73" t="str">
        <f t="shared" si="137"/>
        <v/>
      </c>
      <c r="R360" s="73" t="str">
        <f t="shared" si="138"/>
        <v/>
      </c>
    </row>
    <row r="361" spans="1:18" hidden="1">
      <c r="A361" s="355" t="str">
        <f>IF(C361="","",VLOOKUP('OPĆI DIO'!$C$3,'OPĆI DIO'!$L$6:$U$138,10,FALSE))</f>
        <v/>
      </c>
      <c r="B361" s="355" t="str">
        <f>IF(C361="","",VLOOKUP('OPĆI DIO'!$C$3,'OPĆI DIO'!$L$6:$U$138,9,FALSE))</f>
        <v/>
      </c>
      <c r="C361" s="356"/>
      <c r="D361" s="357" t="str">
        <f t="shared" si="131"/>
        <v/>
      </c>
      <c r="E361" s="356"/>
      <c r="F361" s="357" t="str">
        <f t="shared" si="132"/>
        <v/>
      </c>
      <c r="G361" s="358"/>
      <c r="H361" s="357" t="str">
        <f t="shared" si="133"/>
        <v/>
      </c>
      <c r="I361" s="357" t="str">
        <f t="shared" si="134"/>
        <v/>
      </c>
      <c r="J361" s="359"/>
      <c r="K361" s="359"/>
      <c r="L361" s="359"/>
      <c r="M361" s="81"/>
      <c r="O361" s="73" t="str">
        <f t="shared" si="135"/>
        <v/>
      </c>
      <c r="P361" s="73" t="str">
        <f t="shared" si="136"/>
        <v/>
      </c>
      <c r="Q361" s="73" t="str">
        <f t="shared" si="137"/>
        <v/>
      </c>
      <c r="R361" s="73" t="str">
        <f t="shared" si="138"/>
        <v/>
      </c>
    </row>
    <row r="362" spans="1:18" hidden="1">
      <c r="A362" s="355" t="str">
        <f>IF(C362="","",VLOOKUP('OPĆI DIO'!$C$3,'OPĆI DIO'!$L$6:$U$138,10,FALSE))</f>
        <v/>
      </c>
      <c r="B362" s="355" t="str">
        <f>IF(C362="","",VLOOKUP('OPĆI DIO'!$C$3,'OPĆI DIO'!$L$6:$U$138,9,FALSE))</f>
        <v/>
      </c>
      <c r="C362" s="356"/>
      <c r="D362" s="357" t="str">
        <f t="shared" si="131"/>
        <v/>
      </c>
      <c r="E362" s="356"/>
      <c r="F362" s="357" t="str">
        <f t="shared" si="132"/>
        <v/>
      </c>
      <c r="G362" s="358"/>
      <c r="H362" s="357" t="str">
        <f t="shared" si="133"/>
        <v/>
      </c>
      <c r="I362" s="357" t="str">
        <f t="shared" si="134"/>
        <v/>
      </c>
      <c r="J362" s="359"/>
      <c r="K362" s="359"/>
      <c r="L362" s="359"/>
      <c r="M362" s="81"/>
      <c r="O362" s="73" t="str">
        <f t="shared" si="135"/>
        <v/>
      </c>
      <c r="P362" s="73" t="str">
        <f t="shared" si="136"/>
        <v/>
      </c>
      <c r="Q362" s="73" t="str">
        <f t="shared" si="137"/>
        <v/>
      </c>
      <c r="R362" s="73" t="str">
        <f t="shared" si="138"/>
        <v/>
      </c>
    </row>
    <row r="363" spans="1:18" hidden="1">
      <c r="A363" s="355" t="str">
        <f>IF(C363="","",VLOOKUP('OPĆI DIO'!$C$3,'OPĆI DIO'!$L$6:$U$138,10,FALSE))</f>
        <v/>
      </c>
      <c r="B363" s="355" t="str">
        <f>IF(C363="","",VLOOKUP('OPĆI DIO'!$C$3,'OPĆI DIO'!$L$6:$U$138,9,FALSE))</f>
        <v/>
      </c>
      <c r="C363" s="356"/>
      <c r="D363" s="357" t="str">
        <f t="shared" si="131"/>
        <v/>
      </c>
      <c r="E363" s="356"/>
      <c r="F363" s="357" t="str">
        <f t="shared" si="132"/>
        <v/>
      </c>
      <c r="G363" s="358"/>
      <c r="H363" s="357" t="str">
        <f t="shared" si="133"/>
        <v/>
      </c>
      <c r="I363" s="357" t="str">
        <f t="shared" si="134"/>
        <v/>
      </c>
      <c r="J363" s="359"/>
      <c r="K363" s="359"/>
      <c r="L363" s="359"/>
      <c r="M363" s="81"/>
      <c r="O363" s="73" t="str">
        <f t="shared" si="135"/>
        <v/>
      </c>
      <c r="P363" s="73" t="str">
        <f t="shared" si="136"/>
        <v/>
      </c>
      <c r="Q363" s="73" t="str">
        <f t="shared" si="137"/>
        <v/>
      </c>
      <c r="R363" s="73" t="str">
        <f t="shared" si="138"/>
        <v/>
      </c>
    </row>
    <row r="364" spans="1:18" hidden="1">
      <c r="A364" s="355" t="str">
        <f>IF(C364="","",VLOOKUP('OPĆI DIO'!$C$3,'OPĆI DIO'!$L$6:$U$138,10,FALSE))</f>
        <v/>
      </c>
      <c r="B364" s="355" t="str">
        <f>IF(C364="","",VLOOKUP('OPĆI DIO'!$C$3,'OPĆI DIO'!$L$6:$U$138,9,FALSE))</f>
        <v/>
      </c>
      <c r="C364" s="356"/>
      <c r="D364" s="357" t="str">
        <f t="shared" si="131"/>
        <v/>
      </c>
      <c r="E364" s="356"/>
      <c r="F364" s="357" t="str">
        <f t="shared" si="132"/>
        <v/>
      </c>
      <c r="G364" s="358"/>
      <c r="H364" s="357" t="str">
        <f t="shared" si="133"/>
        <v/>
      </c>
      <c r="I364" s="357" t="str">
        <f t="shared" si="134"/>
        <v/>
      </c>
      <c r="J364" s="359"/>
      <c r="K364" s="359"/>
      <c r="L364" s="359"/>
      <c r="M364" s="81"/>
      <c r="O364" s="73" t="str">
        <f t="shared" si="135"/>
        <v/>
      </c>
      <c r="P364" s="73" t="str">
        <f t="shared" si="136"/>
        <v/>
      </c>
      <c r="Q364" s="73" t="str">
        <f t="shared" si="137"/>
        <v/>
      </c>
      <c r="R364" s="73" t="str">
        <f t="shared" si="138"/>
        <v/>
      </c>
    </row>
    <row r="365" spans="1:18" hidden="1">
      <c r="A365" s="355" t="str">
        <f>IF(C365="","",VLOOKUP('OPĆI DIO'!$C$3,'OPĆI DIO'!$L$6:$U$138,10,FALSE))</f>
        <v/>
      </c>
      <c r="B365" s="355" t="str">
        <f>IF(C365="","",VLOOKUP('OPĆI DIO'!$C$3,'OPĆI DIO'!$L$6:$U$138,9,FALSE))</f>
        <v/>
      </c>
      <c r="C365" s="356"/>
      <c r="D365" s="357" t="str">
        <f t="shared" si="131"/>
        <v/>
      </c>
      <c r="E365" s="356"/>
      <c r="F365" s="357" t="str">
        <f t="shared" si="132"/>
        <v/>
      </c>
      <c r="G365" s="358"/>
      <c r="H365" s="357" t="str">
        <f t="shared" si="133"/>
        <v/>
      </c>
      <c r="I365" s="357" t="str">
        <f t="shared" si="134"/>
        <v/>
      </c>
      <c r="J365" s="359"/>
      <c r="K365" s="359"/>
      <c r="L365" s="359"/>
      <c r="M365" s="81"/>
      <c r="O365" s="73" t="str">
        <f t="shared" si="135"/>
        <v/>
      </c>
      <c r="P365" s="73" t="str">
        <f t="shared" si="136"/>
        <v/>
      </c>
      <c r="Q365" s="73" t="str">
        <f t="shared" si="137"/>
        <v/>
      </c>
      <c r="R365" s="73" t="str">
        <f t="shared" si="138"/>
        <v/>
      </c>
    </row>
    <row r="366" spans="1:18" hidden="1">
      <c r="A366" s="355" t="str">
        <f>IF(C366="","",VLOOKUP('OPĆI DIO'!$C$3,'OPĆI DIO'!$L$6:$U$138,10,FALSE))</f>
        <v/>
      </c>
      <c r="B366" s="355" t="str">
        <f>IF(C366="","",VLOOKUP('OPĆI DIO'!$C$3,'OPĆI DIO'!$L$6:$U$138,9,FALSE))</f>
        <v/>
      </c>
      <c r="C366" s="356"/>
      <c r="D366" s="357" t="str">
        <f t="shared" si="131"/>
        <v/>
      </c>
      <c r="E366" s="356"/>
      <c r="F366" s="357" t="str">
        <f t="shared" si="132"/>
        <v/>
      </c>
      <c r="G366" s="358"/>
      <c r="H366" s="357" t="str">
        <f t="shared" si="133"/>
        <v/>
      </c>
      <c r="I366" s="357" t="str">
        <f t="shared" si="134"/>
        <v/>
      </c>
      <c r="J366" s="359"/>
      <c r="K366" s="359"/>
      <c r="L366" s="359"/>
      <c r="M366" s="81"/>
      <c r="O366" s="73" t="str">
        <f t="shared" si="135"/>
        <v/>
      </c>
      <c r="P366" s="73" t="str">
        <f t="shared" si="136"/>
        <v/>
      </c>
      <c r="Q366" s="73" t="str">
        <f t="shared" si="137"/>
        <v/>
      </c>
      <c r="R366" s="73" t="str">
        <f t="shared" si="138"/>
        <v/>
      </c>
    </row>
    <row r="367" spans="1:18" hidden="1">
      <c r="A367" s="355" t="str">
        <f>IF(C367="","",VLOOKUP('OPĆI DIO'!$C$3,'OPĆI DIO'!$L$6:$U$138,10,FALSE))</f>
        <v/>
      </c>
      <c r="B367" s="355" t="str">
        <f>IF(C367="","",VLOOKUP('OPĆI DIO'!$C$3,'OPĆI DIO'!$L$6:$U$138,9,FALSE))</f>
        <v/>
      </c>
      <c r="C367" s="356"/>
      <c r="D367" s="357" t="str">
        <f t="shared" si="131"/>
        <v/>
      </c>
      <c r="E367" s="356"/>
      <c r="F367" s="357" t="str">
        <f t="shared" si="132"/>
        <v/>
      </c>
      <c r="G367" s="358"/>
      <c r="H367" s="357" t="str">
        <f t="shared" si="133"/>
        <v/>
      </c>
      <c r="I367" s="357" t="str">
        <f t="shared" si="134"/>
        <v/>
      </c>
      <c r="J367" s="359"/>
      <c r="K367" s="359"/>
      <c r="L367" s="359"/>
      <c r="M367" s="81"/>
      <c r="O367" s="73" t="str">
        <f t="shared" si="135"/>
        <v/>
      </c>
      <c r="P367" s="73" t="str">
        <f t="shared" si="136"/>
        <v/>
      </c>
      <c r="Q367" s="73" t="str">
        <f t="shared" si="137"/>
        <v/>
      </c>
      <c r="R367" s="73" t="str">
        <f t="shared" si="138"/>
        <v/>
      </c>
    </row>
    <row r="368" spans="1:18" hidden="1">
      <c r="A368" s="355" t="str">
        <f>IF(C368="","",VLOOKUP('OPĆI DIO'!$C$3,'OPĆI DIO'!$L$6:$U$138,10,FALSE))</f>
        <v/>
      </c>
      <c r="B368" s="355" t="str">
        <f>IF(C368="","",VLOOKUP('OPĆI DIO'!$C$3,'OPĆI DIO'!$L$6:$U$138,9,FALSE))</f>
        <v/>
      </c>
      <c r="C368" s="356"/>
      <c r="D368" s="357" t="str">
        <f t="shared" si="131"/>
        <v/>
      </c>
      <c r="E368" s="356"/>
      <c r="F368" s="357" t="str">
        <f t="shared" si="132"/>
        <v/>
      </c>
      <c r="G368" s="358"/>
      <c r="H368" s="357" t="str">
        <f t="shared" si="133"/>
        <v/>
      </c>
      <c r="I368" s="357" t="str">
        <f t="shared" si="134"/>
        <v/>
      </c>
      <c r="J368" s="359"/>
      <c r="K368" s="359"/>
      <c r="L368" s="359"/>
      <c r="M368" s="81"/>
      <c r="O368" s="73" t="str">
        <f t="shared" si="135"/>
        <v/>
      </c>
      <c r="P368" s="73" t="str">
        <f t="shared" si="136"/>
        <v/>
      </c>
      <c r="Q368" s="73" t="str">
        <f t="shared" si="137"/>
        <v/>
      </c>
      <c r="R368" s="73" t="str">
        <f t="shared" si="138"/>
        <v/>
      </c>
    </row>
    <row r="369" spans="1:18" hidden="1">
      <c r="A369" s="355" t="str">
        <f>IF(C369="","",VLOOKUP('OPĆI DIO'!$C$3,'OPĆI DIO'!$L$6:$U$138,10,FALSE))</f>
        <v/>
      </c>
      <c r="B369" s="355" t="str">
        <f>IF(C369="","",VLOOKUP('OPĆI DIO'!$C$3,'OPĆI DIO'!$L$6:$U$138,9,FALSE))</f>
        <v/>
      </c>
      <c r="C369" s="356"/>
      <c r="D369" s="357" t="str">
        <f t="shared" si="131"/>
        <v/>
      </c>
      <c r="E369" s="356"/>
      <c r="F369" s="357" t="str">
        <f t="shared" si="132"/>
        <v/>
      </c>
      <c r="G369" s="358"/>
      <c r="H369" s="357" t="str">
        <f t="shared" si="133"/>
        <v/>
      </c>
      <c r="I369" s="357" t="str">
        <f t="shared" si="134"/>
        <v/>
      </c>
      <c r="J369" s="359"/>
      <c r="K369" s="359"/>
      <c r="L369" s="359"/>
      <c r="M369" s="81"/>
      <c r="O369" s="73" t="str">
        <f t="shared" si="135"/>
        <v/>
      </c>
      <c r="P369" s="73" t="str">
        <f t="shared" si="136"/>
        <v/>
      </c>
      <c r="Q369" s="73" t="str">
        <f t="shared" si="137"/>
        <v/>
      </c>
      <c r="R369" s="73" t="str">
        <f t="shared" si="138"/>
        <v/>
      </c>
    </row>
    <row r="370" spans="1:18" hidden="1">
      <c r="A370" s="355" t="str">
        <f>IF(C370="","",VLOOKUP('OPĆI DIO'!$C$3,'OPĆI DIO'!$L$6:$U$138,10,FALSE))</f>
        <v/>
      </c>
      <c r="B370" s="355" t="str">
        <f>IF(C370="","",VLOOKUP('OPĆI DIO'!$C$3,'OPĆI DIO'!$L$6:$U$138,9,FALSE))</f>
        <v/>
      </c>
      <c r="C370" s="356"/>
      <c r="D370" s="357" t="str">
        <f t="shared" si="131"/>
        <v/>
      </c>
      <c r="E370" s="356"/>
      <c r="F370" s="357" t="str">
        <f t="shared" si="132"/>
        <v/>
      </c>
      <c r="G370" s="358"/>
      <c r="H370" s="357" t="str">
        <f t="shared" si="133"/>
        <v/>
      </c>
      <c r="I370" s="357" t="str">
        <f t="shared" si="134"/>
        <v/>
      </c>
      <c r="J370" s="359"/>
      <c r="K370" s="359"/>
      <c r="L370" s="359"/>
      <c r="M370" s="81"/>
      <c r="O370" s="73" t="str">
        <f t="shared" si="135"/>
        <v/>
      </c>
      <c r="P370" s="73" t="str">
        <f t="shared" si="136"/>
        <v/>
      </c>
      <c r="Q370" s="73" t="str">
        <f t="shared" si="137"/>
        <v/>
      </c>
      <c r="R370" s="73" t="str">
        <f t="shared" si="138"/>
        <v/>
      </c>
    </row>
    <row r="371" spans="1:18" hidden="1">
      <c r="A371" s="355" t="str">
        <f>IF(C371="","",VLOOKUP('OPĆI DIO'!$C$3,'OPĆI DIO'!$L$6:$U$138,10,FALSE))</f>
        <v/>
      </c>
      <c r="B371" s="355" t="str">
        <f>IF(C371="","",VLOOKUP('OPĆI DIO'!$C$3,'OPĆI DIO'!$L$6:$U$138,9,FALSE))</f>
        <v/>
      </c>
      <c r="C371" s="356"/>
      <c r="D371" s="357" t="str">
        <f t="shared" si="131"/>
        <v/>
      </c>
      <c r="E371" s="356"/>
      <c r="F371" s="357" t="str">
        <f t="shared" si="132"/>
        <v/>
      </c>
      <c r="G371" s="358"/>
      <c r="H371" s="357" t="str">
        <f t="shared" si="133"/>
        <v/>
      </c>
      <c r="I371" s="357" t="str">
        <f t="shared" si="134"/>
        <v/>
      </c>
      <c r="J371" s="359"/>
      <c r="K371" s="359"/>
      <c r="L371" s="359"/>
      <c r="M371" s="81"/>
      <c r="O371" s="73" t="str">
        <f t="shared" si="135"/>
        <v/>
      </c>
      <c r="P371" s="73" t="str">
        <f t="shared" si="136"/>
        <v/>
      </c>
      <c r="Q371" s="73" t="str">
        <f t="shared" si="137"/>
        <v/>
      </c>
      <c r="R371" s="73" t="str">
        <f t="shared" si="138"/>
        <v/>
      </c>
    </row>
    <row r="372" spans="1:18" hidden="1">
      <c r="A372" s="355" t="str">
        <f>IF(C372="","",VLOOKUP('OPĆI DIO'!$C$3,'OPĆI DIO'!$L$6:$U$138,10,FALSE))</f>
        <v/>
      </c>
      <c r="B372" s="355" t="str">
        <f>IF(C372="","",VLOOKUP('OPĆI DIO'!$C$3,'OPĆI DIO'!$L$6:$U$138,9,FALSE))</f>
        <v/>
      </c>
      <c r="C372" s="356"/>
      <c r="D372" s="357" t="str">
        <f t="shared" si="131"/>
        <v/>
      </c>
      <c r="E372" s="356"/>
      <c r="F372" s="357" t="str">
        <f t="shared" si="132"/>
        <v/>
      </c>
      <c r="G372" s="358"/>
      <c r="H372" s="357" t="str">
        <f t="shared" si="133"/>
        <v/>
      </c>
      <c r="I372" s="357" t="str">
        <f t="shared" si="134"/>
        <v/>
      </c>
      <c r="J372" s="359"/>
      <c r="K372" s="359"/>
      <c r="L372" s="359"/>
      <c r="M372" s="81"/>
      <c r="O372" s="73" t="str">
        <f t="shared" si="135"/>
        <v/>
      </c>
      <c r="P372" s="73" t="str">
        <f t="shared" si="136"/>
        <v/>
      </c>
      <c r="Q372" s="73" t="str">
        <f t="shared" si="137"/>
        <v/>
      </c>
      <c r="R372" s="73" t="str">
        <f t="shared" si="138"/>
        <v/>
      </c>
    </row>
    <row r="373" spans="1:18" hidden="1">
      <c r="A373" s="355" t="str">
        <f>IF(C373="","",VLOOKUP('OPĆI DIO'!$C$3,'OPĆI DIO'!$L$6:$U$138,10,FALSE))</f>
        <v/>
      </c>
      <c r="B373" s="355" t="str">
        <f>IF(C373="","",VLOOKUP('OPĆI DIO'!$C$3,'OPĆI DIO'!$L$6:$U$138,9,FALSE))</f>
        <v/>
      </c>
      <c r="C373" s="356"/>
      <c r="D373" s="357" t="str">
        <f t="shared" si="131"/>
        <v/>
      </c>
      <c r="E373" s="356"/>
      <c r="F373" s="357" t="str">
        <f t="shared" si="132"/>
        <v/>
      </c>
      <c r="G373" s="358"/>
      <c r="H373" s="357" t="str">
        <f t="shared" si="133"/>
        <v/>
      </c>
      <c r="I373" s="357" t="str">
        <f t="shared" si="134"/>
        <v/>
      </c>
      <c r="J373" s="359"/>
      <c r="K373" s="359"/>
      <c r="L373" s="359"/>
      <c r="M373" s="81"/>
      <c r="O373" s="73" t="str">
        <f t="shared" si="135"/>
        <v/>
      </c>
      <c r="P373" s="73" t="str">
        <f t="shared" si="136"/>
        <v/>
      </c>
      <c r="Q373" s="73" t="str">
        <f t="shared" si="137"/>
        <v/>
      </c>
      <c r="R373" s="73" t="str">
        <f t="shared" si="138"/>
        <v/>
      </c>
    </row>
    <row r="374" spans="1:18" hidden="1">
      <c r="A374" s="355" t="str">
        <f>IF(C374="","",VLOOKUP('OPĆI DIO'!$C$3,'OPĆI DIO'!$L$6:$U$138,10,FALSE))</f>
        <v/>
      </c>
      <c r="B374" s="355" t="str">
        <f>IF(C374="","",VLOOKUP('OPĆI DIO'!$C$3,'OPĆI DIO'!$L$6:$U$138,9,FALSE))</f>
        <v/>
      </c>
      <c r="C374" s="356"/>
      <c r="D374" s="357" t="str">
        <f t="shared" si="131"/>
        <v/>
      </c>
      <c r="E374" s="356"/>
      <c r="F374" s="357" t="str">
        <f t="shared" si="132"/>
        <v/>
      </c>
      <c r="G374" s="358"/>
      <c r="H374" s="357" t="str">
        <f t="shared" si="133"/>
        <v/>
      </c>
      <c r="I374" s="357" t="str">
        <f t="shared" si="134"/>
        <v/>
      </c>
      <c r="J374" s="359"/>
      <c r="K374" s="359"/>
      <c r="L374" s="359"/>
      <c r="M374" s="81"/>
      <c r="O374" s="73" t="str">
        <f t="shared" si="135"/>
        <v/>
      </c>
      <c r="P374" s="73" t="str">
        <f t="shared" si="136"/>
        <v/>
      </c>
      <c r="Q374" s="73" t="str">
        <f t="shared" si="137"/>
        <v/>
      </c>
      <c r="R374" s="73" t="str">
        <f t="shared" si="138"/>
        <v/>
      </c>
    </row>
    <row r="375" spans="1:18" hidden="1">
      <c r="A375" s="355" t="str">
        <f>IF(C375="","",VLOOKUP('OPĆI DIO'!$C$3,'OPĆI DIO'!$L$6:$U$138,10,FALSE))</f>
        <v/>
      </c>
      <c r="B375" s="355" t="str">
        <f>IF(C375="","",VLOOKUP('OPĆI DIO'!$C$3,'OPĆI DIO'!$L$6:$U$138,9,FALSE))</f>
        <v/>
      </c>
      <c r="C375" s="356"/>
      <c r="D375" s="357" t="str">
        <f t="shared" si="131"/>
        <v/>
      </c>
      <c r="E375" s="356"/>
      <c r="F375" s="357" t="str">
        <f t="shared" si="132"/>
        <v/>
      </c>
      <c r="G375" s="358"/>
      <c r="H375" s="357" t="str">
        <f t="shared" si="133"/>
        <v/>
      </c>
      <c r="I375" s="357" t="str">
        <f t="shared" si="134"/>
        <v/>
      </c>
      <c r="J375" s="359"/>
      <c r="K375" s="359"/>
      <c r="L375" s="359"/>
      <c r="M375" s="81"/>
      <c r="O375" s="73" t="str">
        <f t="shared" si="135"/>
        <v/>
      </c>
      <c r="P375" s="73" t="str">
        <f t="shared" si="136"/>
        <v/>
      </c>
      <c r="Q375" s="73" t="str">
        <f t="shared" si="137"/>
        <v/>
      </c>
      <c r="R375" s="73" t="str">
        <f t="shared" si="138"/>
        <v/>
      </c>
    </row>
    <row r="376" spans="1:18" hidden="1">
      <c r="A376" s="355" t="str">
        <f>IF(C376="","",VLOOKUP('OPĆI DIO'!$C$3,'OPĆI DIO'!$L$6:$U$138,10,FALSE))</f>
        <v/>
      </c>
      <c r="B376" s="355" t="str">
        <f>IF(C376="","",VLOOKUP('OPĆI DIO'!$C$3,'OPĆI DIO'!$L$6:$U$138,9,FALSE))</f>
        <v/>
      </c>
      <c r="C376" s="356"/>
      <c r="D376" s="357" t="str">
        <f t="shared" si="131"/>
        <v/>
      </c>
      <c r="E376" s="356"/>
      <c r="F376" s="357" t="str">
        <f t="shared" si="132"/>
        <v/>
      </c>
      <c r="G376" s="358"/>
      <c r="H376" s="357" t="str">
        <f t="shared" si="133"/>
        <v/>
      </c>
      <c r="I376" s="357" t="str">
        <f t="shared" si="134"/>
        <v/>
      </c>
      <c r="J376" s="359"/>
      <c r="K376" s="359"/>
      <c r="L376" s="359"/>
      <c r="M376" s="81"/>
      <c r="O376" s="73" t="str">
        <f t="shared" si="135"/>
        <v/>
      </c>
      <c r="P376" s="73" t="str">
        <f t="shared" si="136"/>
        <v/>
      </c>
      <c r="Q376" s="73" t="str">
        <f t="shared" si="137"/>
        <v/>
      </c>
      <c r="R376" s="73" t="str">
        <f t="shared" si="138"/>
        <v/>
      </c>
    </row>
    <row r="377" spans="1:18" hidden="1">
      <c r="A377" s="355" t="str">
        <f>IF(C377="","",VLOOKUP('OPĆI DIO'!$C$3,'OPĆI DIO'!$L$6:$U$138,10,FALSE))</f>
        <v/>
      </c>
      <c r="B377" s="355" t="str">
        <f>IF(C377="","",VLOOKUP('OPĆI DIO'!$C$3,'OPĆI DIO'!$L$6:$U$138,9,FALSE))</f>
        <v/>
      </c>
      <c r="C377" s="356"/>
      <c r="D377" s="357" t="str">
        <f t="shared" si="131"/>
        <v/>
      </c>
      <c r="E377" s="356"/>
      <c r="F377" s="357" t="str">
        <f t="shared" si="132"/>
        <v/>
      </c>
      <c r="G377" s="358"/>
      <c r="H377" s="357" t="str">
        <f t="shared" si="133"/>
        <v/>
      </c>
      <c r="I377" s="357" t="str">
        <f t="shared" si="134"/>
        <v/>
      </c>
      <c r="J377" s="359"/>
      <c r="K377" s="359"/>
      <c r="L377" s="359"/>
      <c r="M377" s="81"/>
      <c r="O377" s="73" t="str">
        <f t="shared" si="135"/>
        <v/>
      </c>
      <c r="P377" s="73" t="str">
        <f t="shared" si="136"/>
        <v/>
      </c>
      <c r="Q377" s="73" t="str">
        <f t="shared" si="137"/>
        <v/>
      </c>
      <c r="R377" s="73" t="str">
        <f t="shared" si="138"/>
        <v/>
      </c>
    </row>
    <row r="378" spans="1:18" hidden="1">
      <c r="A378" s="355" t="str">
        <f>IF(C378="","",VLOOKUP('OPĆI DIO'!$C$3,'OPĆI DIO'!$L$6:$U$138,10,FALSE))</f>
        <v/>
      </c>
      <c r="B378" s="355" t="str">
        <f>IF(C378="","",VLOOKUP('OPĆI DIO'!$C$3,'OPĆI DIO'!$L$6:$U$138,9,FALSE))</f>
        <v/>
      </c>
      <c r="C378" s="356"/>
      <c r="D378" s="357" t="str">
        <f t="shared" ref="D378:D441" si="139">IFERROR(VLOOKUP(C378,$S$6:$T$27,2,FALSE),"")</f>
        <v/>
      </c>
      <c r="E378" s="356"/>
      <c r="F378" s="357" t="str">
        <f t="shared" ref="F378:F441" si="140">IFERROR(VLOOKUP(E378,$V$5:$X$126,2,FALSE),"")</f>
        <v/>
      </c>
      <c r="G378" s="358"/>
      <c r="H378" s="357" t="str">
        <f t="shared" ref="H378:H441" si="141">IFERROR(VLOOKUP(G378,$AB$6:$AC$324,2,FALSE),"")</f>
        <v/>
      </c>
      <c r="I378" s="357" t="str">
        <f t="shared" ref="I378:I441" si="142">IFERROR(VLOOKUP(G378,$AB$6:$AF$324,3,FALSE),"")</f>
        <v/>
      </c>
      <c r="J378" s="359"/>
      <c r="K378" s="359"/>
      <c r="L378" s="359"/>
      <c r="M378" s="81"/>
      <c r="O378" s="73" t="str">
        <f t="shared" si="135"/>
        <v/>
      </c>
      <c r="P378" s="73" t="str">
        <f t="shared" si="136"/>
        <v/>
      </c>
      <c r="Q378" s="73" t="str">
        <f t="shared" si="137"/>
        <v/>
      </c>
      <c r="R378" s="73" t="str">
        <f t="shared" si="138"/>
        <v/>
      </c>
    </row>
    <row r="379" spans="1:18" hidden="1">
      <c r="A379" s="355" t="str">
        <f>IF(C379="","",VLOOKUP('OPĆI DIO'!$C$3,'OPĆI DIO'!$L$6:$U$138,10,FALSE))</f>
        <v/>
      </c>
      <c r="B379" s="355" t="str">
        <f>IF(C379="","",VLOOKUP('OPĆI DIO'!$C$3,'OPĆI DIO'!$L$6:$U$138,9,FALSE))</f>
        <v/>
      </c>
      <c r="C379" s="356"/>
      <c r="D379" s="357" t="str">
        <f t="shared" si="139"/>
        <v/>
      </c>
      <c r="E379" s="356"/>
      <c r="F379" s="357" t="str">
        <f t="shared" si="140"/>
        <v/>
      </c>
      <c r="G379" s="358"/>
      <c r="H379" s="357" t="str">
        <f t="shared" si="141"/>
        <v/>
      </c>
      <c r="I379" s="357" t="str">
        <f t="shared" si="142"/>
        <v/>
      </c>
      <c r="J379" s="359"/>
      <c r="K379" s="359"/>
      <c r="L379" s="359"/>
      <c r="M379" s="81"/>
      <c r="O379" s="73" t="str">
        <f t="shared" si="135"/>
        <v/>
      </c>
      <c r="P379" s="73" t="str">
        <f t="shared" si="136"/>
        <v/>
      </c>
      <c r="Q379" s="73" t="str">
        <f t="shared" si="137"/>
        <v/>
      </c>
      <c r="R379" s="73" t="str">
        <f t="shared" si="138"/>
        <v/>
      </c>
    </row>
    <row r="380" spans="1:18" hidden="1">
      <c r="A380" s="355" t="str">
        <f>IF(C380="","",VLOOKUP('OPĆI DIO'!$C$3,'OPĆI DIO'!$L$6:$U$138,10,FALSE))</f>
        <v/>
      </c>
      <c r="B380" s="355" t="str">
        <f>IF(C380="","",VLOOKUP('OPĆI DIO'!$C$3,'OPĆI DIO'!$L$6:$U$138,9,FALSE))</f>
        <v/>
      </c>
      <c r="C380" s="356"/>
      <c r="D380" s="357" t="str">
        <f t="shared" si="139"/>
        <v/>
      </c>
      <c r="E380" s="356"/>
      <c r="F380" s="357" t="str">
        <f t="shared" si="140"/>
        <v/>
      </c>
      <c r="G380" s="358"/>
      <c r="H380" s="357" t="str">
        <f t="shared" si="141"/>
        <v/>
      </c>
      <c r="I380" s="357" t="str">
        <f t="shared" si="142"/>
        <v/>
      </c>
      <c r="J380" s="359"/>
      <c r="K380" s="359"/>
      <c r="L380" s="359"/>
      <c r="M380" s="81"/>
      <c r="O380" s="73" t="str">
        <f t="shared" si="135"/>
        <v/>
      </c>
      <c r="P380" s="73" t="str">
        <f t="shared" si="136"/>
        <v/>
      </c>
      <c r="Q380" s="73" t="str">
        <f t="shared" si="137"/>
        <v/>
      </c>
      <c r="R380" s="73" t="str">
        <f t="shared" si="138"/>
        <v/>
      </c>
    </row>
    <row r="381" spans="1:18" hidden="1">
      <c r="A381" s="355" t="str">
        <f>IF(C381="","",VLOOKUP('OPĆI DIO'!$C$3,'OPĆI DIO'!$L$6:$U$138,10,FALSE))</f>
        <v/>
      </c>
      <c r="B381" s="355" t="str">
        <f>IF(C381="","",VLOOKUP('OPĆI DIO'!$C$3,'OPĆI DIO'!$L$6:$U$138,9,FALSE))</f>
        <v/>
      </c>
      <c r="C381" s="356"/>
      <c r="D381" s="357" t="str">
        <f t="shared" si="139"/>
        <v/>
      </c>
      <c r="E381" s="356"/>
      <c r="F381" s="357" t="str">
        <f t="shared" si="140"/>
        <v/>
      </c>
      <c r="G381" s="358"/>
      <c r="H381" s="357" t="str">
        <f t="shared" si="141"/>
        <v/>
      </c>
      <c r="I381" s="357" t="str">
        <f t="shared" si="142"/>
        <v/>
      </c>
      <c r="J381" s="359"/>
      <c r="K381" s="359"/>
      <c r="L381" s="359"/>
      <c r="M381" s="81"/>
      <c r="O381" s="73" t="str">
        <f t="shared" si="135"/>
        <v/>
      </c>
      <c r="P381" s="73" t="str">
        <f t="shared" si="136"/>
        <v/>
      </c>
      <c r="Q381" s="73" t="str">
        <f t="shared" si="137"/>
        <v/>
      </c>
      <c r="R381" s="73" t="str">
        <f t="shared" si="138"/>
        <v/>
      </c>
    </row>
    <row r="382" spans="1:18" hidden="1">
      <c r="A382" s="355" t="str">
        <f>IF(C382="","",VLOOKUP('OPĆI DIO'!$C$3,'OPĆI DIO'!$L$6:$U$138,10,FALSE))</f>
        <v/>
      </c>
      <c r="B382" s="355" t="str">
        <f>IF(C382="","",VLOOKUP('OPĆI DIO'!$C$3,'OPĆI DIO'!$L$6:$U$138,9,FALSE))</f>
        <v/>
      </c>
      <c r="C382" s="356"/>
      <c r="D382" s="357" t="str">
        <f t="shared" si="139"/>
        <v/>
      </c>
      <c r="E382" s="356"/>
      <c r="F382" s="357" t="str">
        <f t="shared" si="140"/>
        <v/>
      </c>
      <c r="G382" s="358"/>
      <c r="H382" s="357" t="str">
        <f t="shared" si="141"/>
        <v/>
      </c>
      <c r="I382" s="357" t="str">
        <f t="shared" si="142"/>
        <v/>
      </c>
      <c r="J382" s="359"/>
      <c r="K382" s="359"/>
      <c r="L382" s="359"/>
      <c r="M382" s="81"/>
      <c r="O382" s="73" t="str">
        <f t="shared" si="135"/>
        <v/>
      </c>
      <c r="P382" s="73" t="str">
        <f t="shared" si="136"/>
        <v/>
      </c>
      <c r="Q382" s="73" t="str">
        <f t="shared" si="137"/>
        <v/>
      </c>
      <c r="R382" s="73" t="str">
        <f t="shared" si="138"/>
        <v/>
      </c>
    </row>
    <row r="383" spans="1:18" hidden="1">
      <c r="A383" s="355" t="str">
        <f>IF(C383="","",VLOOKUP('OPĆI DIO'!$C$3,'OPĆI DIO'!$L$6:$U$138,10,FALSE))</f>
        <v/>
      </c>
      <c r="B383" s="355" t="str">
        <f>IF(C383="","",VLOOKUP('OPĆI DIO'!$C$3,'OPĆI DIO'!$L$6:$U$138,9,FALSE))</f>
        <v/>
      </c>
      <c r="C383" s="356"/>
      <c r="D383" s="357" t="str">
        <f t="shared" si="139"/>
        <v/>
      </c>
      <c r="E383" s="356"/>
      <c r="F383" s="357" t="str">
        <f t="shared" si="140"/>
        <v/>
      </c>
      <c r="G383" s="358"/>
      <c r="H383" s="357" t="str">
        <f t="shared" si="141"/>
        <v/>
      </c>
      <c r="I383" s="357" t="str">
        <f t="shared" si="142"/>
        <v/>
      </c>
      <c r="J383" s="359"/>
      <c r="K383" s="359"/>
      <c r="L383" s="359"/>
      <c r="M383" s="81"/>
      <c r="O383" s="73" t="str">
        <f t="shared" si="135"/>
        <v/>
      </c>
      <c r="P383" s="73" t="str">
        <f t="shared" si="136"/>
        <v/>
      </c>
      <c r="Q383" s="73" t="str">
        <f t="shared" si="137"/>
        <v/>
      </c>
      <c r="R383" s="73" t="str">
        <f t="shared" si="138"/>
        <v/>
      </c>
    </row>
    <row r="384" spans="1:18" hidden="1">
      <c r="A384" s="355" t="str">
        <f>IF(C384="","",VLOOKUP('OPĆI DIO'!$C$3,'OPĆI DIO'!$L$6:$U$138,10,FALSE))</f>
        <v/>
      </c>
      <c r="B384" s="355" t="str">
        <f>IF(C384="","",VLOOKUP('OPĆI DIO'!$C$3,'OPĆI DIO'!$L$6:$U$138,9,FALSE))</f>
        <v/>
      </c>
      <c r="C384" s="356"/>
      <c r="D384" s="357" t="str">
        <f t="shared" si="139"/>
        <v/>
      </c>
      <c r="E384" s="356"/>
      <c r="F384" s="357" t="str">
        <f t="shared" si="140"/>
        <v/>
      </c>
      <c r="G384" s="358"/>
      <c r="H384" s="357" t="str">
        <f t="shared" si="141"/>
        <v/>
      </c>
      <c r="I384" s="357" t="str">
        <f t="shared" si="142"/>
        <v/>
      </c>
      <c r="J384" s="359"/>
      <c r="K384" s="359"/>
      <c r="L384" s="359"/>
      <c r="M384" s="81"/>
      <c r="O384" s="73" t="str">
        <f t="shared" si="135"/>
        <v/>
      </c>
      <c r="P384" s="73" t="str">
        <f t="shared" si="136"/>
        <v/>
      </c>
      <c r="Q384" s="73" t="str">
        <f t="shared" si="137"/>
        <v/>
      </c>
      <c r="R384" s="73" t="str">
        <f t="shared" si="138"/>
        <v/>
      </c>
    </row>
    <row r="385" spans="1:18" hidden="1">
      <c r="A385" s="355" t="str">
        <f>IF(C385="","",VLOOKUP('OPĆI DIO'!$C$3,'OPĆI DIO'!$L$6:$U$138,10,FALSE))</f>
        <v/>
      </c>
      <c r="B385" s="355" t="str">
        <f>IF(C385="","",VLOOKUP('OPĆI DIO'!$C$3,'OPĆI DIO'!$L$6:$U$138,9,FALSE))</f>
        <v/>
      </c>
      <c r="C385" s="356"/>
      <c r="D385" s="357" t="str">
        <f t="shared" si="139"/>
        <v/>
      </c>
      <c r="E385" s="356"/>
      <c r="F385" s="357" t="str">
        <f t="shared" si="140"/>
        <v/>
      </c>
      <c r="G385" s="358"/>
      <c r="H385" s="357" t="str">
        <f t="shared" si="141"/>
        <v/>
      </c>
      <c r="I385" s="357" t="str">
        <f t="shared" si="142"/>
        <v/>
      </c>
      <c r="J385" s="359"/>
      <c r="K385" s="359"/>
      <c r="L385" s="359"/>
      <c r="M385" s="81"/>
      <c r="O385" s="73" t="str">
        <f t="shared" ref="O385:O448" si="143">LEFT(E385,3)</f>
        <v/>
      </c>
      <c r="P385" s="73" t="str">
        <f t="shared" ref="P385:P448" si="144">LEFT(E385,2)</f>
        <v/>
      </c>
      <c r="Q385" s="73" t="str">
        <f t="shared" ref="Q385:Q448" si="145">LEFT(C385,3)</f>
        <v/>
      </c>
      <c r="R385" s="73" t="str">
        <f t="shared" ref="R385:R448" si="146">MID(I385,2,2)</f>
        <v/>
      </c>
    </row>
    <row r="386" spans="1:18" hidden="1">
      <c r="A386" s="355" t="str">
        <f>IF(C386="","",VLOOKUP('OPĆI DIO'!$C$3,'OPĆI DIO'!$L$6:$U$138,10,FALSE))</f>
        <v/>
      </c>
      <c r="B386" s="355" t="str">
        <f>IF(C386="","",VLOOKUP('OPĆI DIO'!$C$3,'OPĆI DIO'!$L$6:$U$138,9,FALSE))</f>
        <v/>
      </c>
      <c r="C386" s="356"/>
      <c r="D386" s="357" t="str">
        <f t="shared" si="139"/>
        <v/>
      </c>
      <c r="E386" s="356"/>
      <c r="F386" s="357" t="str">
        <f t="shared" si="140"/>
        <v/>
      </c>
      <c r="G386" s="358"/>
      <c r="H386" s="357" t="str">
        <f t="shared" si="141"/>
        <v/>
      </c>
      <c r="I386" s="357" t="str">
        <f t="shared" si="142"/>
        <v/>
      </c>
      <c r="J386" s="359"/>
      <c r="K386" s="359"/>
      <c r="L386" s="359"/>
      <c r="M386" s="81"/>
      <c r="O386" s="73" t="str">
        <f t="shared" si="143"/>
        <v/>
      </c>
      <c r="P386" s="73" t="str">
        <f t="shared" si="144"/>
        <v/>
      </c>
      <c r="Q386" s="73" t="str">
        <f t="shared" si="145"/>
        <v/>
      </c>
      <c r="R386" s="73" t="str">
        <f t="shared" si="146"/>
        <v/>
      </c>
    </row>
    <row r="387" spans="1:18" hidden="1">
      <c r="A387" s="355" t="str">
        <f>IF(C387="","",VLOOKUP('OPĆI DIO'!$C$3,'OPĆI DIO'!$L$6:$U$138,10,FALSE))</f>
        <v/>
      </c>
      <c r="B387" s="355" t="str">
        <f>IF(C387="","",VLOOKUP('OPĆI DIO'!$C$3,'OPĆI DIO'!$L$6:$U$138,9,FALSE))</f>
        <v/>
      </c>
      <c r="C387" s="356"/>
      <c r="D387" s="357" t="str">
        <f t="shared" si="139"/>
        <v/>
      </c>
      <c r="E387" s="356"/>
      <c r="F387" s="357" t="str">
        <f t="shared" si="140"/>
        <v/>
      </c>
      <c r="G387" s="358"/>
      <c r="H387" s="357" t="str">
        <f t="shared" si="141"/>
        <v/>
      </c>
      <c r="I387" s="357" t="str">
        <f t="shared" si="142"/>
        <v/>
      </c>
      <c r="J387" s="359"/>
      <c r="K387" s="359"/>
      <c r="L387" s="359"/>
      <c r="M387" s="81"/>
      <c r="O387" s="73" t="str">
        <f t="shared" si="143"/>
        <v/>
      </c>
      <c r="P387" s="73" t="str">
        <f t="shared" si="144"/>
        <v/>
      </c>
      <c r="Q387" s="73" t="str">
        <f t="shared" si="145"/>
        <v/>
      </c>
      <c r="R387" s="73" t="str">
        <f t="shared" si="146"/>
        <v/>
      </c>
    </row>
    <row r="388" spans="1:18" hidden="1">
      <c r="A388" s="355" t="str">
        <f>IF(C388="","",VLOOKUP('OPĆI DIO'!$C$3,'OPĆI DIO'!$L$6:$U$138,10,FALSE))</f>
        <v/>
      </c>
      <c r="B388" s="355" t="str">
        <f>IF(C388="","",VLOOKUP('OPĆI DIO'!$C$3,'OPĆI DIO'!$L$6:$U$138,9,FALSE))</f>
        <v/>
      </c>
      <c r="C388" s="356"/>
      <c r="D388" s="357" t="str">
        <f t="shared" si="139"/>
        <v/>
      </c>
      <c r="E388" s="356"/>
      <c r="F388" s="357" t="str">
        <f t="shared" si="140"/>
        <v/>
      </c>
      <c r="G388" s="358"/>
      <c r="H388" s="357" t="str">
        <f t="shared" si="141"/>
        <v/>
      </c>
      <c r="I388" s="357" t="str">
        <f t="shared" si="142"/>
        <v/>
      </c>
      <c r="J388" s="359"/>
      <c r="K388" s="359"/>
      <c r="L388" s="359"/>
      <c r="M388" s="81"/>
      <c r="O388" s="73" t="str">
        <f t="shared" si="143"/>
        <v/>
      </c>
      <c r="P388" s="73" t="str">
        <f t="shared" si="144"/>
        <v/>
      </c>
      <c r="Q388" s="73" t="str">
        <f t="shared" si="145"/>
        <v/>
      </c>
      <c r="R388" s="73" t="str">
        <f t="shared" si="146"/>
        <v/>
      </c>
    </row>
    <row r="389" spans="1:18" hidden="1">
      <c r="A389" s="355" t="str">
        <f>IF(C389="","",VLOOKUP('OPĆI DIO'!$C$3,'OPĆI DIO'!$L$6:$U$138,10,FALSE))</f>
        <v/>
      </c>
      <c r="B389" s="355" t="str">
        <f>IF(C389="","",VLOOKUP('OPĆI DIO'!$C$3,'OPĆI DIO'!$L$6:$U$138,9,FALSE))</f>
        <v/>
      </c>
      <c r="C389" s="356"/>
      <c r="D389" s="357" t="str">
        <f t="shared" si="139"/>
        <v/>
      </c>
      <c r="E389" s="356"/>
      <c r="F389" s="357" t="str">
        <f t="shared" si="140"/>
        <v/>
      </c>
      <c r="G389" s="358"/>
      <c r="H389" s="357" t="str">
        <f t="shared" si="141"/>
        <v/>
      </c>
      <c r="I389" s="357" t="str">
        <f t="shared" si="142"/>
        <v/>
      </c>
      <c r="J389" s="359"/>
      <c r="K389" s="359"/>
      <c r="L389" s="359"/>
      <c r="M389" s="81"/>
      <c r="O389" s="73" t="str">
        <f t="shared" si="143"/>
        <v/>
      </c>
      <c r="P389" s="73" t="str">
        <f t="shared" si="144"/>
        <v/>
      </c>
      <c r="Q389" s="73" t="str">
        <f t="shared" si="145"/>
        <v/>
      </c>
      <c r="R389" s="73" t="str">
        <f t="shared" si="146"/>
        <v/>
      </c>
    </row>
    <row r="390" spans="1:18" hidden="1">
      <c r="A390" s="355" t="str">
        <f>IF(C390="","",VLOOKUP('OPĆI DIO'!$C$3,'OPĆI DIO'!$L$6:$U$138,10,FALSE))</f>
        <v/>
      </c>
      <c r="B390" s="355" t="str">
        <f>IF(C390="","",VLOOKUP('OPĆI DIO'!$C$3,'OPĆI DIO'!$L$6:$U$138,9,FALSE))</f>
        <v/>
      </c>
      <c r="C390" s="356"/>
      <c r="D390" s="357" t="str">
        <f t="shared" si="139"/>
        <v/>
      </c>
      <c r="E390" s="356"/>
      <c r="F390" s="357" t="str">
        <f t="shared" si="140"/>
        <v/>
      </c>
      <c r="G390" s="358"/>
      <c r="H390" s="357" t="str">
        <f t="shared" si="141"/>
        <v/>
      </c>
      <c r="I390" s="357" t="str">
        <f t="shared" si="142"/>
        <v/>
      </c>
      <c r="J390" s="359"/>
      <c r="K390" s="359"/>
      <c r="L390" s="359"/>
      <c r="M390" s="81"/>
      <c r="O390" s="73" t="str">
        <f t="shared" si="143"/>
        <v/>
      </c>
      <c r="P390" s="73" t="str">
        <f t="shared" si="144"/>
        <v/>
      </c>
      <c r="Q390" s="73" t="str">
        <f t="shared" si="145"/>
        <v/>
      </c>
      <c r="R390" s="73" t="str">
        <f t="shared" si="146"/>
        <v/>
      </c>
    </row>
    <row r="391" spans="1:18" hidden="1">
      <c r="A391" s="355" t="str">
        <f>IF(C391="","",VLOOKUP('OPĆI DIO'!$C$3,'OPĆI DIO'!$L$6:$U$138,10,FALSE))</f>
        <v/>
      </c>
      <c r="B391" s="355" t="str">
        <f>IF(C391="","",VLOOKUP('OPĆI DIO'!$C$3,'OPĆI DIO'!$L$6:$U$138,9,FALSE))</f>
        <v/>
      </c>
      <c r="C391" s="356"/>
      <c r="D391" s="357" t="str">
        <f t="shared" si="139"/>
        <v/>
      </c>
      <c r="E391" s="356"/>
      <c r="F391" s="357" t="str">
        <f t="shared" si="140"/>
        <v/>
      </c>
      <c r="G391" s="358"/>
      <c r="H391" s="357" t="str">
        <f t="shared" si="141"/>
        <v/>
      </c>
      <c r="I391" s="357" t="str">
        <f t="shared" si="142"/>
        <v/>
      </c>
      <c r="J391" s="359"/>
      <c r="K391" s="359"/>
      <c r="L391" s="359"/>
      <c r="M391" s="81"/>
      <c r="O391" s="73" t="str">
        <f t="shared" si="143"/>
        <v/>
      </c>
      <c r="P391" s="73" t="str">
        <f t="shared" si="144"/>
        <v/>
      </c>
      <c r="Q391" s="73" t="str">
        <f t="shared" si="145"/>
        <v/>
      </c>
      <c r="R391" s="73" t="str">
        <f t="shared" si="146"/>
        <v/>
      </c>
    </row>
    <row r="392" spans="1:18" hidden="1">
      <c r="A392" s="355" t="str">
        <f>IF(C392="","",VLOOKUP('OPĆI DIO'!$C$3,'OPĆI DIO'!$L$6:$U$138,10,FALSE))</f>
        <v/>
      </c>
      <c r="B392" s="355" t="str">
        <f>IF(C392="","",VLOOKUP('OPĆI DIO'!$C$3,'OPĆI DIO'!$L$6:$U$138,9,FALSE))</f>
        <v/>
      </c>
      <c r="C392" s="356"/>
      <c r="D392" s="357" t="str">
        <f t="shared" si="139"/>
        <v/>
      </c>
      <c r="E392" s="356"/>
      <c r="F392" s="357" t="str">
        <f t="shared" si="140"/>
        <v/>
      </c>
      <c r="G392" s="358"/>
      <c r="H392" s="357" t="str">
        <f t="shared" si="141"/>
        <v/>
      </c>
      <c r="I392" s="357" t="str">
        <f t="shared" si="142"/>
        <v/>
      </c>
      <c r="J392" s="359"/>
      <c r="K392" s="359"/>
      <c r="L392" s="359"/>
      <c r="M392" s="81"/>
      <c r="O392" s="73" t="str">
        <f t="shared" si="143"/>
        <v/>
      </c>
      <c r="P392" s="73" t="str">
        <f t="shared" si="144"/>
        <v/>
      </c>
      <c r="Q392" s="73" t="str">
        <f t="shared" si="145"/>
        <v/>
      </c>
      <c r="R392" s="73" t="str">
        <f t="shared" si="146"/>
        <v/>
      </c>
    </row>
    <row r="393" spans="1:18" hidden="1">
      <c r="A393" s="355" t="str">
        <f>IF(C393="","",VLOOKUP('OPĆI DIO'!$C$3,'OPĆI DIO'!$L$6:$U$138,10,FALSE))</f>
        <v/>
      </c>
      <c r="B393" s="355" t="str">
        <f>IF(C393="","",VLOOKUP('OPĆI DIO'!$C$3,'OPĆI DIO'!$L$6:$U$138,9,FALSE))</f>
        <v/>
      </c>
      <c r="C393" s="356"/>
      <c r="D393" s="357" t="str">
        <f t="shared" si="139"/>
        <v/>
      </c>
      <c r="E393" s="356"/>
      <c r="F393" s="357" t="str">
        <f t="shared" si="140"/>
        <v/>
      </c>
      <c r="G393" s="358"/>
      <c r="H393" s="357" t="str">
        <f t="shared" si="141"/>
        <v/>
      </c>
      <c r="I393" s="357" t="str">
        <f t="shared" si="142"/>
        <v/>
      </c>
      <c r="J393" s="359"/>
      <c r="K393" s="359"/>
      <c r="L393" s="359"/>
      <c r="M393" s="81"/>
      <c r="O393" s="73" t="str">
        <f t="shared" si="143"/>
        <v/>
      </c>
      <c r="P393" s="73" t="str">
        <f t="shared" si="144"/>
        <v/>
      </c>
      <c r="Q393" s="73" t="str">
        <f t="shared" si="145"/>
        <v/>
      </c>
      <c r="R393" s="73" t="str">
        <f t="shared" si="146"/>
        <v/>
      </c>
    </row>
    <row r="394" spans="1:18" hidden="1">
      <c r="A394" s="355" t="str">
        <f>IF(C394="","",VLOOKUP('OPĆI DIO'!$C$3,'OPĆI DIO'!$L$6:$U$138,10,FALSE))</f>
        <v/>
      </c>
      <c r="B394" s="355" t="str">
        <f>IF(C394="","",VLOOKUP('OPĆI DIO'!$C$3,'OPĆI DIO'!$L$6:$U$138,9,FALSE))</f>
        <v/>
      </c>
      <c r="C394" s="356"/>
      <c r="D394" s="357" t="str">
        <f t="shared" si="139"/>
        <v/>
      </c>
      <c r="E394" s="356"/>
      <c r="F394" s="357" t="str">
        <f t="shared" si="140"/>
        <v/>
      </c>
      <c r="G394" s="358"/>
      <c r="H394" s="357" t="str">
        <f t="shared" si="141"/>
        <v/>
      </c>
      <c r="I394" s="357" t="str">
        <f t="shared" si="142"/>
        <v/>
      </c>
      <c r="J394" s="359"/>
      <c r="K394" s="359"/>
      <c r="L394" s="359"/>
      <c r="M394" s="81"/>
      <c r="O394" s="73" t="str">
        <f t="shared" si="143"/>
        <v/>
      </c>
      <c r="P394" s="73" t="str">
        <f t="shared" si="144"/>
        <v/>
      </c>
      <c r="Q394" s="73" t="str">
        <f t="shared" si="145"/>
        <v/>
      </c>
      <c r="R394" s="73" t="str">
        <f t="shared" si="146"/>
        <v/>
      </c>
    </row>
    <row r="395" spans="1:18" hidden="1">
      <c r="A395" s="355" t="str">
        <f>IF(C395="","",VLOOKUP('OPĆI DIO'!$C$3,'OPĆI DIO'!$L$6:$U$138,10,FALSE))</f>
        <v/>
      </c>
      <c r="B395" s="355" t="str">
        <f>IF(C395="","",VLOOKUP('OPĆI DIO'!$C$3,'OPĆI DIO'!$L$6:$U$138,9,FALSE))</f>
        <v/>
      </c>
      <c r="C395" s="356"/>
      <c r="D395" s="357" t="str">
        <f t="shared" si="139"/>
        <v/>
      </c>
      <c r="E395" s="356"/>
      <c r="F395" s="357" t="str">
        <f t="shared" si="140"/>
        <v/>
      </c>
      <c r="G395" s="358"/>
      <c r="H395" s="357" t="str">
        <f t="shared" si="141"/>
        <v/>
      </c>
      <c r="I395" s="357" t="str">
        <f t="shared" si="142"/>
        <v/>
      </c>
      <c r="J395" s="359"/>
      <c r="K395" s="359"/>
      <c r="L395" s="359"/>
      <c r="M395" s="81"/>
      <c r="O395" s="73" t="str">
        <f t="shared" si="143"/>
        <v/>
      </c>
      <c r="P395" s="73" t="str">
        <f t="shared" si="144"/>
        <v/>
      </c>
      <c r="Q395" s="73" t="str">
        <f t="shared" si="145"/>
        <v/>
      </c>
      <c r="R395" s="73" t="str">
        <f t="shared" si="146"/>
        <v/>
      </c>
    </row>
    <row r="396" spans="1:18" hidden="1">
      <c r="A396" s="355" t="str">
        <f>IF(C396="","",VLOOKUP('OPĆI DIO'!$C$3,'OPĆI DIO'!$L$6:$U$138,10,FALSE))</f>
        <v/>
      </c>
      <c r="B396" s="355" t="str">
        <f>IF(C396="","",VLOOKUP('OPĆI DIO'!$C$3,'OPĆI DIO'!$L$6:$U$138,9,FALSE))</f>
        <v/>
      </c>
      <c r="C396" s="356"/>
      <c r="D396" s="357" t="str">
        <f t="shared" si="139"/>
        <v/>
      </c>
      <c r="E396" s="356"/>
      <c r="F396" s="357" t="str">
        <f t="shared" si="140"/>
        <v/>
      </c>
      <c r="G396" s="358"/>
      <c r="H396" s="357" t="str">
        <f t="shared" si="141"/>
        <v/>
      </c>
      <c r="I396" s="357" t="str">
        <f t="shared" si="142"/>
        <v/>
      </c>
      <c r="J396" s="359"/>
      <c r="K396" s="359"/>
      <c r="L396" s="359"/>
      <c r="M396" s="81"/>
      <c r="O396" s="73" t="str">
        <f t="shared" si="143"/>
        <v/>
      </c>
      <c r="P396" s="73" t="str">
        <f t="shared" si="144"/>
        <v/>
      </c>
      <c r="Q396" s="73" t="str">
        <f t="shared" si="145"/>
        <v/>
      </c>
      <c r="R396" s="73" t="str">
        <f t="shared" si="146"/>
        <v/>
      </c>
    </row>
    <row r="397" spans="1:18" hidden="1">
      <c r="A397" s="355" t="str">
        <f>IF(C397="","",VLOOKUP('OPĆI DIO'!$C$3,'OPĆI DIO'!$L$6:$U$138,10,FALSE))</f>
        <v/>
      </c>
      <c r="B397" s="355" t="str">
        <f>IF(C397="","",VLOOKUP('OPĆI DIO'!$C$3,'OPĆI DIO'!$L$6:$U$138,9,FALSE))</f>
        <v/>
      </c>
      <c r="C397" s="356"/>
      <c r="D397" s="357" t="str">
        <f t="shared" si="139"/>
        <v/>
      </c>
      <c r="E397" s="356"/>
      <c r="F397" s="357" t="str">
        <f t="shared" si="140"/>
        <v/>
      </c>
      <c r="G397" s="358"/>
      <c r="H397" s="357" t="str">
        <f t="shared" si="141"/>
        <v/>
      </c>
      <c r="I397" s="357" t="str">
        <f t="shared" si="142"/>
        <v/>
      </c>
      <c r="J397" s="359"/>
      <c r="K397" s="359"/>
      <c r="L397" s="359"/>
      <c r="M397" s="81"/>
      <c r="O397" s="73" t="str">
        <f t="shared" si="143"/>
        <v/>
      </c>
      <c r="P397" s="73" t="str">
        <f t="shared" si="144"/>
        <v/>
      </c>
      <c r="Q397" s="73" t="str">
        <f t="shared" si="145"/>
        <v/>
      </c>
      <c r="R397" s="73" t="str">
        <f t="shared" si="146"/>
        <v/>
      </c>
    </row>
    <row r="398" spans="1:18" hidden="1">
      <c r="A398" s="355" t="str">
        <f>IF(C398="","",VLOOKUP('OPĆI DIO'!$C$3,'OPĆI DIO'!$L$6:$U$138,10,FALSE))</f>
        <v/>
      </c>
      <c r="B398" s="355" t="str">
        <f>IF(C398="","",VLOOKUP('OPĆI DIO'!$C$3,'OPĆI DIO'!$L$6:$U$138,9,FALSE))</f>
        <v/>
      </c>
      <c r="C398" s="356"/>
      <c r="D398" s="357" t="str">
        <f t="shared" si="139"/>
        <v/>
      </c>
      <c r="E398" s="356"/>
      <c r="F398" s="357" t="str">
        <f t="shared" si="140"/>
        <v/>
      </c>
      <c r="G398" s="358"/>
      <c r="H398" s="357" t="str">
        <f t="shared" si="141"/>
        <v/>
      </c>
      <c r="I398" s="357" t="str">
        <f t="shared" si="142"/>
        <v/>
      </c>
      <c r="J398" s="359"/>
      <c r="K398" s="359"/>
      <c r="L398" s="359"/>
      <c r="M398" s="81"/>
      <c r="O398" s="73" t="str">
        <f t="shared" si="143"/>
        <v/>
      </c>
      <c r="P398" s="73" t="str">
        <f t="shared" si="144"/>
        <v/>
      </c>
      <c r="Q398" s="73" t="str">
        <f t="shared" si="145"/>
        <v/>
      </c>
      <c r="R398" s="73" t="str">
        <f t="shared" si="146"/>
        <v/>
      </c>
    </row>
    <row r="399" spans="1:18" hidden="1">
      <c r="A399" s="355" t="str">
        <f>IF(C399="","",VLOOKUP('OPĆI DIO'!$C$3,'OPĆI DIO'!$L$6:$U$138,10,FALSE))</f>
        <v/>
      </c>
      <c r="B399" s="355" t="str">
        <f>IF(C399="","",VLOOKUP('OPĆI DIO'!$C$3,'OPĆI DIO'!$L$6:$U$138,9,FALSE))</f>
        <v/>
      </c>
      <c r="C399" s="356"/>
      <c r="D399" s="357" t="str">
        <f t="shared" si="139"/>
        <v/>
      </c>
      <c r="E399" s="356"/>
      <c r="F399" s="357" t="str">
        <f t="shared" si="140"/>
        <v/>
      </c>
      <c r="G399" s="358"/>
      <c r="H399" s="357" t="str">
        <f t="shared" si="141"/>
        <v/>
      </c>
      <c r="I399" s="357" t="str">
        <f t="shared" si="142"/>
        <v/>
      </c>
      <c r="J399" s="359"/>
      <c r="K399" s="359"/>
      <c r="L399" s="359"/>
      <c r="M399" s="81"/>
      <c r="O399" s="73" t="str">
        <f t="shared" si="143"/>
        <v/>
      </c>
      <c r="P399" s="73" t="str">
        <f t="shared" si="144"/>
        <v/>
      </c>
      <c r="Q399" s="73" t="str">
        <f t="shared" si="145"/>
        <v/>
      </c>
      <c r="R399" s="73" t="str">
        <f t="shared" si="146"/>
        <v/>
      </c>
    </row>
    <row r="400" spans="1:18" hidden="1">
      <c r="A400" s="355" t="str">
        <f>IF(C400="","",VLOOKUP('OPĆI DIO'!$C$3,'OPĆI DIO'!$L$6:$U$138,10,FALSE))</f>
        <v/>
      </c>
      <c r="B400" s="355" t="str">
        <f>IF(C400="","",VLOOKUP('OPĆI DIO'!$C$3,'OPĆI DIO'!$L$6:$U$138,9,FALSE))</f>
        <v/>
      </c>
      <c r="C400" s="356"/>
      <c r="D400" s="357" t="str">
        <f t="shared" si="139"/>
        <v/>
      </c>
      <c r="E400" s="356"/>
      <c r="F400" s="357" t="str">
        <f t="shared" si="140"/>
        <v/>
      </c>
      <c r="G400" s="358"/>
      <c r="H400" s="357" t="str">
        <f t="shared" si="141"/>
        <v/>
      </c>
      <c r="I400" s="357" t="str">
        <f t="shared" si="142"/>
        <v/>
      </c>
      <c r="J400" s="359"/>
      <c r="K400" s="359"/>
      <c r="L400" s="359"/>
      <c r="M400" s="81"/>
      <c r="O400" s="73" t="str">
        <f t="shared" si="143"/>
        <v/>
      </c>
      <c r="P400" s="73" t="str">
        <f t="shared" si="144"/>
        <v/>
      </c>
      <c r="Q400" s="73" t="str">
        <f t="shared" si="145"/>
        <v/>
      </c>
      <c r="R400" s="73" t="str">
        <f t="shared" si="146"/>
        <v/>
      </c>
    </row>
    <row r="401" spans="1:18" hidden="1">
      <c r="A401" s="355" t="str">
        <f>IF(C401="","",VLOOKUP('OPĆI DIO'!$C$3,'OPĆI DIO'!$L$6:$U$138,10,FALSE))</f>
        <v/>
      </c>
      <c r="B401" s="355" t="str">
        <f>IF(C401="","",VLOOKUP('OPĆI DIO'!$C$3,'OPĆI DIO'!$L$6:$U$138,9,FALSE))</f>
        <v/>
      </c>
      <c r="C401" s="356"/>
      <c r="D401" s="357" t="str">
        <f t="shared" si="139"/>
        <v/>
      </c>
      <c r="E401" s="356"/>
      <c r="F401" s="357" t="str">
        <f t="shared" si="140"/>
        <v/>
      </c>
      <c r="G401" s="358"/>
      <c r="H401" s="357" t="str">
        <f t="shared" si="141"/>
        <v/>
      </c>
      <c r="I401" s="357" t="str">
        <f t="shared" si="142"/>
        <v/>
      </c>
      <c r="J401" s="359"/>
      <c r="K401" s="359"/>
      <c r="L401" s="359"/>
      <c r="M401" s="81"/>
      <c r="O401" s="73" t="str">
        <f t="shared" si="143"/>
        <v/>
      </c>
      <c r="P401" s="73" t="str">
        <f t="shared" si="144"/>
        <v/>
      </c>
      <c r="Q401" s="73" t="str">
        <f t="shared" si="145"/>
        <v/>
      </c>
      <c r="R401" s="73" t="str">
        <f t="shared" si="146"/>
        <v/>
      </c>
    </row>
    <row r="402" spans="1:18" hidden="1">
      <c r="A402" s="355" t="str">
        <f>IF(C402="","",VLOOKUP('OPĆI DIO'!$C$3,'OPĆI DIO'!$L$6:$U$138,10,FALSE))</f>
        <v/>
      </c>
      <c r="B402" s="355" t="str">
        <f>IF(C402="","",VLOOKUP('OPĆI DIO'!$C$3,'OPĆI DIO'!$L$6:$U$138,9,FALSE))</f>
        <v/>
      </c>
      <c r="C402" s="356"/>
      <c r="D402" s="357" t="str">
        <f t="shared" si="139"/>
        <v/>
      </c>
      <c r="E402" s="356"/>
      <c r="F402" s="357" t="str">
        <f t="shared" si="140"/>
        <v/>
      </c>
      <c r="G402" s="358"/>
      <c r="H402" s="357" t="str">
        <f t="shared" si="141"/>
        <v/>
      </c>
      <c r="I402" s="357" t="str">
        <f t="shared" si="142"/>
        <v/>
      </c>
      <c r="J402" s="359"/>
      <c r="K402" s="359"/>
      <c r="L402" s="359"/>
      <c r="M402" s="81"/>
      <c r="O402" s="73" t="str">
        <f t="shared" si="143"/>
        <v/>
      </c>
      <c r="P402" s="73" t="str">
        <f t="shared" si="144"/>
        <v/>
      </c>
      <c r="Q402" s="73" t="str">
        <f t="shared" si="145"/>
        <v/>
      </c>
      <c r="R402" s="73" t="str">
        <f t="shared" si="146"/>
        <v/>
      </c>
    </row>
    <row r="403" spans="1:18" hidden="1">
      <c r="A403" s="355" t="str">
        <f>IF(C403="","",VLOOKUP('OPĆI DIO'!$C$3,'OPĆI DIO'!$L$6:$U$138,10,FALSE))</f>
        <v/>
      </c>
      <c r="B403" s="355" t="str">
        <f>IF(C403="","",VLOOKUP('OPĆI DIO'!$C$3,'OPĆI DIO'!$L$6:$U$138,9,FALSE))</f>
        <v/>
      </c>
      <c r="C403" s="356"/>
      <c r="D403" s="357" t="str">
        <f t="shared" si="139"/>
        <v/>
      </c>
      <c r="E403" s="356"/>
      <c r="F403" s="357" t="str">
        <f t="shared" si="140"/>
        <v/>
      </c>
      <c r="G403" s="358"/>
      <c r="H403" s="357" t="str">
        <f t="shared" si="141"/>
        <v/>
      </c>
      <c r="I403" s="357" t="str">
        <f t="shared" si="142"/>
        <v/>
      </c>
      <c r="J403" s="359"/>
      <c r="K403" s="359"/>
      <c r="L403" s="359"/>
      <c r="M403" s="81"/>
      <c r="O403" s="73" t="str">
        <f t="shared" si="143"/>
        <v/>
      </c>
      <c r="P403" s="73" t="str">
        <f t="shared" si="144"/>
        <v/>
      </c>
      <c r="Q403" s="73" t="str">
        <f t="shared" si="145"/>
        <v/>
      </c>
      <c r="R403" s="73" t="str">
        <f t="shared" si="146"/>
        <v/>
      </c>
    </row>
    <row r="404" spans="1:18" hidden="1">
      <c r="A404" s="355" t="str">
        <f>IF(C404="","",VLOOKUP('OPĆI DIO'!$C$3,'OPĆI DIO'!$L$6:$U$138,10,FALSE))</f>
        <v/>
      </c>
      <c r="B404" s="355" t="str">
        <f>IF(C404="","",VLOOKUP('OPĆI DIO'!$C$3,'OPĆI DIO'!$L$6:$U$138,9,FALSE))</f>
        <v/>
      </c>
      <c r="C404" s="356"/>
      <c r="D404" s="357" t="str">
        <f t="shared" si="139"/>
        <v/>
      </c>
      <c r="E404" s="356"/>
      <c r="F404" s="357" t="str">
        <f t="shared" si="140"/>
        <v/>
      </c>
      <c r="G404" s="358"/>
      <c r="H404" s="357" t="str">
        <f t="shared" si="141"/>
        <v/>
      </c>
      <c r="I404" s="357" t="str">
        <f t="shared" si="142"/>
        <v/>
      </c>
      <c r="J404" s="359"/>
      <c r="K404" s="359"/>
      <c r="L404" s="359"/>
      <c r="M404" s="81"/>
      <c r="O404" s="73" t="str">
        <f t="shared" si="143"/>
        <v/>
      </c>
      <c r="P404" s="73" t="str">
        <f t="shared" si="144"/>
        <v/>
      </c>
      <c r="Q404" s="73" t="str">
        <f t="shared" si="145"/>
        <v/>
      </c>
      <c r="R404" s="73" t="str">
        <f t="shared" si="146"/>
        <v/>
      </c>
    </row>
    <row r="405" spans="1:18" hidden="1">
      <c r="A405" s="355" t="str">
        <f>IF(C405="","",VLOOKUP('OPĆI DIO'!$C$3,'OPĆI DIO'!$L$6:$U$138,10,FALSE))</f>
        <v/>
      </c>
      <c r="B405" s="355" t="str">
        <f>IF(C405="","",VLOOKUP('OPĆI DIO'!$C$3,'OPĆI DIO'!$L$6:$U$138,9,FALSE))</f>
        <v/>
      </c>
      <c r="C405" s="356"/>
      <c r="D405" s="357" t="str">
        <f t="shared" si="139"/>
        <v/>
      </c>
      <c r="E405" s="356"/>
      <c r="F405" s="357" t="str">
        <f t="shared" si="140"/>
        <v/>
      </c>
      <c r="G405" s="358"/>
      <c r="H405" s="357" t="str">
        <f t="shared" si="141"/>
        <v/>
      </c>
      <c r="I405" s="357" t="str">
        <f t="shared" si="142"/>
        <v/>
      </c>
      <c r="J405" s="359"/>
      <c r="K405" s="359"/>
      <c r="L405" s="359"/>
      <c r="M405" s="81"/>
      <c r="O405" s="73" t="str">
        <f t="shared" si="143"/>
        <v/>
      </c>
      <c r="P405" s="73" t="str">
        <f t="shared" si="144"/>
        <v/>
      </c>
      <c r="Q405" s="73" t="str">
        <f t="shared" si="145"/>
        <v/>
      </c>
      <c r="R405" s="73" t="str">
        <f t="shared" si="146"/>
        <v/>
      </c>
    </row>
    <row r="406" spans="1:18" hidden="1">
      <c r="A406" s="355" t="str">
        <f>IF(C406="","",VLOOKUP('OPĆI DIO'!$C$3,'OPĆI DIO'!$L$6:$U$138,10,FALSE))</f>
        <v/>
      </c>
      <c r="B406" s="355" t="str">
        <f>IF(C406="","",VLOOKUP('OPĆI DIO'!$C$3,'OPĆI DIO'!$L$6:$U$138,9,FALSE))</f>
        <v/>
      </c>
      <c r="C406" s="356"/>
      <c r="D406" s="357" t="str">
        <f t="shared" si="139"/>
        <v/>
      </c>
      <c r="E406" s="356"/>
      <c r="F406" s="357" t="str">
        <f t="shared" si="140"/>
        <v/>
      </c>
      <c r="G406" s="358"/>
      <c r="H406" s="357" t="str">
        <f t="shared" si="141"/>
        <v/>
      </c>
      <c r="I406" s="357" t="str">
        <f t="shared" si="142"/>
        <v/>
      </c>
      <c r="J406" s="359"/>
      <c r="K406" s="359"/>
      <c r="L406" s="359"/>
      <c r="M406" s="81"/>
      <c r="O406" s="73" t="str">
        <f t="shared" si="143"/>
        <v/>
      </c>
      <c r="P406" s="73" t="str">
        <f t="shared" si="144"/>
        <v/>
      </c>
      <c r="Q406" s="73" t="str">
        <f t="shared" si="145"/>
        <v/>
      </c>
      <c r="R406" s="73" t="str">
        <f t="shared" si="146"/>
        <v/>
      </c>
    </row>
    <row r="407" spans="1:18" hidden="1">
      <c r="A407" s="355" t="str">
        <f>IF(C407="","",VLOOKUP('OPĆI DIO'!$C$3,'OPĆI DIO'!$L$6:$U$138,10,FALSE))</f>
        <v/>
      </c>
      <c r="B407" s="355" t="str">
        <f>IF(C407="","",VLOOKUP('OPĆI DIO'!$C$3,'OPĆI DIO'!$L$6:$U$138,9,FALSE))</f>
        <v/>
      </c>
      <c r="C407" s="356"/>
      <c r="D407" s="357" t="str">
        <f t="shared" si="139"/>
        <v/>
      </c>
      <c r="E407" s="356"/>
      <c r="F407" s="357" t="str">
        <f t="shared" si="140"/>
        <v/>
      </c>
      <c r="G407" s="358"/>
      <c r="H407" s="357" t="str">
        <f t="shared" si="141"/>
        <v/>
      </c>
      <c r="I407" s="357" t="str">
        <f t="shared" si="142"/>
        <v/>
      </c>
      <c r="J407" s="359"/>
      <c r="K407" s="359"/>
      <c r="L407" s="359"/>
      <c r="M407" s="81"/>
      <c r="O407" s="73" t="str">
        <f t="shared" si="143"/>
        <v/>
      </c>
      <c r="P407" s="73" t="str">
        <f t="shared" si="144"/>
        <v/>
      </c>
      <c r="Q407" s="73" t="str">
        <f t="shared" si="145"/>
        <v/>
      </c>
      <c r="R407" s="73" t="str">
        <f t="shared" si="146"/>
        <v/>
      </c>
    </row>
    <row r="408" spans="1:18" hidden="1">
      <c r="A408" s="355" t="str">
        <f>IF(C408="","",VLOOKUP('OPĆI DIO'!$C$3,'OPĆI DIO'!$L$6:$U$138,10,FALSE))</f>
        <v/>
      </c>
      <c r="B408" s="355" t="str">
        <f>IF(C408="","",VLOOKUP('OPĆI DIO'!$C$3,'OPĆI DIO'!$L$6:$U$138,9,FALSE))</f>
        <v/>
      </c>
      <c r="C408" s="356"/>
      <c r="D408" s="357" t="str">
        <f t="shared" si="139"/>
        <v/>
      </c>
      <c r="E408" s="356"/>
      <c r="F408" s="357" t="str">
        <f t="shared" si="140"/>
        <v/>
      </c>
      <c r="G408" s="358"/>
      <c r="H408" s="357" t="str">
        <f t="shared" si="141"/>
        <v/>
      </c>
      <c r="I408" s="357" t="str">
        <f t="shared" si="142"/>
        <v/>
      </c>
      <c r="J408" s="359"/>
      <c r="K408" s="359"/>
      <c r="L408" s="359"/>
      <c r="M408" s="81"/>
      <c r="O408" s="73" t="str">
        <f t="shared" si="143"/>
        <v/>
      </c>
      <c r="P408" s="73" t="str">
        <f t="shared" si="144"/>
        <v/>
      </c>
      <c r="Q408" s="73" t="str">
        <f t="shared" si="145"/>
        <v/>
      </c>
      <c r="R408" s="73" t="str">
        <f t="shared" si="146"/>
        <v/>
      </c>
    </row>
    <row r="409" spans="1:18" hidden="1">
      <c r="A409" s="355" t="str">
        <f>IF(C409="","",VLOOKUP('OPĆI DIO'!$C$3,'OPĆI DIO'!$L$6:$U$138,10,FALSE))</f>
        <v/>
      </c>
      <c r="B409" s="355" t="str">
        <f>IF(C409="","",VLOOKUP('OPĆI DIO'!$C$3,'OPĆI DIO'!$L$6:$U$138,9,FALSE))</f>
        <v/>
      </c>
      <c r="C409" s="356"/>
      <c r="D409" s="357" t="str">
        <f t="shared" si="139"/>
        <v/>
      </c>
      <c r="E409" s="356"/>
      <c r="F409" s="357" t="str">
        <f t="shared" si="140"/>
        <v/>
      </c>
      <c r="G409" s="358"/>
      <c r="H409" s="357" t="str">
        <f t="shared" si="141"/>
        <v/>
      </c>
      <c r="I409" s="357" t="str">
        <f t="shared" si="142"/>
        <v/>
      </c>
      <c r="J409" s="359"/>
      <c r="K409" s="359"/>
      <c r="L409" s="359"/>
      <c r="M409" s="81"/>
      <c r="O409" s="73" t="str">
        <f t="shared" si="143"/>
        <v/>
      </c>
      <c r="P409" s="73" t="str">
        <f t="shared" si="144"/>
        <v/>
      </c>
      <c r="Q409" s="73" t="str">
        <f t="shared" si="145"/>
        <v/>
      </c>
      <c r="R409" s="73" t="str">
        <f t="shared" si="146"/>
        <v/>
      </c>
    </row>
    <row r="410" spans="1:18" hidden="1">
      <c r="A410" s="355" t="str">
        <f>IF(C410="","",VLOOKUP('OPĆI DIO'!$C$3,'OPĆI DIO'!$L$6:$U$138,10,FALSE))</f>
        <v/>
      </c>
      <c r="B410" s="355" t="str">
        <f>IF(C410="","",VLOOKUP('OPĆI DIO'!$C$3,'OPĆI DIO'!$L$6:$U$138,9,FALSE))</f>
        <v/>
      </c>
      <c r="C410" s="356"/>
      <c r="D410" s="357" t="str">
        <f t="shared" si="139"/>
        <v/>
      </c>
      <c r="E410" s="356"/>
      <c r="F410" s="357" t="str">
        <f t="shared" si="140"/>
        <v/>
      </c>
      <c r="G410" s="358"/>
      <c r="H410" s="357" t="str">
        <f t="shared" si="141"/>
        <v/>
      </c>
      <c r="I410" s="357" t="str">
        <f t="shared" si="142"/>
        <v/>
      </c>
      <c r="J410" s="359"/>
      <c r="K410" s="359"/>
      <c r="L410" s="359"/>
      <c r="M410" s="81"/>
      <c r="O410" s="73" t="str">
        <f t="shared" si="143"/>
        <v/>
      </c>
      <c r="P410" s="73" t="str">
        <f t="shared" si="144"/>
        <v/>
      </c>
      <c r="Q410" s="73" t="str">
        <f t="shared" si="145"/>
        <v/>
      </c>
      <c r="R410" s="73" t="str">
        <f t="shared" si="146"/>
        <v/>
      </c>
    </row>
    <row r="411" spans="1:18" hidden="1">
      <c r="A411" s="355" t="str">
        <f>IF(C411="","",VLOOKUP('OPĆI DIO'!$C$3,'OPĆI DIO'!$L$6:$U$138,10,FALSE))</f>
        <v/>
      </c>
      <c r="B411" s="355" t="str">
        <f>IF(C411="","",VLOOKUP('OPĆI DIO'!$C$3,'OPĆI DIO'!$L$6:$U$138,9,FALSE))</f>
        <v/>
      </c>
      <c r="C411" s="356"/>
      <c r="D411" s="357" t="str">
        <f t="shared" si="139"/>
        <v/>
      </c>
      <c r="E411" s="356"/>
      <c r="F411" s="357" t="str">
        <f t="shared" si="140"/>
        <v/>
      </c>
      <c r="G411" s="358"/>
      <c r="H411" s="357" t="str">
        <f t="shared" si="141"/>
        <v/>
      </c>
      <c r="I411" s="357" t="str">
        <f t="shared" si="142"/>
        <v/>
      </c>
      <c r="J411" s="359"/>
      <c r="K411" s="359"/>
      <c r="L411" s="359"/>
      <c r="M411" s="81"/>
      <c r="O411" s="73" t="str">
        <f t="shared" si="143"/>
        <v/>
      </c>
      <c r="P411" s="73" t="str">
        <f t="shared" si="144"/>
        <v/>
      </c>
      <c r="Q411" s="73" t="str">
        <f t="shared" si="145"/>
        <v/>
      </c>
      <c r="R411" s="73" t="str">
        <f t="shared" si="146"/>
        <v/>
      </c>
    </row>
    <row r="412" spans="1:18" hidden="1">
      <c r="A412" s="355" t="str">
        <f>IF(C412="","",VLOOKUP('OPĆI DIO'!$C$3,'OPĆI DIO'!$L$6:$U$138,10,FALSE))</f>
        <v/>
      </c>
      <c r="B412" s="355" t="str">
        <f>IF(C412="","",VLOOKUP('OPĆI DIO'!$C$3,'OPĆI DIO'!$L$6:$U$138,9,FALSE))</f>
        <v/>
      </c>
      <c r="C412" s="356"/>
      <c r="D412" s="357" t="str">
        <f t="shared" si="139"/>
        <v/>
      </c>
      <c r="E412" s="356"/>
      <c r="F412" s="357" t="str">
        <f t="shared" si="140"/>
        <v/>
      </c>
      <c r="G412" s="358"/>
      <c r="H412" s="357" t="str">
        <f t="shared" si="141"/>
        <v/>
      </c>
      <c r="I412" s="357" t="str">
        <f t="shared" si="142"/>
        <v/>
      </c>
      <c r="J412" s="359"/>
      <c r="K412" s="359"/>
      <c r="L412" s="359"/>
      <c r="M412" s="81"/>
      <c r="O412" s="73" t="str">
        <f t="shared" si="143"/>
        <v/>
      </c>
      <c r="P412" s="73" t="str">
        <f t="shared" si="144"/>
        <v/>
      </c>
      <c r="Q412" s="73" t="str">
        <f t="shared" si="145"/>
        <v/>
      </c>
      <c r="R412" s="73" t="str">
        <f t="shared" si="146"/>
        <v/>
      </c>
    </row>
    <row r="413" spans="1:18" hidden="1">
      <c r="A413" s="355" t="str">
        <f>IF(C413="","",VLOOKUP('OPĆI DIO'!$C$3,'OPĆI DIO'!$L$6:$U$138,10,FALSE))</f>
        <v/>
      </c>
      <c r="B413" s="355" t="str">
        <f>IF(C413="","",VLOOKUP('OPĆI DIO'!$C$3,'OPĆI DIO'!$L$6:$U$138,9,FALSE))</f>
        <v/>
      </c>
      <c r="C413" s="356"/>
      <c r="D413" s="357" t="str">
        <f t="shared" si="139"/>
        <v/>
      </c>
      <c r="E413" s="356"/>
      <c r="F413" s="357" t="str">
        <f t="shared" si="140"/>
        <v/>
      </c>
      <c r="G413" s="358"/>
      <c r="H413" s="357" t="str">
        <f t="shared" si="141"/>
        <v/>
      </c>
      <c r="I413" s="357" t="str">
        <f t="shared" si="142"/>
        <v/>
      </c>
      <c r="J413" s="359"/>
      <c r="K413" s="359"/>
      <c r="L413" s="359"/>
      <c r="M413" s="81"/>
      <c r="O413" s="73" t="str">
        <f t="shared" si="143"/>
        <v/>
      </c>
      <c r="P413" s="73" t="str">
        <f t="shared" si="144"/>
        <v/>
      </c>
      <c r="Q413" s="73" t="str">
        <f t="shared" si="145"/>
        <v/>
      </c>
      <c r="R413" s="73" t="str">
        <f t="shared" si="146"/>
        <v/>
      </c>
    </row>
    <row r="414" spans="1:18" hidden="1">
      <c r="A414" s="355" t="str">
        <f>IF(C414="","",VLOOKUP('OPĆI DIO'!$C$3,'OPĆI DIO'!$L$6:$U$138,10,FALSE))</f>
        <v/>
      </c>
      <c r="B414" s="355" t="str">
        <f>IF(C414="","",VLOOKUP('OPĆI DIO'!$C$3,'OPĆI DIO'!$L$6:$U$138,9,FALSE))</f>
        <v/>
      </c>
      <c r="C414" s="356"/>
      <c r="D414" s="357" t="str">
        <f t="shared" si="139"/>
        <v/>
      </c>
      <c r="E414" s="356"/>
      <c r="F414" s="357" t="str">
        <f t="shared" si="140"/>
        <v/>
      </c>
      <c r="G414" s="358"/>
      <c r="H414" s="357" t="str">
        <f t="shared" si="141"/>
        <v/>
      </c>
      <c r="I414" s="357" t="str">
        <f t="shared" si="142"/>
        <v/>
      </c>
      <c r="J414" s="359"/>
      <c r="K414" s="359"/>
      <c r="L414" s="359"/>
      <c r="M414" s="81"/>
      <c r="O414" s="73" t="str">
        <f t="shared" si="143"/>
        <v/>
      </c>
      <c r="P414" s="73" t="str">
        <f t="shared" si="144"/>
        <v/>
      </c>
      <c r="Q414" s="73" t="str">
        <f t="shared" si="145"/>
        <v/>
      </c>
      <c r="R414" s="73" t="str">
        <f t="shared" si="146"/>
        <v/>
      </c>
    </row>
    <row r="415" spans="1:18" hidden="1">
      <c r="A415" s="355" t="str">
        <f>IF(C415="","",VLOOKUP('OPĆI DIO'!$C$3,'OPĆI DIO'!$L$6:$U$138,10,FALSE))</f>
        <v/>
      </c>
      <c r="B415" s="355" t="str">
        <f>IF(C415="","",VLOOKUP('OPĆI DIO'!$C$3,'OPĆI DIO'!$L$6:$U$138,9,FALSE))</f>
        <v/>
      </c>
      <c r="C415" s="356"/>
      <c r="D415" s="357" t="str">
        <f t="shared" si="139"/>
        <v/>
      </c>
      <c r="E415" s="356"/>
      <c r="F415" s="357" t="str">
        <f t="shared" si="140"/>
        <v/>
      </c>
      <c r="G415" s="358"/>
      <c r="H415" s="357" t="str">
        <f t="shared" si="141"/>
        <v/>
      </c>
      <c r="I415" s="357" t="str">
        <f t="shared" si="142"/>
        <v/>
      </c>
      <c r="J415" s="359"/>
      <c r="K415" s="359"/>
      <c r="L415" s="359"/>
      <c r="M415" s="81"/>
      <c r="O415" s="73" t="str">
        <f t="shared" si="143"/>
        <v/>
      </c>
      <c r="P415" s="73" t="str">
        <f t="shared" si="144"/>
        <v/>
      </c>
      <c r="Q415" s="73" t="str">
        <f t="shared" si="145"/>
        <v/>
      </c>
      <c r="R415" s="73" t="str">
        <f t="shared" si="146"/>
        <v/>
      </c>
    </row>
    <row r="416" spans="1:18" hidden="1">
      <c r="A416" s="355" t="str">
        <f>IF(C416="","",VLOOKUP('OPĆI DIO'!$C$3,'OPĆI DIO'!$L$6:$U$138,10,FALSE))</f>
        <v/>
      </c>
      <c r="B416" s="355" t="str">
        <f>IF(C416="","",VLOOKUP('OPĆI DIO'!$C$3,'OPĆI DIO'!$L$6:$U$138,9,FALSE))</f>
        <v/>
      </c>
      <c r="C416" s="356"/>
      <c r="D416" s="357" t="str">
        <f t="shared" si="139"/>
        <v/>
      </c>
      <c r="E416" s="356"/>
      <c r="F416" s="357" t="str">
        <f t="shared" si="140"/>
        <v/>
      </c>
      <c r="G416" s="358"/>
      <c r="H416" s="357" t="str">
        <f t="shared" si="141"/>
        <v/>
      </c>
      <c r="I416" s="357" t="str">
        <f t="shared" si="142"/>
        <v/>
      </c>
      <c r="J416" s="359"/>
      <c r="K416" s="359"/>
      <c r="L416" s="359"/>
      <c r="M416" s="81"/>
      <c r="O416" s="73" t="str">
        <f t="shared" si="143"/>
        <v/>
      </c>
      <c r="P416" s="73" t="str">
        <f t="shared" si="144"/>
        <v/>
      </c>
      <c r="Q416" s="73" t="str">
        <f t="shared" si="145"/>
        <v/>
      </c>
      <c r="R416" s="73" t="str">
        <f t="shared" si="146"/>
        <v/>
      </c>
    </row>
    <row r="417" spans="1:18" hidden="1">
      <c r="A417" s="355" t="str">
        <f>IF(C417="","",VLOOKUP('OPĆI DIO'!$C$3,'OPĆI DIO'!$L$6:$U$138,10,FALSE))</f>
        <v/>
      </c>
      <c r="B417" s="355" t="str">
        <f>IF(C417="","",VLOOKUP('OPĆI DIO'!$C$3,'OPĆI DIO'!$L$6:$U$138,9,FALSE))</f>
        <v/>
      </c>
      <c r="C417" s="356"/>
      <c r="D417" s="357" t="str">
        <f t="shared" si="139"/>
        <v/>
      </c>
      <c r="E417" s="356"/>
      <c r="F417" s="357" t="str">
        <f t="shared" si="140"/>
        <v/>
      </c>
      <c r="G417" s="358"/>
      <c r="H417" s="357" t="str">
        <f t="shared" si="141"/>
        <v/>
      </c>
      <c r="I417" s="357" t="str">
        <f t="shared" si="142"/>
        <v/>
      </c>
      <c r="J417" s="359"/>
      <c r="K417" s="359"/>
      <c r="L417" s="359"/>
      <c r="M417" s="81"/>
      <c r="O417" s="73" t="str">
        <f t="shared" si="143"/>
        <v/>
      </c>
      <c r="P417" s="73" t="str">
        <f t="shared" si="144"/>
        <v/>
      </c>
      <c r="Q417" s="73" t="str">
        <f t="shared" si="145"/>
        <v/>
      </c>
      <c r="R417" s="73" t="str">
        <f t="shared" si="146"/>
        <v/>
      </c>
    </row>
    <row r="418" spans="1:18" hidden="1">
      <c r="A418" s="355" t="str">
        <f>IF(C418="","",VLOOKUP('OPĆI DIO'!$C$3,'OPĆI DIO'!$L$6:$U$138,10,FALSE))</f>
        <v/>
      </c>
      <c r="B418" s="355" t="str">
        <f>IF(C418="","",VLOOKUP('OPĆI DIO'!$C$3,'OPĆI DIO'!$L$6:$U$138,9,FALSE))</f>
        <v/>
      </c>
      <c r="C418" s="356"/>
      <c r="D418" s="357" t="str">
        <f t="shared" si="139"/>
        <v/>
      </c>
      <c r="E418" s="356"/>
      <c r="F418" s="357" t="str">
        <f t="shared" si="140"/>
        <v/>
      </c>
      <c r="G418" s="358"/>
      <c r="H418" s="357" t="str">
        <f t="shared" si="141"/>
        <v/>
      </c>
      <c r="I418" s="357" t="str">
        <f t="shared" si="142"/>
        <v/>
      </c>
      <c r="J418" s="359"/>
      <c r="K418" s="359"/>
      <c r="L418" s="359"/>
      <c r="M418" s="81"/>
      <c r="O418" s="73" t="str">
        <f t="shared" si="143"/>
        <v/>
      </c>
      <c r="P418" s="73" t="str">
        <f t="shared" si="144"/>
        <v/>
      </c>
      <c r="Q418" s="73" t="str">
        <f t="shared" si="145"/>
        <v/>
      </c>
      <c r="R418" s="73" t="str">
        <f t="shared" si="146"/>
        <v/>
      </c>
    </row>
    <row r="419" spans="1:18" hidden="1">
      <c r="A419" s="355" t="str">
        <f>IF(C419="","",VLOOKUP('OPĆI DIO'!$C$3,'OPĆI DIO'!$L$6:$U$138,10,FALSE))</f>
        <v/>
      </c>
      <c r="B419" s="355" t="str">
        <f>IF(C419="","",VLOOKUP('OPĆI DIO'!$C$3,'OPĆI DIO'!$L$6:$U$138,9,FALSE))</f>
        <v/>
      </c>
      <c r="C419" s="356"/>
      <c r="D419" s="357" t="str">
        <f t="shared" si="139"/>
        <v/>
      </c>
      <c r="E419" s="356"/>
      <c r="F419" s="357" t="str">
        <f t="shared" si="140"/>
        <v/>
      </c>
      <c r="G419" s="358"/>
      <c r="H419" s="357" t="str">
        <f t="shared" si="141"/>
        <v/>
      </c>
      <c r="I419" s="357" t="str">
        <f t="shared" si="142"/>
        <v/>
      </c>
      <c r="J419" s="359"/>
      <c r="K419" s="359"/>
      <c r="L419" s="359"/>
      <c r="M419" s="81"/>
      <c r="O419" s="73" t="str">
        <f t="shared" si="143"/>
        <v/>
      </c>
      <c r="P419" s="73" t="str">
        <f t="shared" si="144"/>
        <v/>
      </c>
      <c r="Q419" s="73" t="str">
        <f t="shared" si="145"/>
        <v/>
      </c>
      <c r="R419" s="73" t="str">
        <f t="shared" si="146"/>
        <v/>
      </c>
    </row>
    <row r="420" spans="1:18" hidden="1">
      <c r="A420" s="355" t="str">
        <f>IF(C420="","",VLOOKUP('OPĆI DIO'!$C$3,'OPĆI DIO'!$L$6:$U$138,10,FALSE))</f>
        <v/>
      </c>
      <c r="B420" s="355" t="str">
        <f>IF(C420="","",VLOOKUP('OPĆI DIO'!$C$3,'OPĆI DIO'!$L$6:$U$138,9,FALSE))</f>
        <v/>
      </c>
      <c r="C420" s="356"/>
      <c r="D420" s="357" t="str">
        <f t="shared" si="139"/>
        <v/>
      </c>
      <c r="E420" s="356"/>
      <c r="F420" s="357" t="str">
        <f t="shared" si="140"/>
        <v/>
      </c>
      <c r="G420" s="358"/>
      <c r="H420" s="357" t="str">
        <f t="shared" si="141"/>
        <v/>
      </c>
      <c r="I420" s="357" t="str">
        <f t="shared" si="142"/>
        <v/>
      </c>
      <c r="J420" s="359"/>
      <c r="K420" s="359"/>
      <c r="L420" s="359"/>
      <c r="M420" s="81"/>
      <c r="O420" s="73" t="str">
        <f t="shared" si="143"/>
        <v/>
      </c>
      <c r="P420" s="73" t="str">
        <f t="shared" si="144"/>
        <v/>
      </c>
      <c r="Q420" s="73" t="str">
        <f t="shared" si="145"/>
        <v/>
      </c>
      <c r="R420" s="73" t="str">
        <f t="shared" si="146"/>
        <v/>
      </c>
    </row>
    <row r="421" spans="1:18" hidden="1">
      <c r="A421" s="355" t="str">
        <f>IF(C421="","",VLOOKUP('OPĆI DIO'!$C$3,'OPĆI DIO'!$L$6:$U$138,10,FALSE))</f>
        <v/>
      </c>
      <c r="B421" s="355" t="str">
        <f>IF(C421="","",VLOOKUP('OPĆI DIO'!$C$3,'OPĆI DIO'!$L$6:$U$138,9,FALSE))</f>
        <v/>
      </c>
      <c r="C421" s="356"/>
      <c r="D421" s="357" t="str">
        <f t="shared" si="139"/>
        <v/>
      </c>
      <c r="E421" s="356"/>
      <c r="F421" s="357" t="str">
        <f t="shared" si="140"/>
        <v/>
      </c>
      <c r="G421" s="358"/>
      <c r="H421" s="357" t="str">
        <f t="shared" si="141"/>
        <v/>
      </c>
      <c r="I421" s="357" t="str">
        <f t="shared" si="142"/>
        <v/>
      </c>
      <c r="J421" s="359"/>
      <c r="K421" s="359"/>
      <c r="L421" s="359"/>
      <c r="M421" s="81"/>
      <c r="O421" s="73" t="str">
        <f t="shared" si="143"/>
        <v/>
      </c>
      <c r="P421" s="73" t="str">
        <f t="shared" si="144"/>
        <v/>
      </c>
      <c r="Q421" s="73" t="str">
        <f t="shared" si="145"/>
        <v/>
      </c>
      <c r="R421" s="73" t="str">
        <f t="shared" si="146"/>
        <v/>
      </c>
    </row>
    <row r="422" spans="1:18" hidden="1">
      <c r="A422" s="355" t="str">
        <f>IF(C422="","",VLOOKUP('OPĆI DIO'!$C$3,'OPĆI DIO'!$L$6:$U$138,10,FALSE))</f>
        <v/>
      </c>
      <c r="B422" s="355" t="str">
        <f>IF(C422="","",VLOOKUP('OPĆI DIO'!$C$3,'OPĆI DIO'!$L$6:$U$138,9,FALSE))</f>
        <v/>
      </c>
      <c r="C422" s="356"/>
      <c r="D422" s="357" t="str">
        <f t="shared" si="139"/>
        <v/>
      </c>
      <c r="E422" s="356"/>
      <c r="F422" s="357" t="str">
        <f t="shared" si="140"/>
        <v/>
      </c>
      <c r="G422" s="358"/>
      <c r="H422" s="357" t="str">
        <f t="shared" si="141"/>
        <v/>
      </c>
      <c r="I422" s="357" t="str">
        <f t="shared" si="142"/>
        <v/>
      </c>
      <c r="J422" s="359"/>
      <c r="K422" s="359"/>
      <c r="L422" s="359"/>
      <c r="M422" s="81"/>
      <c r="O422" s="73" t="str">
        <f t="shared" si="143"/>
        <v/>
      </c>
      <c r="P422" s="73" t="str">
        <f t="shared" si="144"/>
        <v/>
      </c>
      <c r="Q422" s="73" t="str">
        <f t="shared" si="145"/>
        <v/>
      </c>
      <c r="R422" s="73" t="str">
        <f t="shared" si="146"/>
        <v/>
      </c>
    </row>
    <row r="423" spans="1:18" hidden="1">
      <c r="A423" s="355" t="str">
        <f>IF(C423="","",VLOOKUP('OPĆI DIO'!$C$3,'OPĆI DIO'!$L$6:$U$138,10,FALSE))</f>
        <v/>
      </c>
      <c r="B423" s="355" t="str">
        <f>IF(C423="","",VLOOKUP('OPĆI DIO'!$C$3,'OPĆI DIO'!$L$6:$U$138,9,FALSE))</f>
        <v/>
      </c>
      <c r="C423" s="356"/>
      <c r="D423" s="357" t="str">
        <f t="shared" si="139"/>
        <v/>
      </c>
      <c r="E423" s="356"/>
      <c r="F423" s="357" t="str">
        <f t="shared" si="140"/>
        <v/>
      </c>
      <c r="G423" s="358"/>
      <c r="H423" s="357" t="str">
        <f t="shared" si="141"/>
        <v/>
      </c>
      <c r="I423" s="357" t="str">
        <f t="shared" si="142"/>
        <v/>
      </c>
      <c r="J423" s="359"/>
      <c r="K423" s="359"/>
      <c r="L423" s="359"/>
      <c r="M423" s="81"/>
      <c r="O423" s="73" t="str">
        <f t="shared" si="143"/>
        <v/>
      </c>
      <c r="P423" s="73" t="str">
        <f t="shared" si="144"/>
        <v/>
      </c>
      <c r="Q423" s="73" t="str">
        <f t="shared" si="145"/>
        <v/>
      </c>
      <c r="R423" s="73" t="str">
        <f t="shared" si="146"/>
        <v/>
      </c>
    </row>
    <row r="424" spans="1:18" hidden="1">
      <c r="A424" s="355" t="str">
        <f>IF(C424="","",VLOOKUP('OPĆI DIO'!$C$3,'OPĆI DIO'!$L$6:$U$138,10,FALSE))</f>
        <v/>
      </c>
      <c r="B424" s="355" t="str">
        <f>IF(C424="","",VLOOKUP('OPĆI DIO'!$C$3,'OPĆI DIO'!$L$6:$U$138,9,FALSE))</f>
        <v/>
      </c>
      <c r="C424" s="356"/>
      <c r="D424" s="357" t="str">
        <f t="shared" si="139"/>
        <v/>
      </c>
      <c r="E424" s="356"/>
      <c r="F424" s="357" t="str">
        <f t="shared" si="140"/>
        <v/>
      </c>
      <c r="G424" s="358"/>
      <c r="H424" s="357" t="str">
        <f t="shared" si="141"/>
        <v/>
      </c>
      <c r="I424" s="357" t="str">
        <f t="shared" si="142"/>
        <v/>
      </c>
      <c r="J424" s="359"/>
      <c r="K424" s="359"/>
      <c r="L424" s="359"/>
      <c r="M424" s="81"/>
      <c r="O424" s="73" t="str">
        <f t="shared" si="143"/>
        <v/>
      </c>
      <c r="P424" s="73" t="str">
        <f t="shared" si="144"/>
        <v/>
      </c>
      <c r="Q424" s="73" t="str">
        <f t="shared" si="145"/>
        <v/>
      </c>
      <c r="R424" s="73" t="str">
        <f t="shared" si="146"/>
        <v/>
      </c>
    </row>
    <row r="425" spans="1:18" hidden="1">
      <c r="A425" s="355" t="str">
        <f>IF(C425="","",VLOOKUP('OPĆI DIO'!$C$3,'OPĆI DIO'!$L$6:$U$138,10,FALSE))</f>
        <v/>
      </c>
      <c r="B425" s="355" t="str">
        <f>IF(C425="","",VLOOKUP('OPĆI DIO'!$C$3,'OPĆI DIO'!$L$6:$U$138,9,FALSE))</f>
        <v/>
      </c>
      <c r="C425" s="356"/>
      <c r="D425" s="357" t="str">
        <f t="shared" si="139"/>
        <v/>
      </c>
      <c r="E425" s="356"/>
      <c r="F425" s="357" t="str">
        <f t="shared" si="140"/>
        <v/>
      </c>
      <c r="G425" s="358"/>
      <c r="H425" s="357" t="str">
        <f t="shared" si="141"/>
        <v/>
      </c>
      <c r="I425" s="357" t="str">
        <f t="shared" si="142"/>
        <v/>
      </c>
      <c r="J425" s="359"/>
      <c r="K425" s="359"/>
      <c r="L425" s="359"/>
      <c r="M425" s="81"/>
      <c r="O425" s="73" t="str">
        <f t="shared" si="143"/>
        <v/>
      </c>
      <c r="P425" s="73" t="str">
        <f t="shared" si="144"/>
        <v/>
      </c>
      <c r="Q425" s="73" t="str">
        <f t="shared" si="145"/>
        <v/>
      </c>
      <c r="R425" s="73" t="str">
        <f t="shared" si="146"/>
        <v/>
      </c>
    </row>
    <row r="426" spans="1:18" hidden="1">
      <c r="A426" s="355" t="str">
        <f>IF(C426="","",VLOOKUP('OPĆI DIO'!$C$3,'OPĆI DIO'!$L$6:$U$138,10,FALSE))</f>
        <v/>
      </c>
      <c r="B426" s="355" t="str">
        <f>IF(C426="","",VLOOKUP('OPĆI DIO'!$C$3,'OPĆI DIO'!$L$6:$U$138,9,FALSE))</f>
        <v/>
      </c>
      <c r="C426" s="356"/>
      <c r="D426" s="357" t="str">
        <f t="shared" si="139"/>
        <v/>
      </c>
      <c r="E426" s="356"/>
      <c r="F426" s="357" t="str">
        <f t="shared" si="140"/>
        <v/>
      </c>
      <c r="G426" s="358"/>
      <c r="H426" s="357" t="str">
        <f t="shared" si="141"/>
        <v/>
      </c>
      <c r="I426" s="357" t="str">
        <f t="shared" si="142"/>
        <v/>
      </c>
      <c r="J426" s="359"/>
      <c r="K426" s="359"/>
      <c r="L426" s="359"/>
      <c r="M426" s="81"/>
      <c r="O426" s="73" t="str">
        <f t="shared" si="143"/>
        <v/>
      </c>
      <c r="P426" s="73" t="str">
        <f t="shared" si="144"/>
        <v/>
      </c>
      <c r="Q426" s="73" t="str">
        <f t="shared" si="145"/>
        <v/>
      </c>
      <c r="R426" s="73" t="str">
        <f t="shared" si="146"/>
        <v/>
      </c>
    </row>
    <row r="427" spans="1:18" hidden="1">
      <c r="A427" s="355" t="str">
        <f>IF(C427="","",VLOOKUP('OPĆI DIO'!$C$3,'OPĆI DIO'!$L$6:$U$138,10,FALSE))</f>
        <v/>
      </c>
      <c r="B427" s="355" t="str">
        <f>IF(C427="","",VLOOKUP('OPĆI DIO'!$C$3,'OPĆI DIO'!$L$6:$U$138,9,FALSE))</f>
        <v/>
      </c>
      <c r="C427" s="356"/>
      <c r="D427" s="357" t="str">
        <f t="shared" si="139"/>
        <v/>
      </c>
      <c r="E427" s="356"/>
      <c r="F427" s="357" t="str">
        <f t="shared" si="140"/>
        <v/>
      </c>
      <c r="G427" s="358"/>
      <c r="H427" s="357" t="str">
        <f t="shared" si="141"/>
        <v/>
      </c>
      <c r="I427" s="357" t="str">
        <f t="shared" si="142"/>
        <v/>
      </c>
      <c r="J427" s="359"/>
      <c r="K427" s="359"/>
      <c r="L427" s="359"/>
      <c r="M427" s="81"/>
      <c r="O427" s="73" t="str">
        <f t="shared" si="143"/>
        <v/>
      </c>
      <c r="P427" s="73" t="str">
        <f t="shared" si="144"/>
        <v/>
      </c>
      <c r="Q427" s="73" t="str">
        <f t="shared" si="145"/>
        <v/>
      </c>
      <c r="R427" s="73" t="str">
        <f t="shared" si="146"/>
        <v/>
      </c>
    </row>
    <row r="428" spans="1:18" hidden="1">
      <c r="A428" s="355" t="str">
        <f>IF(C428="","",VLOOKUP('OPĆI DIO'!$C$3,'OPĆI DIO'!$L$6:$U$138,10,FALSE))</f>
        <v/>
      </c>
      <c r="B428" s="355" t="str">
        <f>IF(C428="","",VLOOKUP('OPĆI DIO'!$C$3,'OPĆI DIO'!$L$6:$U$138,9,FALSE))</f>
        <v/>
      </c>
      <c r="C428" s="356"/>
      <c r="D428" s="357" t="str">
        <f t="shared" si="139"/>
        <v/>
      </c>
      <c r="E428" s="356"/>
      <c r="F428" s="357" t="str">
        <f t="shared" si="140"/>
        <v/>
      </c>
      <c r="G428" s="358"/>
      <c r="H428" s="357" t="str">
        <f t="shared" si="141"/>
        <v/>
      </c>
      <c r="I428" s="357" t="str">
        <f t="shared" si="142"/>
        <v/>
      </c>
      <c r="J428" s="359"/>
      <c r="K428" s="359"/>
      <c r="L428" s="359"/>
      <c r="M428" s="81"/>
      <c r="O428" s="73" t="str">
        <f t="shared" si="143"/>
        <v/>
      </c>
      <c r="P428" s="73" t="str">
        <f t="shared" si="144"/>
        <v/>
      </c>
      <c r="Q428" s="73" t="str">
        <f t="shared" si="145"/>
        <v/>
      </c>
      <c r="R428" s="73" t="str">
        <f t="shared" si="146"/>
        <v/>
      </c>
    </row>
    <row r="429" spans="1:18" hidden="1">
      <c r="A429" s="355" t="str">
        <f>IF(C429="","",VLOOKUP('OPĆI DIO'!$C$3,'OPĆI DIO'!$L$6:$U$138,10,FALSE))</f>
        <v/>
      </c>
      <c r="B429" s="355" t="str">
        <f>IF(C429="","",VLOOKUP('OPĆI DIO'!$C$3,'OPĆI DIO'!$L$6:$U$138,9,FALSE))</f>
        <v/>
      </c>
      <c r="C429" s="356"/>
      <c r="D429" s="357" t="str">
        <f t="shared" si="139"/>
        <v/>
      </c>
      <c r="E429" s="356"/>
      <c r="F429" s="357" t="str">
        <f t="shared" si="140"/>
        <v/>
      </c>
      <c r="G429" s="358"/>
      <c r="H429" s="357" t="str">
        <f t="shared" si="141"/>
        <v/>
      </c>
      <c r="I429" s="357" t="str">
        <f t="shared" si="142"/>
        <v/>
      </c>
      <c r="J429" s="359"/>
      <c r="K429" s="359"/>
      <c r="L429" s="359"/>
      <c r="M429" s="81"/>
      <c r="O429" s="73" t="str">
        <f t="shared" si="143"/>
        <v/>
      </c>
      <c r="P429" s="73" t="str">
        <f t="shared" si="144"/>
        <v/>
      </c>
      <c r="Q429" s="73" t="str">
        <f t="shared" si="145"/>
        <v/>
      </c>
      <c r="R429" s="73" t="str">
        <f t="shared" si="146"/>
        <v/>
      </c>
    </row>
    <row r="430" spans="1:18" hidden="1">
      <c r="A430" s="355" t="str">
        <f>IF(C430="","",VLOOKUP('OPĆI DIO'!$C$3,'OPĆI DIO'!$L$6:$U$138,10,FALSE))</f>
        <v/>
      </c>
      <c r="B430" s="355" t="str">
        <f>IF(C430="","",VLOOKUP('OPĆI DIO'!$C$3,'OPĆI DIO'!$L$6:$U$138,9,FALSE))</f>
        <v/>
      </c>
      <c r="C430" s="356"/>
      <c r="D430" s="357" t="str">
        <f t="shared" si="139"/>
        <v/>
      </c>
      <c r="E430" s="356"/>
      <c r="F430" s="357" t="str">
        <f t="shared" si="140"/>
        <v/>
      </c>
      <c r="G430" s="358"/>
      <c r="H430" s="357" t="str">
        <f t="shared" si="141"/>
        <v/>
      </c>
      <c r="I430" s="357" t="str">
        <f t="shared" si="142"/>
        <v/>
      </c>
      <c r="J430" s="359"/>
      <c r="K430" s="359"/>
      <c r="L430" s="359"/>
      <c r="M430" s="81"/>
      <c r="O430" s="73" t="str">
        <f t="shared" si="143"/>
        <v/>
      </c>
      <c r="P430" s="73" t="str">
        <f t="shared" si="144"/>
        <v/>
      </c>
      <c r="Q430" s="73" t="str">
        <f t="shared" si="145"/>
        <v/>
      </c>
      <c r="R430" s="73" t="str">
        <f t="shared" si="146"/>
        <v/>
      </c>
    </row>
    <row r="431" spans="1:18" hidden="1">
      <c r="A431" s="355" t="str">
        <f>IF(C431="","",VLOOKUP('OPĆI DIO'!$C$3,'OPĆI DIO'!$L$6:$U$138,10,FALSE))</f>
        <v/>
      </c>
      <c r="B431" s="355" t="str">
        <f>IF(C431="","",VLOOKUP('OPĆI DIO'!$C$3,'OPĆI DIO'!$L$6:$U$138,9,FALSE))</f>
        <v/>
      </c>
      <c r="C431" s="356"/>
      <c r="D431" s="357" t="str">
        <f t="shared" si="139"/>
        <v/>
      </c>
      <c r="E431" s="356"/>
      <c r="F431" s="357" t="str">
        <f t="shared" si="140"/>
        <v/>
      </c>
      <c r="G431" s="358"/>
      <c r="H431" s="357" t="str">
        <f t="shared" si="141"/>
        <v/>
      </c>
      <c r="I431" s="357" t="str">
        <f t="shared" si="142"/>
        <v/>
      </c>
      <c r="J431" s="359"/>
      <c r="K431" s="359"/>
      <c r="L431" s="359"/>
      <c r="M431" s="81"/>
      <c r="O431" s="73" t="str">
        <f t="shared" si="143"/>
        <v/>
      </c>
      <c r="P431" s="73" t="str">
        <f t="shared" si="144"/>
        <v/>
      </c>
      <c r="Q431" s="73" t="str">
        <f t="shared" si="145"/>
        <v/>
      </c>
      <c r="R431" s="73" t="str">
        <f t="shared" si="146"/>
        <v/>
      </c>
    </row>
    <row r="432" spans="1:18" hidden="1">
      <c r="A432" s="355" t="str">
        <f>IF(C432="","",VLOOKUP('OPĆI DIO'!$C$3,'OPĆI DIO'!$L$6:$U$138,10,FALSE))</f>
        <v/>
      </c>
      <c r="B432" s="355" t="str">
        <f>IF(C432="","",VLOOKUP('OPĆI DIO'!$C$3,'OPĆI DIO'!$L$6:$U$138,9,FALSE))</f>
        <v/>
      </c>
      <c r="C432" s="356"/>
      <c r="D432" s="357" t="str">
        <f t="shared" si="139"/>
        <v/>
      </c>
      <c r="E432" s="356"/>
      <c r="F432" s="357" t="str">
        <f t="shared" si="140"/>
        <v/>
      </c>
      <c r="G432" s="358"/>
      <c r="H432" s="357" t="str">
        <f t="shared" si="141"/>
        <v/>
      </c>
      <c r="I432" s="357" t="str">
        <f t="shared" si="142"/>
        <v/>
      </c>
      <c r="J432" s="359"/>
      <c r="K432" s="359"/>
      <c r="L432" s="359"/>
      <c r="M432" s="81"/>
      <c r="O432" s="73" t="str">
        <f t="shared" si="143"/>
        <v/>
      </c>
      <c r="P432" s="73" t="str">
        <f t="shared" si="144"/>
        <v/>
      </c>
      <c r="Q432" s="73" t="str">
        <f t="shared" si="145"/>
        <v/>
      </c>
      <c r="R432" s="73" t="str">
        <f t="shared" si="146"/>
        <v/>
      </c>
    </row>
    <row r="433" spans="1:18" hidden="1">
      <c r="A433" s="355" t="str">
        <f>IF(C433="","",VLOOKUP('OPĆI DIO'!$C$3,'OPĆI DIO'!$L$6:$U$138,10,FALSE))</f>
        <v/>
      </c>
      <c r="B433" s="355" t="str">
        <f>IF(C433="","",VLOOKUP('OPĆI DIO'!$C$3,'OPĆI DIO'!$L$6:$U$138,9,FALSE))</f>
        <v/>
      </c>
      <c r="C433" s="356"/>
      <c r="D433" s="357" t="str">
        <f t="shared" si="139"/>
        <v/>
      </c>
      <c r="E433" s="356"/>
      <c r="F433" s="357" t="str">
        <f t="shared" si="140"/>
        <v/>
      </c>
      <c r="G433" s="358"/>
      <c r="H433" s="357" t="str">
        <f t="shared" si="141"/>
        <v/>
      </c>
      <c r="I433" s="357" t="str">
        <f t="shared" si="142"/>
        <v/>
      </c>
      <c r="J433" s="359"/>
      <c r="K433" s="359"/>
      <c r="L433" s="359"/>
      <c r="M433" s="81"/>
      <c r="O433" s="73" t="str">
        <f t="shared" si="143"/>
        <v/>
      </c>
      <c r="P433" s="73" t="str">
        <f t="shared" si="144"/>
        <v/>
      </c>
      <c r="Q433" s="73" t="str">
        <f t="shared" si="145"/>
        <v/>
      </c>
      <c r="R433" s="73" t="str">
        <f t="shared" si="146"/>
        <v/>
      </c>
    </row>
    <row r="434" spans="1:18" hidden="1">
      <c r="A434" s="355" t="str">
        <f>IF(C434="","",VLOOKUP('OPĆI DIO'!$C$3,'OPĆI DIO'!$L$6:$U$138,10,FALSE))</f>
        <v/>
      </c>
      <c r="B434" s="355" t="str">
        <f>IF(C434="","",VLOOKUP('OPĆI DIO'!$C$3,'OPĆI DIO'!$L$6:$U$138,9,FALSE))</f>
        <v/>
      </c>
      <c r="C434" s="356"/>
      <c r="D434" s="357" t="str">
        <f t="shared" si="139"/>
        <v/>
      </c>
      <c r="E434" s="356"/>
      <c r="F434" s="357" t="str">
        <f t="shared" si="140"/>
        <v/>
      </c>
      <c r="G434" s="358"/>
      <c r="H434" s="357" t="str">
        <f t="shared" si="141"/>
        <v/>
      </c>
      <c r="I434" s="357" t="str">
        <f t="shared" si="142"/>
        <v/>
      </c>
      <c r="J434" s="359"/>
      <c r="K434" s="359"/>
      <c r="L434" s="359"/>
      <c r="M434" s="81"/>
      <c r="O434" s="73" t="str">
        <f t="shared" si="143"/>
        <v/>
      </c>
      <c r="P434" s="73" t="str">
        <f t="shared" si="144"/>
        <v/>
      </c>
      <c r="Q434" s="73" t="str">
        <f t="shared" si="145"/>
        <v/>
      </c>
      <c r="R434" s="73" t="str">
        <f t="shared" si="146"/>
        <v/>
      </c>
    </row>
    <row r="435" spans="1:18" hidden="1">
      <c r="A435" s="355" t="str">
        <f>IF(C435="","",VLOOKUP('OPĆI DIO'!$C$3,'OPĆI DIO'!$L$6:$U$138,10,FALSE))</f>
        <v/>
      </c>
      <c r="B435" s="355" t="str">
        <f>IF(C435="","",VLOOKUP('OPĆI DIO'!$C$3,'OPĆI DIO'!$L$6:$U$138,9,FALSE))</f>
        <v/>
      </c>
      <c r="C435" s="356"/>
      <c r="D435" s="357" t="str">
        <f t="shared" si="139"/>
        <v/>
      </c>
      <c r="E435" s="356"/>
      <c r="F435" s="357" t="str">
        <f t="shared" si="140"/>
        <v/>
      </c>
      <c r="G435" s="358"/>
      <c r="H435" s="357" t="str">
        <f t="shared" si="141"/>
        <v/>
      </c>
      <c r="I435" s="357" t="str">
        <f t="shared" si="142"/>
        <v/>
      </c>
      <c r="J435" s="359"/>
      <c r="K435" s="359"/>
      <c r="L435" s="359"/>
      <c r="M435" s="81"/>
      <c r="O435" s="73" t="str">
        <f t="shared" si="143"/>
        <v/>
      </c>
      <c r="P435" s="73" t="str">
        <f t="shared" si="144"/>
        <v/>
      </c>
      <c r="Q435" s="73" t="str">
        <f t="shared" si="145"/>
        <v/>
      </c>
      <c r="R435" s="73" t="str">
        <f t="shared" si="146"/>
        <v/>
      </c>
    </row>
    <row r="436" spans="1:18" hidden="1">
      <c r="A436" s="355" t="str">
        <f>IF(C436="","",VLOOKUP('OPĆI DIO'!$C$3,'OPĆI DIO'!$L$6:$U$138,10,FALSE))</f>
        <v/>
      </c>
      <c r="B436" s="355" t="str">
        <f>IF(C436="","",VLOOKUP('OPĆI DIO'!$C$3,'OPĆI DIO'!$L$6:$U$138,9,FALSE))</f>
        <v/>
      </c>
      <c r="C436" s="356"/>
      <c r="D436" s="357" t="str">
        <f t="shared" si="139"/>
        <v/>
      </c>
      <c r="E436" s="356"/>
      <c r="F436" s="357" t="str">
        <f t="shared" si="140"/>
        <v/>
      </c>
      <c r="G436" s="358"/>
      <c r="H436" s="357" t="str">
        <f t="shared" si="141"/>
        <v/>
      </c>
      <c r="I436" s="357" t="str">
        <f t="shared" si="142"/>
        <v/>
      </c>
      <c r="J436" s="359"/>
      <c r="K436" s="359"/>
      <c r="L436" s="359"/>
      <c r="M436" s="81"/>
      <c r="O436" s="73" t="str">
        <f t="shared" si="143"/>
        <v/>
      </c>
      <c r="P436" s="73" t="str">
        <f t="shared" si="144"/>
        <v/>
      </c>
      <c r="Q436" s="73" t="str">
        <f t="shared" si="145"/>
        <v/>
      </c>
      <c r="R436" s="73" t="str">
        <f t="shared" si="146"/>
        <v/>
      </c>
    </row>
    <row r="437" spans="1:18" hidden="1">
      <c r="A437" s="355" t="str">
        <f>IF(C437="","",VLOOKUP('OPĆI DIO'!$C$3,'OPĆI DIO'!$L$6:$U$138,10,FALSE))</f>
        <v/>
      </c>
      <c r="B437" s="355" t="str">
        <f>IF(C437="","",VLOOKUP('OPĆI DIO'!$C$3,'OPĆI DIO'!$L$6:$U$138,9,FALSE))</f>
        <v/>
      </c>
      <c r="C437" s="356"/>
      <c r="D437" s="357" t="str">
        <f t="shared" si="139"/>
        <v/>
      </c>
      <c r="E437" s="356"/>
      <c r="F437" s="357" t="str">
        <f t="shared" si="140"/>
        <v/>
      </c>
      <c r="G437" s="358"/>
      <c r="H437" s="357" t="str">
        <f t="shared" si="141"/>
        <v/>
      </c>
      <c r="I437" s="357" t="str">
        <f t="shared" si="142"/>
        <v/>
      </c>
      <c r="J437" s="359"/>
      <c r="K437" s="359"/>
      <c r="L437" s="359"/>
      <c r="M437" s="81"/>
      <c r="O437" s="73" t="str">
        <f t="shared" si="143"/>
        <v/>
      </c>
      <c r="P437" s="73" t="str">
        <f t="shared" si="144"/>
        <v/>
      </c>
      <c r="Q437" s="73" t="str">
        <f t="shared" si="145"/>
        <v/>
      </c>
      <c r="R437" s="73" t="str">
        <f t="shared" si="146"/>
        <v/>
      </c>
    </row>
    <row r="438" spans="1:18" hidden="1">
      <c r="A438" s="355" t="str">
        <f>IF(C438="","",VLOOKUP('OPĆI DIO'!$C$3,'OPĆI DIO'!$L$6:$U$138,10,FALSE))</f>
        <v/>
      </c>
      <c r="B438" s="355" t="str">
        <f>IF(C438="","",VLOOKUP('OPĆI DIO'!$C$3,'OPĆI DIO'!$L$6:$U$138,9,FALSE))</f>
        <v/>
      </c>
      <c r="C438" s="356"/>
      <c r="D438" s="357" t="str">
        <f t="shared" si="139"/>
        <v/>
      </c>
      <c r="E438" s="356"/>
      <c r="F438" s="357" t="str">
        <f t="shared" si="140"/>
        <v/>
      </c>
      <c r="G438" s="358"/>
      <c r="H438" s="357" t="str">
        <f t="shared" si="141"/>
        <v/>
      </c>
      <c r="I438" s="357" t="str">
        <f t="shared" si="142"/>
        <v/>
      </c>
      <c r="J438" s="359"/>
      <c r="K438" s="359"/>
      <c r="L438" s="359"/>
      <c r="M438" s="81"/>
      <c r="O438" s="73" t="str">
        <f t="shared" si="143"/>
        <v/>
      </c>
      <c r="P438" s="73" t="str">
        <f t="shared" si="144"/>
        <v/>
      </c>
      <c r="Q438" s="73" t="str">
        <f t="shared" si="145"/>
        <v/>
      </c>
      <c r="R438" s="73" t="str">
        <f t="shared" si="146"/>
        <v/>
      </c>
    </row>
    <row r="439" spans="1:18" hidden="1">
      <c r="A439" s="355" t="str">
        <f>IF(C439="","",VLOOKUP('OPĆI DIO'!$C$3,'OPĆI DIO'!$L$6:$U$138,10,FALSE))</f>
        <v/>
      </c>
      <c r="B439" s="355" t="str">
        <f>IF(C439="","",VLOOKUP('OPĆI DIO'!$C$3,'OPĆI DIO'!$L$6:$U$138,9,FALSE))</f>
        <v/>
      </c>
      <c r="C439" s="356"/>
      <c r="D439" s="357" t="str">
        <f t="shared" si="139"/>
        <v/>
      </c>
      <c r="E439" s="356"/>
      <c r="F439" s="357" t="str">
        <f t="shared" si="140"/>
        <v/>
      </c>
      <c r="G439" s="358"/>
      <c r="H439" s="357" t="str">
        <f t="shared" si="141"/>
        <v/>
      </c>
      <c r="I439" s="357" t="str">
        <f t="shared" si="142"/>
        <v/>
      </c>
      <c r="J439" s="359"/>
      <c r="K439" s="359"/>
      <c r="L439" s="359"/>
      <c r="M439" s="81"/>
      <c r="O439" s="73" t="str">
        <f t="shared" si="143"/>
        <v/>
      </c>
      <c r="P439" s="73" t="str">
        <f t="shared" si="144"/>
        <v/>
      </c>
      <c r="Q439" s="73" t="str">
        <f t="shared" si="145"/>
        <v/>
      </c>
      <c r="R439" s="73" t="str">
        <f t="shared" si="146"/>
        <v/>
      </c>
    </row>
    <row r="440" spans="1:18" hidden="1">
      <c r="A440" s="355" t="str">
        <f>IF(C440="","",VLOOKUP('OPĆI DIO'!$C$3,'OPĆI DIO'!$L$6:$U$138,10,FALSE))</f>
        <v/>
      </c>
      <c r="B440" s="355" t="str">
        <f>IF(C440="","",VLOOKUP('OPĆI DIO'!$C$3,'OPĆI DIO'!$L$6:$U$138,9,FALSE))</f>
        <v/>
      </c>
      <c r="C440" s="356"/>
      <c r="D440" s="357" t="str">
        <f t="shared" si="139"/>
        <v/>
      </c>
      <c r="E440" s="356"/>
      <c r="F440" s="357" t="str">
        <f t="shared" si="140"/>
        <v/>
      </c>
      <c r="G440" s="358"/>
      <c r="H440" s="357" t="str">
        <f t="shared" si="141"/>
        <v/>
      </c>
      <c r="I440" s="357" t="str">
        <f t="shared" si="142"/>
        <v/>
      </c>
      <c r="J440" s="359"/>
      <c r="K440" s="359"/>
      <c r="L440" s="359"/>
      <c r="M440" s="81"/>
      <c r="O440" s="73" t="str">
        <f t="shared" si="143"/>
        <v/>
      </c>
      <c r="P440" s="73" t="str">
        <f t="shared" si="144"/>
        <v/>
      </c>
      <c r="Q440" s="73" t="str">
        <f t="shared" si="145"/>
        <v/>
      </c>
      <c r="R440" s="73" t="str">
        <f t="shared" si="146"/>
        <v/>
      </c>
    </row>
    <row r="441" spans="1:18" hidden="1">
      <c r="A441" s="355" t="str">
        <f>IF(C441="","",VLOOKUP('OPĆI DIO'!$C$3,'OPĆI DIO'!$L$6:$U$138,10,FALSE))</f>
        <v/>
      </c>
      <c r="B441" s="355" t="str">
        <f>IF(C441="","",VLOOKUP('OPĆI DIO'!$C$3,'OPĆI DIO'!$L$6:$U$138,9,FALSE))</f>
        <v/>
      </c>
      <c r="C441" s="356"/>
      <c r="D441" s="357" t="str">
        <f t="shared" si="139"/>
        <v/>
      </c>
      <c r="E441" s="356"/>
      <c r="F441" s="357" t="str">
        <f t="shared" si="140"/>
        <v/>
      </c>
      <c r="G441" s="358"/>
      <c r="H441" s="357" t="str">
        <f t="shared" si="141"/>
        <v/>
      </c>
      <c r="I441" s="357" t="str">
        <f t="shared" si="142"/>
        <v/>
      </c>
      <c r="J441" s="359"/>
      <c r="K441" s="359"/>
      <c r="L441" s="359"/>
      <c r="M441" s="81"/>
      <c r="O441" s="73" t="str">
        <f t="shared" si="143"/>
        <v/>
      </c>
      <c r="P441" s="73" t="str">
        <f t="shared" si="144"/>
        <v/>
      </c>
      <c r="Q441" s="73" t="str">
        <f t="shared" si="145"/>
        <v/>
      </c>
      <c r="R441" s="73" t="str">
        <f t="shared" si="146"/>
        <v/>
      </c>
    </row>
    <row r="442" spans="1:18" hidden="1">
      <c r="A442" s="355" t="str">
        <f>IF(C442="","",VLOOKUP('OPĆI DIO'!$C$3,'OPĆI DIO'!$L$6:$U$138,10,FALSE))</f>
        <v/>
      </c>
      <c r="B442" s="355" t="str">
        <f>IF(C442="","",VLOOKUP('OPĆI DIO'!$C$3,'OPĆI DIO'!$L$6:$U$138,9,FALSE))</f>
        <v/>
      </c>
      <c r="C442" s="356"/>
      <c r="D442" s="357" t="str">
        <f t="shared" ref="D442:D498" si="147">IFERROR(VLOOKUP(C442,$S$6:$T$27,2,FALSE),"")</f>
        <v/>
      </c>
      <c r="E442" s="356"/>
      <c r="F442" s="357" t="str">
        <f t="shared" ref="F442:F498" si="148">IFERROR(VLOOKUP(E442,$V$5:$X$126,2,FALSE),"")</f>
        <v/>
      </c>
      <c r="G442" s="358"/>
      <c r="H442" s="357" t="str">
        <f t="shared" ref="H442:H498" si="149">IFERROR(VLOOKUP(G442,$AB$6:$AC$324,2,FALSE),"")</f>
        <v/>
      </c>
      <c r="I442" s="357" t="str">
        <f t="shared" ref="I442:I498" si="150">IFERROR(VLOOKUP(G442,$AB$6:$AF$324,3,FALSE),"")</f>
        <v/>
      </c>
      <c r="J442" s="359"/>
      <c r="K442" s="359"/>
      <c r="L442" s="359"/>
      <c r="M442" s="81"/>
      <c r="O442" s="73" t="str">
        <f t="shared" si="143"/>
        <v/>
      </c>
      <c r="P442" s="73" t="str">
        <f t="shared" si="144"/>
        <v/>
      </c>
      <c r="Q442" s="73" t="str">
        <f t="shared" si="145"/>
        <v/>
      </c>
      <c r="R442" s="73" t="str">
        <f t="shared" si="146"/>
        <v/>
      </c>
    </row>
    <row r="443" spans="1:18" hidden="1">
      <c r="A443" s="355" t="str">
        <f>IF(C443="","",VLOOKUP('OPĆI DIO'!$C$3,'OPĆI DIO'!$L$6:$U$138,10,FALSE))</f>
        <v/>
      </c>
      <c r="B443" s="355" t="str">
        <f>IF(C443="","",VLOOKUP('OPĆI DIO'!$C$3,'OPĆI DIO'!$L$6:$U$138,9,FALSE))</f>
        <v/>
      </c>
      <c r="C443" s="356"/>
      <c r="D443" s="357" t="str">
        <f t="shared" si="147"/>
        <v/>
      </c>
      <c r="E443" s="356"/>
      <c r="F443" s="357" t="str">
        <f t="shared" si="148"/>
        <v/>
      </c>
      <c r="G443" s="358"/>
      <c r="H443" s="357" t="str">
        <f t="shared" si="149"/>
        <v/>
      </c>
      <c r="I443" s="357" t="str">
        <f t="shared" si="150"/>
        <v/>
      </c>
      <c r="J443" s="359"/>
      <c r="K443" s="359"/>
      <c r="L443" s="359"/>
      <c r="M443" s="81"/>
      <c r="O443" s="73" t="str">
        <f t="shared" si="143"/>
        <v/>
      </c>
      <c r="P443" s="73" t="str">
        <f t="shared" si="144"/>
        <v/>
      </c>
      <c r="Q443" s="73" t="str">
        <f t="shared" si="145"/>
        <v/>
      </c>
      <c r="R443" s="73" t="str">
        <f t="shared" si="146"/>
        <v/>
      </c>
    </row>
    <row r="444" spans="1:18" hidden="1">
      <c r="A444" s="355" t="str">
        <f>IF(C444="","",VLOOKUP('OPĆI DIO'!$C$3,'OPĆI DIO'!$L$6:$U$138,10,FALSE))</f>
        <v/>
      </c>
      <c r="B444" s="355" t="str">
        <f>IF(C444="","",VLOOKUP('OPĆI DIO'!$C$3,'OPĆI DIO'!$L$6:$U$138,9,FALSE))</f>
        <v/>
      </c>
      <c r="C444" s="356"/>
      <c r="D444" s="357" t="str">
        <f t="shared" si="147"/>
        <v/>
      </c>
      <c r="E444" s="356"/>
      <c r="F444" s="357" t="str">
        <f t="shared" si="148"/>
        <v/>
      </c>
      <c r="G444" s="358"/>
      <c r="H444" s="357" t="str">
        <f t="shared" si="149"/>
        <v/>
      </c>
      <c r="I444" s="357" t="str">
        <f t="shared" si="150"/>
        <v/>
      </c>
      <c r="J444" s="359"/>
      <c r="K444" s="359"/>
      <c r="L444" s="359"/>
      <c r="M444" s="81"/>
      <c r="O444" s="73" t="str">
        <f t="shared" si="143"/>
        <v/>
      </c>
      <c r="P444" s="73" t="str">
        <f t="shared" si="144"/>
        <v/>
      </c>
      <c r="Q444" s="73" t="str">
        <f t="shared" si="145"/>
        <v/>
      </c>
      <c r="R444" s="73" t="str">
        <f t="shared" si="146"/>
        <v/>
      </c>
    </row>
    <row r="445" spans="1:18" hidden="1">
      <c r="A445" s="355" t="str">
        <f>IF(C445="","",VLOOKUP('OPĆI DIO'!$C$3,'OPĆI DIO'!$L$6:$U$138,10,FALSE))</f>
        <v/>
      </c>
      <c r="B445" s="355" t="str">
        <f>IF(C445="","",VLOOKUP('OPĆI DIO'!$C$3,'OPĆI DIO'!$L$6:$U$138,9,FALSE))</f>
        <v/>
      </c>
      <c r="C445" s="356"/>
      <c r="D445" s="357" t="str">
        <f t="shared" si="147"/>
        <v/>
      </c>
      <c r="E445" s="356"/>
      <c r="F445" s="357" t="str">
        <f t="shared" si="148"/>
        <v/>
      </c>
      <c r="G445" s="358"/>
      <c r="H445" s="357" t="str">
        <f t="shared" si="149"/>
        <v/>
      </c>
      <c r="I445" s="357" t="str">
        <f t="shared" si="150"/>
        <v/>
      </c>
      <c r="J445" s="359"/>
      <c r="K445" s="359"/>
      <c r="L445" s="359"/>
      <c r="M445" s="81"/>
      <c r="O445" s="73" t="str">
        <f t="shared" si="143"/>
        <v/>
      </c>
      <c r="P445" s="73" t="str">
        <f t="shared" si="144"/>
        <v/>
      </c>
      <c r="Q445" s="73" t="str">
        <f t="shared" si="145"/>
        <v/>
      </c>
      <c r="R445" s="73" t="str">
        <f t="shared" si="146"/>
        <v/>
      </c>
    </row>
    <row r="446" spans="1:18" hidden="1">
      <c r="A446" s="355" t="str">
        <f>IF(C446="","",VLOOKUP('OPĆI DIO'!$C$3,'OPĆI DIO'!$L$6:$U$138,10,FALSE))</f>
        <v/>
      </c>
      <c r="B446" s="355" t="str">
        <f>IF(C446="","",VLOOKUP('OPĆI DIO'!$C$3,'OPĆI DIO'!$L$6:$U$138,9,FALSE))</f>
        <v/>
      </c>
      <c r="C446" s="356"/>
      <c r="D446" s="357" t="str">
        <f t="shared" si="147"/>
        <v/>
      </c>
      <c r="E446" s="356"/>
      <c r="F446" s="357" t="str">
        <f t="shared" si="148"/>
        <v/>
      </c>
      <c r="G446" s="358"/>
      <c r="H446" s="357" t="str">
        <f t="shared" si="149"/>
        <v/>
      </c>
      <c r="I446" s="357" t="str">
        <f t="shared" si="150"/>
        <v/>
      </c>
      <c r="J446" s="359"/>
      <c r="K446" s="359"/>
      <c r="L446" s="359"/>
      <c r="M446" s="81"/>
      <c r="O446" s="73" t="str">
        <f t="shared" si="143"/>
        <v/>
      </c>
      <c r="P446" s="73" t="str">
        <f t="shared" si="144"/>
        <v/>
      </c>
      <c r="Q446" s="73" t="str">
        <f t="shared" si="145"/>
        <v/>
      </c>
      <c r="R446" s="73" t="str">
        <f t="shared" si="146"/>
        <v/>
      </c>
    </row>
    <row r="447" spans="1:18" hidden="1">
      <c r="A447" s="355" t="str">
        <f>IF(C447="","",VLOOKUP('OPĆI DIO'!$C$3,'OPĆI DIO'!$L$6:$U$138,10,FALSE))</f>
        <v/>
      </c>
      <c r="B447" s="355" t="str">
        <f>IF(C447="","",VLOOKUP('OPĆI DIO'!$C$3,'OPĆI DIO'!$L$6:$U$138,9,FALSE))</f>
        <v/>
      </c>
      <c r="C447" s="356"/>
      <c r="D447" s="357" t="str">
        <f t="shared" si="147"/>
        <v/>
      </c>
      <c r="E447" s="356"/>
      <c r="F447" s="357" t="str">
        <f t="shared" si="148"/>
        <v/>
      </c>
      <c r="G447" s="358"/>
      <c r="H447" s="357" t="str">
        <f t="shared" si="149"/>
        <v/>
      </c>
      <c r="I447" s="357" t="str">
        <f t="shared" si="150"/>
        <v/>
      </c>
      <c r="J447" s="359"/>
      <c r="K447" s="359"/>
      <c r="L447" s="359"/>
      <c r="M447" s="81"/>
      <c r="O447" s="73" t="str">
        <f t="shared" si="143"/>
        <v/>
      </c>
      <c r="P447" s="73" t="str">
        <f t="shared" si="144"/>
        <v/>
      </c>
      <c r="Q447" s="73" t="str">
        <f t="shared" si="145"/>
        <v/>
      </c>
      <c r="R447" s="73" t="str">
        <f t="shared" si="146"/>
        <v/>
      </c>
    </row>
    <row r="448" spans="1:18" hidden="1">
      <c r="A448" s="355" t="str">
        <f>IF(C448="","",VLOOKUP('OPĆI DIO'!$C$3,'OPĆI DIO'!$L$6:$U$138,10,FALSE))</f>
        <v/>
      </c>
      <c r="B448" s="355" t="str">
        <f>IF(C448="","",VLOOKUP('OPĆI DIO'!$C$3,'OPĆI DIO'!$L$6:$U$138,9,FALSE))</f>
        <v/>
      </c>
      <c r="C448" s="356"/>
      <c r="D448" s="357" t="str">
        <f t="shared" si="147"/>
        <v/>
      </c>
      <c r="E448" s="356"/>
      <c r="F448" s="357" t="str">
        <f t="shared" si="148"/>
        <v/>
      </c>
      <c r="G448" s="358"/>
      <c r="H448" s="357" t="str">
        <f t="shared" si="149"/>
        <v/>
      </c>
      <c r="I448" s="357" t="str">
        <f t="shared" si="150"/>
        <v/>
      </c>
      <c r="J448" s="359"/>
      <c r="K448" s="359"/>
      <c r="L448" s="359"/>
      <c r="M448" s="81"/>
      <c r="O448" s="73" t="str">
        <f t="shared" si="143"/>
        <v/>
      </c>
      <c r="P448" s="73" t="str">
        <f t="shared" si="144"/>
        <v/>
      </c>
      <c r="Q448" s="73" t="str">
        <f t="shared" si="145"/>
        <v/>
      </c>
      <c r="R448" s="73" t="str">
        <f t="shared" si="146"/>
        <v/>
      </c>
    </row>
    <row r="449" spans="1:18" hidden="1">
      <c r="A449" s="355" t="str">
        <f>IF(C449="","",VLOOKUP('OPĆI DIO'!$C$3,'OPĆI DIO'!$L$6:$U$138,10,FALSE))</f>
        <v/>
      </c>
      <c r="B449" s="355" t="str">
        <f>IF(C449="","",VLOOKUP('OPĆI DIO'!$C$3,'OPĆI DIO'!$L$6:$U$138,9,FALSE))</f>
        <v/>
      </c>
      <c r="C449" s="356"/>
      <c r="D449" s="357" t="str">
        <f t="shared" si="147"/>
        <v/>
      </c>
      <c r="E449" s="356"/>
      <c r="F449" s="357" t="str">
        <f t="shared" si="148"/>
        <v/>
      </c>
      <c r="G449" s="358"/>
      <c r="H449" s="357" t="str">
        <f t="shared" si="149"/>
        <v/>
      </c>
      <c r="I449" s="357" t="str">
        <f t="shared" si="150"/>
        <v/>
      </c>
      <c r="J449" s="359"/>
      <c r="K449" s="359"/>
      <c r="L449" s="359"/>
      <c r="M449" s="81"/>
      <c r="O449" s="73" t="str">
        <f t="shared" ref="O449:O498" si="151">LEFT(E449,3)</f>
        <v/>
      </c>
      <c r="P449" s="73" t="str">
        <f t="shared" ref="P449:P498" si="152">LEFT(E449,2)</f>
        <v/>
      </c>
      <c r="Q449" s="73" t="str">
        <f t="shared" ref="Q449:Q498" si="153">LEFT(C449,3)</f>
        <v/>
      </c>
      <c r="R449" s="73" t="str">
        <f t="shared" ref="R449:R498" si="154">MID(I449,2,2)</f>
        <v/>
      </c>
    </row>
    <row r="450" spans="1:18" hidden="1">
      <c r="A450" s="355" t="str">
        <f>IF(C450="","",VLOOKUP('OPĆI DIO'!$C$3,'OPĆI DIO'!$L$6:$U$138,10,FALSE))</f>
        <v/>
      </c>
      <c r="B450" s="355" t="str">
        <f>IF(C450="","",VLOOKUP('OPĆI DIO'!$C$3,'OPĆI DIO'!$L$6:$U$138,9,FALSE))</f>
        <v/>
      </c>
      <c r="C450" s="356"/>
      <c r="D450" s="357" t="str">
        <f t="shared" si="147"/>
        <v/>
      </c>
      <c r="E450" s="356"/>
      <c r="F450" s="357" t="str">
        <f t="shared" si="148"/>
        <v/>
      </c>
      <c r="G450" s="358"/>
      <c r="H450" s="357" t="str">
        <f t="shared" si="149"/>
        <v/>
      </c>
      <c r="I450" s="357" t="str">
        <f t="shared" si="150"/>
        <v/>
      </c>
      <c r="J450" s="359"/>
      <c r="K450" s="359"/>
      <c r="L450" s="359"/>
      <c r="M450" s="81"/>
      <c r="O450" s="73" t="str">
        <f t="shared" si="151"/>
        <v/>
      </c>
      <c r="P450" s="73" t="str">
        <f t="shared" si="152"/>
        <v/>
      </c>
      <c r="Q450" s="73" t="str">
        <f t="shared" si="153"/>
        <v/>
      </c>
      <c r="R450" s="73" t="str">
        <f t="shared" si="154"/>
        <v/>
      </c>
    </row>
    <row r="451" spans="1:18" hidden="1">
      <c r="A451" s="355" t="str">
        <f>IF(C451="","",VLOOKUP('OPĆI DIO'!$C$3,'OPĆI DIO'!$L$6:$U$138,10,FALSE))</f>
        <v/>
      </c>
      <c r="B451" s="355" t="str">
        <f>IF(C451="","",VLOOKUP('OPĆI DIO'!$C$3,'OPĆI DIO'!$L$6:$U$138,9,FALSE))</f>
        <v/>
      </c>
      <c r="C451" s="356"/>
      <c r="D451" s="357" t="str">
        <f t="shared" si="147"/>
        <v/>
      </c>
      <c r="E451" s="356"/>
      <c r="F451" s="357" t="str">
        <f t="shared" si="148"/>
        <v/>
      </c>
      <c r="G451" s="358"/>
      <c r="H451" s="357" t="str">
        <f t="shared" si="149"/>
        <v/>
      </c>
      <c r="I451" s="357" t="str">
        <f t="shared" si="150"/>
        <v/>
      </c>
      <c r="J451" s="359"/>
      <c r="K451" s="359"/>
      <c r="L451" s="359"/>
      <c r="M451" s="81"/>
      <c r="O451" s="73" t="str">
        <f t="shared" si="151"/>
        <v/>
      </c>
      <c r="P451" s="73" t="str">
        <f t="shared" si="152"/>
        <v/>
      </c>
      <c r="Q451" s="73" t="str">
        <f t="shared" si="153"/>
        <v/>
      </c>
      <c r="R451" s="73" t="str">
        <f t="shared" si="154"/>
        <v/>
      </c>
    </row>
    <row r="452" spans="1:18" hidden="1">
      <c r="A452" s="355" t="str">
        <f>IF(C452="","",VLOOKUP('OPĆI DIO'!$C$3,'OPĆI DIO'!$L$6:$U$138,10,FALSE))</f>
        <v/>
      </c>
      <c r="B452" s="355" t="str">
        <f>IF(C452="","",VLOOKUP('OPĆI DIO'!$C$3,'OPĆI DIO'!$L$6:$U$138,9,FALSE))</f>
        <v/>
      </c>
      <c r="C452" s="356"/>
      <c r="D452" s="357" t="str">
        <f t="shared" si="147"/>
        <v/>
      </c>
      <c r="E452" s="356"/>
      <c r="F452" s="357" t="str">
        <f t="shared" si="148"/>
        <v/>
      </c>
      <c r="G452" s="358"/>
      <c r="H452" s="357" t="str">
        <f t="shared" si="149"/>
        <v/>
      </c>
      <c r="I452" s="357" t="str">
        <f t="shared" si="150"/>
        <v/>
      </c>
      <c r="J452" s="359"/>
      <c r="K452" s="359"/>
      <c r="L452" s="359"/>
      <c r="M452" s="81"/>
      <c r="O452" s="73" t="str">
        <f t="shared" si="151"/>
        <v/>
      </c>
      <c r="P452" s="73" t="str">
        <f t="shared" si="152"/>
        <v/>
      </c>
      <c r="Q452" s="73" t="str">
        <f t="shared" si="153"/>
        <v/>
      </c>
      <c r="R452" s="73" t="str">
        <f t="shared" si="154"/>
        <v/>
      </c>
    </row>
    <row r="453" spans="1:18" hidden="1">
      <c r="A453" s="355" t="str">
        <f>IF(C453="","",VLOOKUP('OPĆI DIO'!$C$3,'OPĆI DIO'!$L$6:$U$138,10,FALSE))</f>
        <v/>
      </c>
      <c r="B453" s="355" t="str">
        <f>IF(C453="","",VLOOKUP('OPĆI DIO'!$C$3,'OPĆI DIO'!$L$6:$U$138,9,FALSE))</f>
        <v/>
      </c>
      <c r="C453" s="356"/>
      <c r="D453" s="357" t="str">
        <f t="shared" si="147"/>
        <v/>
      </c>
      <c r="E453" s="356"/>
      <c r="F453" s="357" t="str">
        <f t="shared" si="148"/>
        <v/>
      </c>
      <c r="G453" s="358"/>
      <c r="H453" s="357" t="str">
        <f t="shared" si="149"/>
        <v/>
      </c>
      <c r="I453" s="357" t="str">
        <f t="shared" si="150"/>
        <v/>
      </c>
      <c r="J453" s="359"/>
      <c r="K453" s="359"/>
      <c r="L453" s="359"/>
      <c r="M453" s="81"/>
      <c r="O453" s="73" t="str">
        <f t="shared" si="151"/>
        <v/>
      </c>
      <c r="P453" s="73" t="str">
        <f t="shared" si="152"/>
        <v/>
      </c>
      <c r="Q453" s="73" t="str">
        <f t="shared" si="153"/>
        <v/>
      </c>
      <c r="R453" s="73" t="str">
        <f t="shared" si="154"/>
        <v/>
      </c>
    </row>
    <row r="454" spans="1:18" hidden="1">
      <c r="A454" s="355" t="str">
        <f>IF(C454="","",VLOOKUP('OPĆI DIO'!$C$3,'OPĆI DIO'!$L$6:$U$138,10,FALSE))</f>
        <v/>
      </c>
      <c r="B454" s="355" t="str">
        <f>IF(C454="","",VLOOKUP('OPĆI DIO'!$C$3,'OPĆI DIO'!$L$6:$U$138,9,FALSE))</f>
        <v/>
      </c>
      <c r="C454" s="356"/>
      <c r="D454" s="357" t="str">
        <f t="shared" si="147"/>
        <v/>
      </c>
      <c r="E454" s="356"/>
      <c r="F454" s="357" t="str">
        <f t="shared" si="148"/>
        <v/>
      </c>
      <c r="G454" s="358"/>
      <c r="H454" s="357" t="str">
        <f t="shared" si="149"/>
        <v/>
      </c>
      <c r="I454" s="357" t="str">
        <f t="shared" si="150"/>
        <v/>
      </c>
      <c r="J454" s="359"/>
      <c r="K454" s="359"/>
      <c r="L454" s="359"/>
      <c r="M454" s="81"/>
      <c r="O454" s="73" t="str">
        <f t="shared" si="151"/>
        <v/>
      </c>
      <c r="P454" s="73" t="str">
        <f t="shared" si="152"/>
        <v/>
      </c>
      <c r="Q454" s="73" t="str">
        <f t="shared" si="153"/>
        <v/>
      </c>
      <c r="R454" s="73" t="str">
        <f t="shared" si="154"/>
        <v/>
      </c>
    </row>
    <row r="455" spans="1:18" hidden="1">
      <c r="A455" s="355" t="str">
        <f>IF(C455="","",VLOOKUP('OPĆI DIO'!$C$3,'OPĆI DIO'!$L$6:$U$138,10,FALSE))</f>
        <v/>
      </c>
      <c r="B455" s="355" t="str">
        <f>IF(C455="","",VLOOKUP('OPĆI DIO'!$C$3,'OPĆI DIO'!$L$6:$U$138,9,FALSE))</f>
        <v/>
      </c>
      <c r="C455" s="356"/>
      <c r="D455" s="357" t="str">
        <f t="shared" si="147"/>
        <v/>
      </c>
      <c r="E455" s="356"/>
      <c r="F455" s="357" t="str">
        <f t="shared" si="148"/>
        <v/>
      </c>
      <c r="G455" s="358"/>
      <c r="H455" s="357" t="str">
        <f t="shared" si="149"/>
        <v/>
      </c>
      <c r="I455" s="357" t="str">
        <f t="shared" si="150"/>
        <v/>
      </c>
      <c r="J455" s="359"/>
      <c r="K455" s="359"/>
      <c r="L455" s="359"/>
      <c r="M455" s="81"/>
      <c r="O455" s="73" t="str">
        <f t="shared" si="151"/>
        <v/>
      </c>
      <c r="P455" s="73" t="str">
        <f t="shared" si="152"/>
        <v/>
      </c>
      <c r="Q455" s="73" t="str">
        <f t="shared" si="153"/>
        <v/>
      </c>
      <c r="R455" s="73" t="str">
        <f t="shared" si="154"/>
        <v/>
      </c>
    </row>
    <row r="456" spans="1:18" hidden="1">
      <c r="A456" s="355" t="str">
        <f>IF(C456="","",VLOOKUP('OPĆI DIO'!$C$3,'OPĆI DIO'!$L$6:$U$138,10,FALSE))</f>
        <v/>
      </c>
      <c r="B456" s="355" t="str">
        <f>IF(C456="","",VLOOKUP('OPĆI DIO'!$C$3,'OPĆI DIO'!$L$6:$U$138,9,FALSE))</f>
        <v/>
      </c>
      <c r="C456" s="356"/>
      <c r="D456" s="357" t="str">
        <f t="shared" si="147"/>
        <v/>
      </c>
      <c r="E456" s="356"/>
      <c r="F456" s="357" t="str">
        <f t="shared" si="148"/>
        <v/>
      </c>
      <c r="G456" s="358"/>
      <c r="H456" s="357" t="str">
        <f t="shared" si="149"/>
        <v/>
      </c>
      <c r="I456" s="357" t="str">
        <f t="shared" si="150"/>
        <v/>
      </c>
      <c r="J456" s="359"/>
      <c r="K456" s="359"/>
      <c r="L456" s="359"/>
      <c r="M456" s="81"/>
      <c r="O456" s="73" t="str">
        <f t="shared" si="151"/>
        <v/>
      </c>
      <c r="P456" s="73" t="str">
        <f t="shared" si="152"/>
        <v/>
      </c>
      <c r="Q456" s="73" t="str">
        <f t="shared" si="153"/>
        <v/>
      </c>
      <c r="R456" s="73" t="str">
        <f t="shared" si="154"/>
        <v/>
      </c>
    </row>
    <row r="457" spans="1:18" hidden="1">
      <c r="A457" s="355" t="str">
        <f>IF(C457="","",VLOOKUP('OPĆI DIO'!$C$3,'OPĆI DIO'!$L$6:$U$138,10,FALSE))</f>
        <v/>
      </c>
      <c r="B457" s="355" t="str">
        <f>IF(C457="","",VLOOKUP('OPĆI DIO'!$C$3,'OPĆI DIO'!$L$6:$U$138,9,FALSE))</f>
        <v/>
      </c>
      <c r="C457" s="356"/>
      <c r="D457" s="357" t="str">
        <f t="shared" si="147"/>
        <v/>
      </c>
      <c r="E457" s="356"/>
      <c r="F457" s="357" t="str">
        <f t="shared" si="148"/>
        <v/>
      </c>
      <c r="G457" s="358"/>
      <c r="H457" s="357" t="str">
        <f t="shared" si="149"/>
        <v/>
      </c>
      <c r="I457" s="357" t="str">
        <f t="shared" si="150"/>
        <v/>
      </c>
      <c r="J457" s="359"/>
      <c r="K457" s="359"/>
      <c r="L457" s="359"/>
      <c r="M457" s="81"/>
      <c r="O457" s="73" t="str">
        <f t="shared" si="151"/>
        <v/>
      </c>
      <c r="P457" s="73" t="str">
        <f t="shared" si="152"/>
        <v/>
      </c>
      <c r="Q457" s="73" t="str">
        <f t="shared" si="153"/>
        <v/>
      </c>
      <c r="R457" s="73" t="str">
        <f t="shared" si="154"/>
        <v/>
      </c>
    </row>
    <row r="458" spans="1:18" hidden="1">
      <c r="A458" s="355" t="str">
        <f>IF(C458="","",VLOOKUP('OPĆI DIO'!$C$3,'OPĆI DIO'!$L$6:$U$138,10,FALSE))</f>
        <v/>
      </c>
      <c r="B458" s="355" t="str">
        <f>IF(C458="","",VLOOKUP('OPĆI DIO'!$C$3,'OPĆI DIO'!$L$6:$U$138,9,FALSE))</f>
        <v/>
      </c>
      <c r="C458" s="356"/>
      <c r="D458" s="357" t="str">
        <f t="shared" si="147"/>
        <v/>
      </c>
      <c r="E458" s="356"/>
      <c r="F458" s="357" t="str">
        <f t="shared" si="148"/>
        <v/>
      </c>
      <c r="G458" s="358"/>
      <c r="H458" s="357" t="str">
        <f t="shared" si="149"/>
        <v/>
      </c>
      <c r="I458" s="357" t="str">
        <f t="shared" si="150"/>
        <v/>
      </c>
      <c r="J458" s="359"/>
      <c r="K458" s="359"/>
      <c r="L458" s="359"/>
      <c r="M458" s="81"/>
      <c r="O458" s="73" t="str">
        <f t="shared" si="151"/>
        <v/>
      </c>
      <c r="P458" s="73" t="str">
        <f t="shared" si="152"/>
        <v/>
      </c>
      <c r="Q458" s="73" t="str">
        <f t="shared" si="153"/>
        <v/>
      </c>
      <c r="R458" s="73" t="str">
        <f t="shared" si="154"/>
        <v/>
      </c>
    </row>
    <row r="459" spans="1:18" hidden="1">
      <c r="A459" s="355" t="str">
        <f>IF(C459="","",VLOOKUP('OPĆI DIO'!$C$3,'OPĆI DIO'!$L$6:$U$138,10,FALSE))</f>
        <v/>
      </c>
      <c r="B459" s="355" t="str">
        <f>IF(C459="","",VLOOKUP('OPĆI DIO'!$C$3,'OPĆI DIO'!$L$6:$U$138,9,FALSE))</f>
        <v/>
      </c>
      <c r="C459" s="356"/>
      <c r="D459" s="357" t="str">
        <f t="shared" si="147"/>
        <v/>
      </c>
      <c r="E459" s="356"/>
      <c r="F459" s="357" t="str">
        <f t="shared" si="148"/>
        <v/>
      </c>
      <c r="G459" s="358"/>
      <c r="H459" s="357" t="str">
        <f t="shared" si="149"/>
        <v/>
      </c>
      <c r="I459" s="357" t="str">
        <f t="shared" si="150"/>
        <v/>
      </c>
      <c r="J459" s="359"/>
      <c r="K459" s="359"/>
      <c r="L459" s="359"/>
      <c r="M459" s="81"/>
      <c r="O459" s="73" t="str">
        <f t="shared" si="151"/>
        <v/>
      </c>
      <c r="P459" s="73" t="str">
        <f t="shared" si="152"/>
        <v/>
      </c>
      <c r="Q459" s="73" t="str">
        <f t="shared" si="153"/>
        <v/>
      </c>
      <c r="R459" s="73" t="str">
        <f t="shared" si="154"/>
        <v/>
      </c>
    </row>
    <row r="460" spans="1:18" hidden="1">
      <c r="A460" s="355" t="str">
        <f>IF(C460="","",VLOOKUP('OPĆI DIO'!$C$3,'OPĆI DIO'!$L$6:$U$138,10,FALSE))</f>
        <v/>
      </c>
      <c r="B460" s="355" t="str">
        <f>IF(C460="","",VLOOKUP('OPĆI DIO'!$C$3,'OPĆI DIO'!$L$6:$U$138,9,FALSE))</f>
        <v/>
      </c>
      <c r="C460" s="356"/>
      <c r="D460" s="357" t="str">
        <f t="shared" si="147"/>
        <v/>
      </c>
      <c r="E460" s="356"/>
      <c r="F460" s="357" t="str">
        <f t="shared" si="148"/>
        <v/>
      </c>
      <c r="G460" s="358"/>
      <c r="H460" s="357" t="str">
        <f t="shared" si="149"/>
        <v/>
      </c>
      <c r="I460" s="357" t="str">
        <f t="shared" si="150"/>
        <v/>
      </c>
      <c r="J460" s="359"/>
      <c r="K460" s="359"/>
      <c r="L460" s="359"/>
      <c r="M460" s="81"/>
      <c r="O460" s="73" t="str">
        <f t="shared" si="151"/>
        <v/>
      </c>
      <c r="P460" s="73" t="str">
        <f t="shared" si="152"/>
        <v/>
      </c>
      <c r="Q460" s="73" t="str">
        <f t="shared" si="153"/>
        <v/>
      </c>
      <c r="R460" s="73" t="str">
        <f t="shared" si="154"/>
        <v/>
      </c>
    </row>
    <row r="461" spans="1:18" hidden="1">
      <c r="A461" s="355" t="str">
        <f>IF(C461="","",VLOOKUP('OPĆI DIO'!$C$3,'OPĆI DIO'!$L$6:$U$138,10,FALSE))</f>
        <v/>
      </c>
      <c r="B461" s="355" t="str">
        <f>IF(C461="","",VLOOKUP('OPĆI DIO'!$C$3,'OPĆI DIO'!$L$6:$U$138,9,FALSE))</f>
        <v/>
      </c>
      <c r="C461" s="356"/>
      <c r="D461" s="357" t="str">
        <f t="shared" si="147"/>
        <v/>
      </c>
      <c r="E461" s="356"/>
      <c r="F461" s="357" t="str">
        <f t="shared" si="148"/>
        <v/>
      </c>
      <c r="G461" s="358"/>
      <c r="H461" s="357" t="str">
        <f t="shared" si="149"/>
        <v/>
      </c>
      <c r="I461" s="357" t="str">
        <f t="shared" si="150"/>
        <v/>
      </c>
      <c r="J461" s="359"/>
      <c r="K461" s="359"/>
      <c r="L461" s="359"/>
      <c r="M461" s="81"/>
      <c r="O461" s="73" t="str">
        <f t="shared" si="151"/>
        <v/>
      </c>
      <c r="P461" s="73" t="str">
        <f t="shared" si="152"/>
        <v/>
      </c>
      <c r="Q461" s="73" t="str">
        <f t="shared" si="153"/>
        <v/>
      </c>
      <c r="R461" s="73" t="str">
        <f t="shared" si="154"/>
        <v/>
      </c>
    </row>
    <row r="462" spans="1:18" hidden="1">
      <c r="A462" s="355" t="str">
        <f>IF(C462="","",VLOOKUP('OPĆI DIO'!$C$3,'OPĆI DIO'!$L$6:$U$138,10,FALSE))</f>
        <v/>
      </c>
      <c r="B462" s="355" t="str">
        <f>IF(C462="","",VLOOKUP('OPĆI DIO'!$C$3,'OPĆI DIO'!$L$6:$U$138,9,FALSE))</f>
        <v/>
      </c>
      <c r="C462" s="356"/>
      <c r="D462" s="357" t="str">
        <f t="shared" si="147"/>
        <v/>
      </c>
      <c r="E462" s="356"/>
      <c r="F462" s="357" t="str">
        <f t="shared" si="148"/>
        <v/>
      </c>
      <c r="G462" s="358"/>
      <c r="H462" s="357" t="str">
        <f t="shared" si="149"/>
        <v/>
      </c>
      <c r="I462" s="357" t="str">
        <f t="shared" si="150"/>
        <v/>
      </c>
      <c r="J462" s="359"/>
      <c r="K462" s="359"/>
      <c r="L462" s="359"/>
      <c r="M462" s="81"/>
      <c r="O462" s="73" t="str">
        <f t="shared" si="151"/>
        <v/>
      </c>
      <c r="P462" s="73" t="str">
        <f t="shared" si="152"/>
        <v/>
      </c>
      <c r="Q462" s="73" t="str">
        <f t="shared" si="153"/>
        <v/>
      </c>
      <c r="R462" s="73" t="str">
        <f t="shared" si="154"/>
        <v/>
      </c>
    </row>
    <row r="463" spans="1:18" hidden="1">
      <c r="A463" s="355" t="str">
        <f>IF(C463="","",VLOOKUP('OPĆI DIO'!$C$3,'OPĆI DIO'!$L$6:$U$138,10,FALSE))</f>
        <v/>
      </c>
      <c r="B463" s="355" t="str">
        <f>IF(C463="","",VLOOKUP('OPĆI DIO'!$C$3,'OPĆI DIO'!$L$6:$U$138,9,FALSE))</f>
        <v/>
      </c>
      <c r="C463" s="356"/>
      <c r="D463" s="357" t="str">
        <f t="shared" si="147"/>
        <v/>
      </c>
      <c r="E463" s="356"/>
      <c r="F463" s="357" t="str">
        <f t="shared" si="148"/>
        <v/>
      </c>
      <c r="G463" s="358"/>
      <c r="H463" s="357" t="str">
        <f t="shared" si="149"/>
        <v/>
      </c>
      <c r="I463" s="357" t="str">
        <f t="shared" si="150"/>
        <v/>
      </c>
      <c r="J463" s="359"/>
      <c r="K463" s="359"/>
      <c r="L463" s="359"/>
      <c r="M463" s="81"/>
      <c r="O463" s="73" t="str">
        <f t="shared" si="151"/>
        <v/>
      </c>
      <c r="P463" s="73" t="str">
        <f t="shared" si="152"/>
        <v/>
      </c>
      <c r="Q463" s="73" t="str">
        <f t="shared" si="153"/>
        <v/>
      </c>
      <c r="R463" s="73" t="str">
        <f t="shared" si="154"/>
        <v/>
      </c>
    </row>
    <row r="464" spans="1:18" hidden="1">
      <c r="A464" s="355" t="str">
        <f>IF(C464="","",VLOOKUP('OPĆI DIO'!$C$3,'OPĆI DIO'!$L$6:$U$138,10,FALSE))</f>
        <v/>
      </c>
      <c r="B464" s="355" t="str">
        <f>IF(C464="","",VLOOKUP('OPĆI DIO'!$C$3,'OPĆI DIO'!$L$6:$U$138,9,FALSE))</f>
        <v/>
      </c>
      <c r="C464" s="356"/>
      <c r="D464" s="357" t="str">
        <f t="shared" si="147"/>
        <v/>
      </c>
      <c r="E464" s="356"/>
      <c r="F464" s="357" t="str">
        <f t="shared" si="148"/>
        <v/>
      </c>
      <c r="G464" s="358"/>
      <c r="H464" s="357" t="str">
        <f t="shared" si="149"/>
        <v/>
      </c>
      <c r="I464" s="357" t="str">
        <f t="shared" si="150"/>
        <v/>
      </c>
      <c r="J464" s="359"/>
      <c r="K464" s="359"/>
      <c r="L464" s="359"/>
      <c r="M464" s="81"/>
      <c r="O464" s="73" t="str">
        <f t="shared" si="151"/>
        <v/>
      </c>
      <c r="P464" s="73" t="str">
        <f t="shared" si="152"/>
        <v/>
      </c>
      <c r="Q464" s="73" t="str">
        <f t="shared" si="153"/>
        <v/>
      </c>
      <c r="R464" s="73" t="str">
        <f t="shared" si="154"/>
        <v/>
      </c>
    </row>
    <row r="465" spans="1:18" hidden="1">
      <c r="A465" s="355" t="str">
        <f>IF(C465="","",VLOOKUP('OPĆI DIO'!$C$3,'OPĆI DIO'!$L$6:$U$138,10,FALSE))</f>
        <v/>
      </c>
      <c r="B465" s="355" t="str">
        <f>IF(C465="","",VLOOKUP('OPĆI DIO'!$C$3,'OPĆI DIO'!$L$6:$U$138,9,FALSE))</f>
        <v/>
      </c>
      <c r="C465" s="356"/>
      <c r="D465" s="357" t="str">
        <f t="shared" si="147"/>
        <v/>
      </c>
      <c r="E465" s="356"/>
      <c r="F465" s="357" t="str">
        <f t="shared" si="148"/>
        <v/>
      </c>
      <c r="G465" s="358"/>
      <c r="H465" s="357" t="str">
        <f t="shared" si="149"/>
        <v/>
      </c>
      <c r="I465" s="357" t="str">
        <f t="shared" si="150"/>
        <v/>
      </c>
      <c r="J465" s="359"/>
      <c r="K465" s="359"/>
      <c r="L465" s="359"/>
      <c r="M465" s="81"/>
      <c r="O465" s="73" t="str">
        <f t="shared" si="151"/>
        <v/>
      </c>
      <c r="P465" s="73" t="str">
        <f t="shared" si="152"/>
        <v/>
      </c>
      <c r="Q465" s="73" t="str">
        <f t="shared" si="153"/>
        <v/>
      </c>
      <c r="R465" s="73" t="str">
        <f t="shared" si="154"/>
        <v/>
      </c>
    </row>
    <row r="466" spans="1:18" hidden="1">
      <c r="A466" s="355" t="str">
        <f>IF(C466="","",VLOOKUP('OPĆI DIO'!$C$3,'OPĆI DIO'!$L$6:$U$138,10,FALSE))</f>
        <v/>
      </c>
      <c r="B466" s="355" t="str">
        <f>IF(C466="","",VLOOKUP('OPĆI DIO'!$C$3,'OPĆI DIO'!$L$6:$U$138,9,FALSE))</f>
        <v/>
      </c>
      <c r="C466" s="356"/>
      <c r="D466" s="357" t="str">
        <f t="shared" si="147"/>
        <v/>
      </c>
      <c r="E466" s="356"/>
      <c r="F466" s="357" t="str">
        <f t="shared" si="148"/>
        <v/>
      </c>
      <c r="G466" s="358"/>
      <c r="H466" s="357" t="str">
        <f t="shared" si="149"/>
        <v/>
      </c>
      <c r="I466" s="357" t="str">
        <f t="shared" si="150"/>
        <v/>
      </c>
      <c r="J466" s="359"/>
      <c r="K466" s="359"/>
      <c r="L466" s="359"/>
      <c r="M466" s="81"/>
      <c r="O466" s="73" t="str">
        <f t="shared" si="151"/>
        <v/>
      </c>
      <c r="P466" s="73" t="str">
        <f t="shared" si="152"/>
        <v/>
      </c>
      <c r="Q466" s="73" t="str">
        <f t="shared" si="153"/>
        <v/>
      </c>
      <c r="R466" s="73" t="str">
        <f t="shared" si="154"/>
        <v/>
      </c>
    </row>
    <row r="467" spans="1:18" hidden="1">
      <c r="A467" s="355" t="str">
        <f>IF(C467="","",VLOOKUP('OPĆI DIO'!$C$3,'OPĆI DIO'!$L$6:$U$138,10,FALSE))</f>
        <v/>
      </c>
      <c r="B467" s="355" t="str">
        <f>IF(C467="","",VLOOKUP('OPĆI DIO'!$C$3,'OPĆI DIO'!$L$6:$U$138,9,FALSE))</f>
        <v/>
      </c>
      <c r="C467" s="356"/>
      <c r="D467" s="357" t="str">
        <f t="shared" si="147"/>
        <v/>
      </c>
      <c r="E467" s="356"/>
      <c r="F467" s="357" t="str">
        <f t="shared" si="148"/>
        <v/>
      </c>
      <c r="G467" s="358"/>
      <c r="H467" s="357" t="str">
        <f t="shared" si="149"/>
        <v/>
      </c>
      <c r="I467" s="357" t="str">
        <f t="shared" si="150"/>
        <v/>
      </c>
      <c r="J467" s="359"/>
      <c r="K467" s="359"/>
      <c r="L467" s="359"/>
      <c r="M467" s="81"/>
      <c r="O467" s="73" t="str">
        <f t="shared" si="151"/>
        <v/>
      </c>
      <c r="P467" s="73" t="str">
        <f t="shared" si="152"/>
        <v/>
      </c>
      <c r="Q467" s="73" t="str">
        <f t="shared" si="153"/>
        <v/>
      </c>
      <c r="R467" s="73" t="str">
        <f t="shared" si="154"/>
        <v/>
      </c>
    </row>
    <row r="468" spans="1:18" hidden="1">
      <c r="A468" s="355" t="str">
        <f>IF(C468="","",VLOOKUP('OPĆI DIO'!$C$3,'OPĆI DIO'!$L$6:$U$138,10,FALSE))</f>
        <v/>
      </c>
      <c r="B468" s="355" t="str">
        <f>IF(C468="","",VLOOKUP('OPĆI DIO'!$C$3,'OPĆI DIO'!$L$6:$U$138,9,FALSE))</f>
        <v/>
      </c>
      <c r="C468" s="356"/>
      <c r="D468" s="357" t="str">
        <f t="shared" si="147"/>
        <v/>
      </c>
      <c r="E468" s="356"/>
      <c r="F468" s="357" t="str">
        <f t="shared" si="148"/>
        <v/>
      </c>
      <c r="G468" s="358"/>
      <c r="H468" s="357" t="str">
        <f t="shared" si="149"/>
        <v/>
      </c>
      <c r="I468" s="357" t="str">
        <f t="shared" si="150"/>
        <v/>
      </c>
      <c r="J468" s="359"/>
      <c r="K468" s="359"/>
      <c r="L468" s="359"/>
      <c r="M468" s="81"/>
      <c r="O468" s="73" t="str">
        <f t="shared" si="151"/>
        <v/>
      </c>
      <c r="P468" s="73" t="str">
        <f t="shared" si="152"/>
        <v/>
      </c>
      <c r="Q468" s="73" t="str">
        <f t="shared" si="153"/>
        <v/>
      </c>
      <c r="R468" s="73" t="str">
        <f t="shared" si="154"/>
        <v/>
      </c>
    </row>
    <row r="469" spans="1:18" hidden="1">
      <c r="A469" s="355" t="str">
        <f>IF(C469="","",VLOOKUP('OPĆI DIO'!$C$3,'OPĆI DIO'!$L$6:$U$138,10,FALSE))</f>
        <v/>
      </c>
      <c r="B469" s="355" t="str">
        <f>IF(C469="","",VLOOKUP('OPĆI DIO'!$C$3,'OPĆI DIO'!$L$6:$U$138,9,FALSE))</f>
        <v/>
      </c>
      <c r="C469" s="356"/>
      <c r="D469" s="357" t="str">
        <f t="shared" si="147"/>
        <v/>
      </c>
      <c r="E469" s="356"/>
      <c r="F469" s="357" t="str">
        <f t="shared" si="148"/>
        <v/>
      </c>
      <c r="G469" s="358"/>
      <c r="H469" s="357" t="str">
        <f t="shared" si="149"/>
        <v/>
      </c>
      <c r="I469" s="357" t="str">
        <f t="shared" si="150"/>
        <v/>
      </c>
      <c r="J469" s="359"/>
      <c r="K469" s="359"/>
      <c r="L469" s="359"/>
      <c r="M469" s="81"/>
      <c r="O469" s="73" t="str">
        <f t="shared" si="151"/>
        <v/>
      </c>
      <c r="P469" s="73" t="str">
        <f t="shared" si="152"/>
        <v/>
      </c>
      <c r="Q469" s="73" t="str">
        <f t="shared" si="153"/>
        <v/>
      </c>
      <c r="R469" s="73" t="str">
        <f t="shared" si="154"/>
        <v/>
      </c>
    </row>
    <row r="470" spans="1:18" hidden="1">
      <c r="A470" s="355" t="str">
        <f>IF(C470="","",VLOOKUP('OPĆI DIO'!$C$3,'OPĆI DIO'!$L$6:$U$138,10,FALSE))</f>
        <v/>
      </c>
      <c r="B470" s="355" t="str">
        <f>IF(C470="","",VLOOKUP('OPĆI DIO'!$C$3,'OPĆI DIO'!$L$6:$U$138,9,FALSE))</f>
        <v/>
      </c>
      <c r="C470" s="356"/>
      <c r="D470" s="357" t="str">
        <f t="shared" si="147"/>
        <v/>
      </c>
      <c r="E470" s="356"/>
      <c r="F470" s="357" t="str">
        <f t="shared" si="148"/>
        <v/>
      </c>
      <c r="G470" s="358"/>
      <c r="H470" s="357" t="str">
        <f t="shared" si="149"/>
        <v/>
      </c>
      <c r="I470" s="357" t="str">
        <f t="shared" si="150"/>
        <v/>
      </c>
      <c r="J470" s="359"/>
      <c r="K470" s="359"/>
      <c r="L470" s="359"/>
      <c r="M470" s="81"/>
      <c r="O470" s="73" t="str">
        <f t="shared" si="151"/>
        <v/>
      </c>
      <c r="P470" s="73" t="str">
        <f t="shared" si="152"/>
        <v/>
      </c>
      <c r="Q470" s="73" t="str">
        <f t="shared" si="153"/>
        <v/>
      </c>
      <c r="R470" s="73" t="str">
        <f t="shared" si="154"/>
        <v/>
      </c>
    </row>
    <row r="471" spans="1:18" hidden="1">
      <c r="A471" s="355" t="str">
        <f>IF(C471="","",VLOOKUP('OPĆI DIO'!$C$3,'OPĆI DIO'!$L$6:$U$138,10,FALSE))</f>
        <v/>
      </c>
      <c r="B471" s="355" t="str">
        <f>IF(C471="","",VLOOKUP('OPĆI DIO'!$C$3,'OPĆI DIO'!$L$6:$U$138,9,FALSE))</f>
        <v/>
      </c>
      <c r="C471" s="356"/>
      <c r="D471" s="357" t="str">
        <f t="shared" si="147"/>
        <v/>
      </c>
      <c r="E471" s="356"/>
      <c r="F471" s="357" t="str">
        <f t="shared" si="148"/>
        <v/>
      </c>
      <c r="G471" s="358"/>
      <c r="H471" s="357" t="str">
        <f t="shared" si="149"/>
        <v/>
      </c>
      <c r="I471" s="357" t="str">
        <f t="shared" si="150"/>
        <v/>
      </c>
      <c r="J471" s="359"/>
      <c r="K471" s="359"/>
      <c r="L471" s="359"/>
      <c r="M471" s="81"/>
      <c r="O471" s="73" t="str">
        <f t="shared" si="151"/>
        <v/>
      </c>
      <c r="P471" s="73" t="str">
        <f t="shared" si="152"/>
        <v/>
      </c>
      <c r="Q471" s="73" t="str">
        <f t="shared" si="153"/>
        <v/>
      </c>
      <c r="R471" s="73" t="str">
        <f t="shared" si="154"/>
        <v/>
      </c>
    </row>
    <row r="472" spans="1:18" hidden="1">
      <c r="A472" s="355" t="str">
        <f>IF(C472="","",VLOOKUP('OPĆI DIO'!$C$3,'OPĆI DIO'!$L$6:$U$138,10,FALSE))</f>
        <v/>
      </c>
      <c r="B472" s="355" t="str">
        <f>IF(C472="","",VLOOKUP('OPĆI DIO'!$C$3,'OPĆI DIO'!$L$6:$U$138,9,FALSE))</f>
        <v/>
      </c>
      <c r="C472" s="356"/>
      <c r="D472" s="357" t="str">
        <f t="shared" si="147"/>
        <v/>
      </c>
      <c r="E472" s="356"/>
      <c r="F472" s="357" t="str">
        <f t="shared" si="148"/>
        <v/>
      </c>
      <c r="G472" s="358"/>
      <c r="H472" s="357" t="str">
        <f t="shared" si="149"/>
        <v/>
      </c>
      <c r="I472" s="357" t="str">
        <f t="shared" si="150"/>
        <v/>
      </c>
      <c r="J472" s="359"/>
      <c r="K472" s="359"/>
      <c r="L472" s="359"/>
      <c r="M472" s="81"/>
      <c r="O472" s="73" t="str">
        <f t="shared" si="151"/>
        <v/>
      </c>
      <c r="P472" s="73" t="str">
        <f t="shared" si="152"/>
        <v/>
      </c>
      <c r="Q472" s="73" t="str">
        <f t="shared" si="153"/>
        <v/>
      </c>
      <c r="R472" s="73" t="str">
        <f t="shared" si="154"/>
        <v/>
      </c>
    </row>
    <row r="473" spans="1:18" hidden="1">
      <c r="A473" s="355" t="str">
        <f>IF(C473="","",VLOOKUP('OPĆI DIO'!$C$3,'OPĆI DIO'!$L$6:$U$138,10,FALSE))</f>
        <v/>
      </c>
      <c r="B473" s="355" t="str">
        <f>IF(C473="","",VLOOKUP('OPĆI DIO'!$C$3,'OPĆI DIO'!$L$6:$U$138,9,FALSE))</f>
        <v/>
      </c>
      <c r="C473" s="356"/>
      <c r="D473" s="357" t="str">
        <f t="shared" si="147"/>
        <v/>
      </c>
      <c r="E473" s="356"/>
      <c r="F473" s="357" t="str">
        <f t="shared" si="148"/>
        <v/>
      </c>
      <c r="G473" s="358"/>
      <c r="H473" s="357" t="str">
        <f t="shared" si="149"/>
        <v/>
      </c>
      <c r="I473" s="357" t="str">
        <f t="shared" si="150"/>
        <v/>
      </c>
      <c r="J473" s="359"/>
      <c r="K473" s="359"/>
      <c r="L473" s="359"/>
      <c r="M473" s="81"/>
      <c r="O473" s="73" t="str">
        <f t="shared" si="151"/>
        <v/>
      </c>
      <c r="P473" s="73" t="str">
        <f t="shared" si="152"/>
        <v/>
      </c>
      <c r="Q473" s="73" t="str">
        <f t="shared" si="153"/>
        <v/>
      </c>
      <c r="R473" s="73" t="str">
        <f t="shared" si="154"/>
        <v/>
      </c>
    </row>
    <row r="474" spans="1:18" hidden="1">
      <c r="A474" s="355" t="str">
        <f>IF(C474="","",VLOOKUP('OPĆI DIO'!$C$3,'OPĆI DIO'!$L$6:$U$138,10,FALSE))</f>
        <v/>
      </c>
      <c r="B474" s="355" t="str">
        <f>IF(C474="","",VLOOKUP('OPĆI DIO'!$C$3,'OPĆI DIO'!$L$6:$U$138,9,FALSE))</f>
        <v/>
      </c>
      <c r="C474" s="356"/>
      <c r="D474" s="357" t="str">
        <f t="shared" si="147"/>
        <v/>
      </c>
      <c r="E474" s="356"/>
      <c r="F474" s="357" t="str">
        <f t="shared" si="148"/>
        <v/>
      </c>
      <c r="G474" s="358"/>
      <c r="H474" s="357" t="str">
        <f t="shared" si="149"/>
        <v/>
      </c>
      <c r="I474" s="357" t="str">
        <f t="shared" si="150"/>
        <v/>
      </c>
      <c r="J474" s="359"/>
      <c r="K474" s="359"/>
      <c r="L474" s="359"/>
      <c r="M474" s="81"/>
      <c r="O474" s="73" t="str">
        <f t="shared" si="151"/>
        <v/>
      </c>
      <c r="P474" s="73" t="str">
        <f t="shared" si="152"/>
        <v/>
      </c>
      <c r="Q474" s="73" t="str">
        <f t="shared" si="153"/>
        <v/>
      </c>
      <c r="R474" s="73" t="str">
        <f t="shared" si="154"/>
        <v/>
      </c>
    </row>
    <row r="475" spans="1:18" hidden="1">
      <c r="A475" s="355" t="str">
        <f>IF(C475="","",VLOOKUP('OPĆI DIO'!$C$3,'OPĆI DIO'!$L$6:$U$138,10,FALSE))</f>
        <v/>
      </c>
      <c r="B475" s="355" t="str">
        <f>IF(C475="","",VLOOKUP('OPĆI DIO'!$C$3,'OPĆI DIO'!$L$6:$U$138,9,FALSE))</f>
        <v/>
      </c>
      <c r="C475" s="356"/>
      <c r="D475" s="357" t="str">
        <f t="shared" si="147"/>
        <v/>
      </c>
      <c r="E475" s="356"/>
      <c r="F475" s="357" t="str">
        <f t="shared" si="148"/>
        <v/>
      </c>
      <c r="G475" s="358"/>
      <c r="H475" s="357" t="str">
        <f t="shared" si="149"/>
        <v/>
      </c>
      <c r="I475" s="357" t="str">
        <f t="shared" si="150"/>
        <v/>
      </c>
      <c r="J475" s="359"/>
      <c r="K475" s="359"/>
      <c r="L475" s="359"/>
      <c r="M475" s="81"/>
      <c r="O475" s="73" t="str">
        <f t="shared" si="151"/>
        <v/>
      </c>
      <c r="P475" s="73" t="str">
        <f t="shared" si="152"/>
        <v/>
      </c>
      <c r="Q475" s="73" t="str">
        <f t="shared" si="153"/>
        <v/>
      </c>
      <c r="R475" s="73" t="str">
        <f t="shared" si="154"/>
        <v/>
      </c>
    </row>
    <row r="476" spans="1:18" hidden="1">
      <c r="A476" s="355" t="str">
        <f>IF(C476="","",VLOOKUP('OPĆI DIO'!$C$3,'OPĆI DIO'!$L$6:$U$138,10,FALSE))</f>
        <v/>
      </c>
      <c r="B476" s="355" t="str">
        <f>IF(C476="","",VLOOKUP('OPĆI DIO'!$C$3,'OPĆI DIO'!$L$6:$U$138,9,FALSE))</f>
        <v/>
      </c>
      <c r="C476" s="356"/>
      <c r="D476" s="357" t="str">
        <f t="shared" si="147"/>
        <v/>
      </c>
      <c r="E476" s="356"/>
      <c r="F476" s="357" t="str">
        <f t="shared" si="148"/>
        <v/>
      </c>
      <c r="G476" s="358"/>
      <c r="H476" s="357" t="str">
        <f t="shared" si="149"/>
        <v/>
      </c>
      <c r="I476" s="357" t="str">
        <f t="shared" si="150"/>
        <v/>
      </c>
      <c r="J476" s="359"/>
      <c r="K476" s="359"/>
      <c r="L476" s="359"/>
      <c r="M476" s="81"/>
      <c r="O476" s="73" t="str">
        <f t="shared" si="151"/>
        <v/>
      </c>
      <c r="P476" s="73" t="str">
        <f t="shared" si="152"/>
        <v/>
      </c>
      <c r="Q476" s="73" t="str">
        <f t="shared" si="153"/>
        <v/>
      </c>
      <c r="R476" s="73" t="str">
        <f t="shared" si="154"/>
        <v/>
      </c>
    </row>
    <row r="477" spans="1:18" hidden="1">
      <c r="A477" s="355" t="str">
        <f>IF(C477="","",VLOOKUP('OPĆI DIO'!$C$3,'OPĆI DIO'!$L$6:$U$138,10,FALSE))</f>
        <v/>
      </c>
      <c r="B477" s="355" t="str">
        <f>IF(C477="","",VLOOKUP('OPĆI DIO'!$C$3,'OPĆI DIO'!$L$6:$U$138,9,FALSE))</f>
        <v/>
      </c>
      <c r="C477" s="356"/>
      <c r="D477" s="357" t="str">
        <f t="shared" si="147"/>
        <v/>
      </c>
      <c r="E477" s="356"/>
      <c r="F477" s="357" t="str">
        <f t="shared" si="148"/>
        <v/>
      </c>
      <c r="G477" s="358"/>
      <c r="H477" s="357" t="str">
        <f t="shared" si="149"/>
        <v/>
      </c>
      <c r="I477" s="357" t="str">
        <f t="shared" si="150"/>
        <v/>
      </c>
      <c r="J477" s="359"/>
      <c r="K477" s="359"/>
      <c r="L477" s="359"/>
      <c r="M477" s="81"/>
      <c r="O477" s="73" t="str">
        <f t="shared" si="151"/>
        <v/>
      </c>
      <c r="P477" s="73" t="str">
        <f t="shared" si="152"/>
        <v/>
      </c>
      <c r="Q477" s="73" t="str">
        <f t="shared" si="153"/>
        <v/>
      </c>
      <c r="R477" s="73" t="str">
        <f t="shared" si="154"/>
        <v/>
      </c>
    </row>
    <row r="478" spans="1:18" hidden="1">
      <c r="A478" s="355" t="str">
        <f>IF(C478="","",VLOOKUP('OPĆI DIO'!$C$3,'OPĆI DIO'!$L$6:$U$138,10,FALSE))</f>
        <v/>
      </c>
      <c r="B478" s="355" t="str">
        <f>IF(C478="","",VLOOKUP('OPĆI DIO'!$C$3,'OPĆI DIO'!$L$6:$U$138,9,FALSE))</f>
        <v/>
      </c>
      <c r="C478" s="356"/>
      <c r="D478" s="357" t="str">
        <f t="shared" si="147"/>
        <v/>
      </c>
      <c r="E478" s="356"/>
      <c r="F478" s="357" t="str">
        <f t="shared" si="148"/>
        <v/>
      </c>
      <c r="G478" s="358"/>
      <c r="H478" s="357" t="str">
        <f t="shared" si="149"/>
        <v/>
      </c>
      <c r="I478" s="357" t="str">
        <f t="shared" si="150"/>
        <v/>
      </c>
      <c r="J478" s="359"/>
      <c r="K478" s="359"/>
      <c r="L478" s="359"/>
      <c r="M478" s="81"/>
      <c r="O478" s="73" t="str">
        <f t="shared" si="151"/>
        <v/>
      </c>
      <c r="P478" s="73" t="str">
        <f t="shared" si="152"/>
        <v/>
      </c>
      <c r="Q478" s="73" t="str">
        <f t="shared" si="153"/>
        <v/>
      </c>
      <c r="R478" s="73" t="str">
        <f t="shared" si="154"/>
        <v/>
      </c>
    </row>
    <row r="479" spans="1:18" hidden="1">
      <c r="A479" s="355" t="str">
        <f>IF(C479="","",VLOOKUP('OPĆI DIO'!$C$3,'OPĆI DIO'!$L$6:$U$138,10,FALSE))</f>
        <v/>
      </c>
      <c r="B479" s="355" t="str">
        <f>IF(C479="","",VLOOKUP('OPĆI DIO'!$C$3,'OPĆI DIO'!$L$6:$U$138,9,FALSE))</f>
        <v/>
      </c>
      <c r="C479" s="356"/>
      <c r="D479" s="357" t="str">
        <f t="shared" si="147"/>
        <v/>
      </c>
      <c r="E479" s="356"/>
      <c r="F479" s="357" t="str">
        <f t="shared" si="148"/>
        <v/>
      </c>
      <c r="G479" s="358"/>
      <c r="H479" s="357" t="str">
        <f t="shared" si="149"/>
        <v/>
      </c>
      <c r="I479" s="357" t="str">
        <f t="shared" si="150"/>
        <v/>
      </c>
      <c r="J479" s="359"/>
      <c r="K479" s="359"/>
      <c r="L479" s="359"/>
      <c r="M479" s="81"/>
      <c r="O479" s="73" t="str">
        <f t="shared" si="151"/>
        <v/>
      </c>
      <c r="P479" s="73" t="str">
        <f t="shared" si="152"/>
        <v/>
      </c>
      <c r="Q479" s="73" t="str">
        <f t="shared" si="153"/>
        <v/>
      </c>
      <c r="R479" s="73" t="str">
        <f t="shared" si="154"/>
        <v/>
      </c>
    </row>
    <row r="480" spans="1:18" hidden="1">
      <c r="A480" s="355" t="str">
        <f>IF(C480="","",VLOOKUP('OPĆI DIO'!$C$3,'OPĆI DIO'!$L$6:$U$138,10,FALSE))</f>
        <v/>
      </c>
      <c r="B480" s="355" t="str">
        <f>IF(C480="","",VLOOKUP('OPĆI DIO'!$C$3,'OPĆI DIO'!$L$6:$U$138,9,FALSE))</f>
        <v/>
      </c>
      <c r="C480" s="356"/>
      <c r="D480" s="357" t="str">
        <f t="shared" si="147"/>
        <v/>
      </c>
      <c r="E480" s="356"/>
      <c r="F480" s="357" t="str">
        <f t="shared" si="148"/>
        <v/>
      </c>
      <c r="G480" s="358"/>
      <c r="H480" s="357" t="str">
        <f t="shared" si="149"/>
        <v/>
      </c>
      <c r="I480" s="357" t="str">
        <f t="shared" si="150"/>
        <v/>
      </c>
      <c r="J480" s="359"/>
      <c r="K480" s="359"/>
      <c r="L480" s="359"/>
      <c r="M480" s="81"/>
      <c r="O480" s="73" t="str">
        <f t="shared" si="151"/>
        <v/>
      </c>
      <c r="P480" s="73" t="str">
        <f t="shared" si="152"/>
        <v/>
      </c>
      <c r="Q480" s="73" t="str">
        <f t="shared" si="153"/>
        <v/>
      </c>
      <c r="R480" s="73" t="str">
        <f t="shared" si="154"/>
        <v/>
      </c>
    </row>
    <row r="481" spans="1:18" hidden="1">
      <c r="A481" s="355" t="str">
        <f>IF(C481="","",VLOOKUP('OPĆI DIO'!$C$3,'OPĆI DIO'!$L$6:$U$138,10,FALSE))</f>
        <v/>
      </c>
      <c r="B481" s="355" t="str">
        <f>IF(C481="","",VLOOKUP('OPĆI DIO'!$C$3,'OPĆI DIO'!$L$6:$U$138,9,FALSE))</f>
        <v/>
      </c>
      <c r="C481" s="356"/>
      <c r="D481" s="357" t="str">
        <f t="shared" si="147"/>
        <v/>
      </c>
      <c r="E481" s="356"/>
      <c r="F481" s="357" t="str">
        <f t="shared" si="148"/>
        <v/>
      </c>
      <c r="G481" s="358"/>
      <c r="H481" s="357" t="str">
        <f t="shared" si="149"/>
        <v/>
      </c>
      <c r="I481" s="357" t="str">
        <f t="shared" si="150"/>
        <v/>
      </c>
      <c r="J481" s="359"/>
      <c r="K481" s="359"/>
      <c r="L481" s="359"/>
      <c r="M481" s="81"/>
      <c r="O481" s="73" t="str">
        <f t="shared" si="151"/>
        <v/>
      </c>
      <c r="P481" s="73" t="str">
        <f t="shared" si="152"/>
        <v/>
      </c>
      <c r="Q481" s="73" t="str">
        <f t="shared" si="153"/>
        <v/>
      </c>
      <c r="R481" s="73" t="str">
        <f t="shared" si="154"/>
        <v/>
      </c>
    </row>
    <row r="482" spans="1:18" hidden="1">
      <c r="A482" s="355" t="str">
        <f>IF(C482="","",VLOOKUP('OPĆI DIO'!$C$3,'OPĆI DIO'!$L$6:$U$138,10,FALSE))</f>
        <v/>
      </c>
      <c r="B482" s="355" t="str">
        <f>IF(C482="","",VLOOKUP('OPĆI DIO'!$C$3,'OPĆI DIO'!$L$6:$U$138,9,FALSE))</f>
        <v/>
      </c>
      <c r="C482" s="356"/>
      <c r="D482" s="357" t="str">
        <f t="shared" si="147"/>
        <v/>
      </c>
      <c r="E482" s="356"/>
      <c r="F482" s="357" t="str">
        <f t="shared" si="148"/>
        <v/>
      </c>
      <c r="G482" s="358"/>
      <c r="H482" s="357" t="str">
        <f t="shared" si="149"/>
        <v/>
      </c>
      <c r="I482" s="357" t="str">
        <f t="shared" si="150"/>
        <v/>
      </c>
      <c r="J482" s="359"/>
      <c r="K482" s="359"/>
      <c r="L482" s="359"/>
      <c r="M482" s="81"/>
      <c r="O482" s="73" t="str">
        <f t="shared" si="151"/>
        <v/>
      </c>
      <c r="P482" s="73" t="str">
        <f t="shared" si="152"/>
        <v/>
      </c>
      <c r="Q482" s="73" t="str">
        <f t="shared" si="153"/>
        <v/>
      </c>
      <c r="R482" s="73" t="str">
        <f t="shared" si="154"/>
        <v/>
      </c>
    </row>
    <row r="483" spans="1:18" hidden="1">
      <c r="A483" s="355" t="str">
        <f>IF(C483="","",VLOOKUP('OPĆI DIO'!$C$3,'OPĆI DIO'!$L$6:$U$138,10,FALSE))</f>
        <v/>
      </c>
      <c r="B483" s="355" t="str">
        <f>IF(C483="","",VLOOKUP('OPĆI DIO'!$C$3,'OPĆI DIO'!$L$6:$U$138,9,FALSE))</f>
        <v/>
      </c>
      <c r="C483" s="356"/>
      <c r="D483" s="357" t="str">
        <f t="shared" si="147"/>
        <v/>
      </c>
      <c r="E483" s="356"/>
      <c r="F483" s="357" t="str">
        <f t="shared" si="148"/>
        <v/>
      </c>
      <c r="G483" s="358"/>
      <c r="H483" s="357" t="str">
        <f t="shared" si="149"/>
        <v/>
      </c>
      <c r="I483" s="357" t="str">
        <f t="shared" si="150"/>
        <v/>
      </c>
      <c r="J483" s="359"/>
      <c r="K483" s="359"/>
      <c r="L483" s="359"/>
      <c r="M483" s="81"/>
      <c r="O483" s="73" t="str">
        <f t="shared" si="151"/>
        <v/>
      </c>
      <c r="P483" s="73" t="str">
        <f t="shared" si="152"/>
        <v/>
      </c>
      <c r="Q483" s="73" t="str">
        <f t="shared" si="153"/>
        <v/>
      </c>
      <c r="R483" s="73" t="str">
        <f t="shared" si="154"/>
        <v/>
      </c>
    </row>
    <row r="484" spans="1:18" hidden="1">
      <c r="A484" s="355" t="str">
        <f>IF(C484="","",VLOOKUP('OPĆI DIO'!$C$3,'OPĆI DIO'!$L$6:$U$138,10,FALSE))</f>
        <v/>
      </c>
      <c r="B484" s="355" t="str">
        <f>IF(C484="","",VLOOKUP('OPĆI DIO'!$C$3,'OPĆI DIO'!$L$6:$U$138,9,FALSE))</f>
        <v/>
      </c>
      <c r="C484" s="356"/>
      <c r="D484" s="357" t="str">
        <f t="shared" si="147"/>
        <v/>
      </c>
      <c r="E484" s="356"/>
      <c r="F484" s="357" t="str">
        <f t="shared" si="148"/>
        <v/>
      </c>
      <c r="G484" s="358"/>
      <c r="H484" s="357" t="str">
        <f t="shared" si="149"/>
        <v/>
      </c>
      <c r="I484" s="357" t="str">
        <f t="shared" si="150"/>
        <v/>
      </c>
      <c r="J484" s="359"/>
      <c r="K484" s="359"/>
      <c r="L484" s="359"/>
      <c r="M484" s="81"/>
      <c r="O484" s="73" t="str">
        <f t="shared" si="151"/>
        <v/>
      </c>
      <c r="P484" s="73" t="str">
        <f t="shared" si="152"/>
        <v/>
      </c>
      <c r="Q484" s="73" t="str">
        <f t="shared" si="153"/>
        <v/>
      </c>
      <c r="R484" s="73" t="str">
        <f t="shared" si="154"/>
        <v/>
      </c>
    </row>
    <row r="485" spans="1:18" hidden="1">
      <c r="A485" s="355" t="str">
        <f>IF(C485="","",VLOOKUP('OPĆI DIO'!$C$3,'OPĆI DIO'!$L$6:$U$138,10,FALSE))</f>
        <v/>
      </c>
      <c r="B485" s="355" t="str">
        <f>IF(C485="","",VLOOKUP('OPĆI DIO'!$C$3,'OPĆI DIO'!$L$6:$U$138,9,FALSE))</f>
        <v/>
      </c>
      <c r="C485" s="356"/>
      <c r="D485" s="357" t="str">
        <f t="shared" si="147"/>
        <v/>
      </c>
      <c r="E485" s="356"/>
      <c r="F485" s="357" t="str">
        <f t="shared" si="148"/>
        <v/>
      </c>
      <c r="G485" s="358"/>
      <c r="H485" s="357" t="str">
        <f t="shared" si="149"/>
        <v/>
      </c>
      <c r="I485" s="357" t="str">
        <f t="shared" si="150"/>
        <v/>
      </c>
      <c r="J485" s="359"/>
      <c r="K485" s="359"/>
      <c r="L485" s="359"/>
      <c r="M485" s="81"/>
      <c r="O485" s="73" t="str">
        <f t="shared" si="151"/>
        <v/>
      </c>
      <c r="P485" s="73" t="str">
        <f t="shared" si="152"/>
        <v/>
      </c>
      <c r="Q485" s="73" t="str">
        <f t="shared" si="153"/>
        <v/>
      </c>
      <c r="R485" s="73" t="str">
        <f t="shared" si="154"/>
        <v/>
      </c>
    </row>
    <row r="486" spans="1:18" hidden="1">
      <c r="A486" s="355" t="str">
        <f>IF(C486="","",VLOOKUP('OPĆI DIO'!$C$3,'OPĆI DIO'!$L$6:$U$138,10,FALSE))</f>
        <v/>
      </c>
      <c r="B486" s="355" t="str">
        <f>IF(C486="","",VLOOKUP('OPĆI DIO'!$C$3,'OPĆI DIO'!$L$6:$U$138,9,FALSE))</f>
        <v/>
      </c>
      <c r="C486" s="356"/>
      <c r="D486" s="357" t="str">
        <f t="shared" si="147"/>
        <v/>
      </c>
      <c r="E486" s="356"/>
      <c r="F486" s="357" t="str">
        <f t="shared" si="148"/>
        <v/>
      </c>
      <c r="G486" s="358"/>
      <c r="H486" s="357" t="str">
        <f t="shared" si="149"/>
        <v/>
      </c>
      <c r="I486" s="357" t="str">
        <f t="shared" si="150"/>
        <v/>
      </c>
      <c r="J486" s="359"/>
      <c r="K486" s="359"/>
      <c r="L486" s="359"/>
      <c r="M486" s="81"/>
      <c r="O486" s="73" t="str">
        <f t="shared" si="151"/>
        <v/>
      </c>
      <c r="P486" s="73" t="str">
        <f t="shared" si="152"/>
        <v/>
      </c>
      <c r="Q486" s="73" t="str">
        <f t="shared" si="153"/>
        <v/>
      </c>
      <c r="R486" s="73" t="str">
        <f t="shared" si="154"/>
        <v/>
      </c>
    </row>
    <row r="487" spans="1:18" hidden="1">
      <c r="A487" s="355" t="str">
        <f>IF(C487="","",VLOOKUP('OPĆI DIO'!$C$3,'OPĆI DIO'!$L$6:$U$138,10,FALSE))</f>
        <v/>
      </c>
      <c r="B487" s="355" t="str">
        <f>IF(C487="","",VLOOKUP('OPĆI DIO'!$C$3,'OPĆI DIO'!$L$6:$U$138,9,FALSE))</f>
        <v/>
      </c>
      <c r="C487" s="356"/>
      <c r="D487" s="357" t="str">
        <f t="shared" si="147"/>
        <v/>
      </c>
      <c r="E487" s="356"/>
      <c r="F487" s="357" t="str">
        <f t="shared" si="148"/>
        <v/>
      </c>
      <c r="G487" s="358"/>
      <c r="H487" s="357" t="str">
        <f t="shared" si="149"/>
        <v/>
      </c>
      <c r="I487" s="357" t="str">
        <f t="shared" si="150"/>
        <v/>
      </c>
      <c r="J487" s="359"/>
      <c r="K487" s="359"/>
      <c r="L487" s="359"/>
      <c r="M487" s="81"/>
      <c r="O487" s="73" t="str">
        <f t="shared" si="151"/>
        <v/>
      </c>
      <c r="P487" s="73" t="str">
        <f t="shared" si="152"/>
        <v/>
      </c>
      <c r="Q487" s="73" t="str">
        <f t="shared" si="153"/>
        <v/>
      </c>
      <c r="R487" s="73" t="str">
        <f t="shared" si="154"/>
        <v/>
      </c>
    </row>
    <row r="488" spans="1:18" hidden="1">
      <c r="A488" s="355" t="str">
        <f>IF(C488="","",VLOOKUP('OPĆI DIO'!$C$3,'OPĆI DIO'!$L$6:$U$138,10,FALSE))</f>
        <v/>
      </c>
      <c r="B488" s="355" t="str">
        <f>IF(C488="","",VLOOKUP('OPĆI DIO'!$C$3,'OPĆI DIO'!$L$6:$U$138,9,FALSE))</f>
        <v/>
      </c>
      <c r="C488" s="356"/>
      <c r="D488" s="357" t="str">
        <f t="shared" si="147"/>
        <v/>
      </c>
      <c r="E488" s="356"/>
      <c r="F488" s="357" t="str">
        <f t="shared" si="148"/>
        <v/>
      </c>
      <c r="G488" s="358"/>
      <c r="H488" s="357" t="str">
        <f t="shared" si="149"/>
        <v/>
      </c>
      <c r="I488" s="357" t="str">
        <f t="shared" si="150"/>
        <v/>
      </c>
      <c r="J488" s="359"/>
      <c r="K488" s="359"/>
      <c r="L488" s="359"/>
      <c r="M488" s="81"/>
      <c r="O488" s="73" t="str">
        <f t="shared" si="151"/>
        <v/>
      </c>
      <c r="P488" s="73" t="str">
        <f t="shared" si="152"/>
        <v/>
      </c>
      <c r="Q488" s="73" t="str">
        <f t="shared" si="153"/>
        <v/>
      </c>
      <c r="R488" s="73" t="str">
        <f t="shared" si="154"/>
        <v/>
      </c>
    </row>
    <row r="489" spans="1:18" hidden="1">
      <c r="A489" s="355" t="str">
        <f>IF(C489="","",VLOOKUP('OPĆI DIO'!$C$3,'OPĆI DIO'!$L$6:$U$138,10,FALSE))</f>
        <v/>
      </c>
      <c r="B489" s="355" t="str">
        <f>IF(C489="","",VLOOKUP('OPĆI DIO'!$C$3,'OPĆI DIO'!$L$6:$U$138,9,FALSE))</f>
        <v/>
      </c>
      <c r="C489" s="356"/>
      <c r="D489" s="357" t="str">
        <f t="shared" si="147"/>
        <v/>
      </c>
      <c r="E489" s="356"/>
      <c r="F489" s="357" t="str">
        <f t="shared" si="148"/>
        <v/>
      </c>
      <c r="G489" s="358"/>
      <c r="H489" s="357" t="str">
        <f t="shared" si="149"/>
        <v/>
      </c>
      <c r="I489" s="357" t="str">
        <f t="shared" si="150"/>
        <v/>
      </c>
      <c r="J489" s="359"/>
      <c r="K489" s="359"/>
      <c r="L489" s="359"/>
      <c r="M489" s="81"/>
      <c r="O489" s="73" t="str">
        <f t="shared" si="151"/>
        <v/>
      </c>
      <c r="P489" s="73" t="str">
        <f t="shared" si="152"/>
        <v/>
      </c>
      <c r="Q489" s="73" t="str">
        <f t="shared" si="153"/>
        <v/>
      </c>
      <c r="R489" s="73" t="str">
        <f t="shared" si="154"/>
        <v/>
      </c>
    </row>
    <row r="490" spans="1:18" hidden="1">
      <c r="A490" s="355" t="str">
        <f>IF(C490="","",VLOOKUP('OPĆI DIO'!$C$3,'OPĆI DIO'!$L$6:$U$138,10,FALSE))</f>
        <v/>
      </c>
      <c r="B490" s="355" t="str">
        <f>IF(C490="","",VLOOKUP('OPĆI DIO'!$C$3,'OPĆI DIO'!$L$6:$U$138,9,FALSE))</f>
        <v/>
      </c>
      <c r="C490" s="356"/>
      <c r="D490" s="357" t="str">
        <f t="shared" si="147"/>
        <v/>
      </c>
      <c r="E490" s="356"/>
      <c r="F490" s="357" t="str">
        <f t="shared" si="148"/>
        <v/>
      </c>
      <c r="G490" s="358"/>
      <c r="H490" s="357" t="str">
        <f t="shared" si="149"/>
        <v/>
      </c>
      <c r="I490" s="357" t="str">
        <f t="shared" si="150"/>
        <v/>
      </c>
      <c r="J490" s="359"/>
      <c r="K490" s="359"/>
      <c r="L490" s="359"/>
      <c r="M490" s="81"/>
      <c r="O490" s="73" t="str">
        <f t="shared" si="151"/>
        <v/>
      </c>
      <c r="P490" s="73" t="str">
        <f t="shared" si="152"/>
        <v/>
      </c>
      <c r="Q490" s="73" t="str">
        <f t="shared" si="153"/>
        <v/>
      </c>
      <c r="R490" s="73" t="str">
        <f t="shared" si="154"/>
        <v/>
      </c>
    </row>
    <row r="491" spans="1:18" hidden="1">
      <c r="A491" s="355" t="str">
        <f>IF(C491="","",VLOOKUP('OPĆI DIO'!$C$3,'OPĆI DIO'!$L$6:$U$138,10,FALSE))</f>
        <v/>
      </c>
      <c r="B491" s="355" t="str">
        <f>IF(C491="","",VLOOKUP('OPĆI DIO'!$C$3,'OPĆI DIO'!$L$6:$U$138,9,FALSE))</f>
        <v/>
      </c>
      <c r="C491" s="356"/>
      <c r="D491" s="357" t="str">
        <f t="shared" si="147"/>
        <v/>
      </c>
      <c r="E491" s="356"/>
      <c r="F491" s="357" t="str">
        <f t="shared" si="148"/>
        <v/>
      </c>
      <c r="G491" s="358"/>
      <c r="H491" s="357" t="str">
        <f t="shared" si="149"/>
        <v/>
      </c>
      <c r="I491" s="357" t="str">
        <f t="shared" si="150"/>
        <v/>
      </c>
      <c r="J491" s="359"/>
      <c r="K491" s="359"/>
      <c r="L491" s="359"/>
      <c r="M491" s="81"/>
      <c r="O491" s="73" t="str">
        <f t="shared" si="151"/>
        <v/>
      </c>
      <c r="P491" s="73" t="str">
        <f t="shared" si="152"/>
        <v/>
      </c>
      <c r="Q491" s="73" t="str">
        <f t="shared" si="153"/>
        <v/>
      </c>
      <c r="R491" s="73" t="str">
        <f t="shared" si="154"/>
        <v/>
      </c>
    </row>
    <row r="492" spans="1:18" hidden="1">
      <c r="A492" s="355" t="str">
        <f>IF(C492="","",VLOOKUP('OPĆI DIO'!$C$3,'OPĆI DIO'!$L$6:$U$138,10,FALSE))</f>
        <v/>
      </c>
      <c r="B492" s="355" t="str">
        <f>IF(C492="","",VLOOKUP('OPĆI DIO'!$C$3,'OPĆI DIO'!$L$6:$U$138,9,FALSE))</f>
        <v/>
      </c>
      <c r="C492" s="356"/>
      <c r="D492" s="357" t="str">
        <f t="shared" si="147"/>
        <v/>
      </c>
      <c r="E492" s="356"/>
      <c r="F492" s="357" t="str">
        <f t="shared" si="148"/>
        <v/>
      </c>
      <c r="G492" s="358"/>
      <c r="H492" s="357" t="str">
        <f t="shared" si="149"/>
        <v/>
      </c>
      <c r="I492" s="357" t="str">
        <f t="shared" si="150"/>
        <v/>
      </c>
      <c r="J492" s="359"/>
      <c r="K492" s="359"/>
      <c r="L492" s="359"/>
      <c r="M492" s="81"/>
      <c r="O492" s="73" t="str">
        <f t="shared" si="151"/>
        <v/>
      </c>
      <c r="P492" s="73" t="str">
        <f t="shared" si="152"/>
        <v/>
      </c>
      <c r="Q492" s="73" t="str">
        <f t="shared" si="153"/>
        <v/>
      </c>
      <c r="R492" s="73" t="str">
        <f t="shared" si="154"/>
        <v/>
      </c>
    </row>
    <row r="493" spans="1:18" hidden="1">
      <c r="A493" s="355" t="str">
        <f>IF(C493="","",VLOOKUP('OPĆI DIO'!$C$3,'OPĆI DIO'!$L$6:$U$138,10,FALSE))</f>
        <v/>
      </c>
      <c r="B493" s="355" t="str">
        <f>IF(C493="","",VLOOKUP('OPĆI DIO'!$C$3,'OPĆI DIO'!$L$6:$U$138,9,FALSE))</f>
        <v/>
      </c>
      <c r="C493" s="356"/>
      <c r="D493" s="357" t="str">
        <f t="shared" si="147"/>
        <v/>
      </c>
      <c r="E493" s="356"/>
      <c r="F493" s="357" t="str">
        <f t="shared" si="148"/>
        <v/>
      </c>
      <c r="G493" s="358"/>
      <c r="H493" s="357" t="str">
        <f t="shared" si="149"/>
        <v/>
      </c>
      <c r="I493" s="357" t="str">
        <f t="shared" si="150"/>
        <v/>
      </c>
      <c r="J493" s="359"/>
      <c r="K493" s="359"/>
      <c r="L493" s="359"/>
      <c r="M493" s="81"/>
      <c r="O493" s="73" t="str">
        <f t="shared" si="151"/>
        <v/>
      </c>
      <c r="P493" s="73" t="str">
        <f t="shared" si="152"/>
        <v/>
      </c>
      <c r="Q493" s="73" t="str">
        <f t="shared" si="153"/>
        <v/>
      </c>
      <c r="R493" s="73" t="str">
        <f t="shared" si="154"/>
        <v/>
      </c>
    </row>
    <row r="494" spans="1:18" hidden="1">
      <c r="A494" s="355" t="str">
        <f>IF(C494="","",VLOOKUP('OPĆI DIO'!$C$3,'OPĆI DIO'!$L$6:$U$138,10,FALSE))</f>
        <v/>
      </c>
      <c r="B494" s="355" t="str">
        <f>IF(C494="","",VLOOKUP('OPĆI DIO'!$C$3,'OPĆI DIO'!$L$6:$U$138,9,FALSE))</f>
        <v/>
      </c>
      <c r="C494" s="356"/>
      <c r="D494" s="357" t="str">
        <f t="shared" si="147"/>
        <v/>
      </c>
      <c r="E494" s="356"/>
      <c r="F494" s="357" t="str">
        <f t="shared" si="148"/>
        <v/>
      </c>
      <c r="G494" s="358"/>
      <c r="H494" s="357" t="str">
        <f t="shared" si="149"/>
        <v/>
      </c>
      <c r="I494" s="357" t="str">
        <f t="shared" si="150"/>
        <v/>
      </c>
      <c r="J494" s="359"/>
      <c r="K494" s="359"/>
      <c r="L494" s="359"/>
      <c r="M494" s="81"/>
      <c r="O494" s="73" t="str">
        <f t="shared" si="151"/>
        <v/>
      </c>
      <c r="P494" s="73" t="str">
        <f t="shared" si="152"/>
        <v/>
      </c>
      <c r="Q494" s="73" t="str">
        <f t="shared" si="153"/>
        <v/>
      </c>
      <c r="R494" s="73" t="str">
        <f t="shared" si="154"/>
        <v/>
      </c>
    </row>
    <row r="495" spans="1:18" hidden="1">
      <c r="A495" s="355" t="str">
        <f>IF(C495="","",VLOOKUP('OPĆI DIO'!$C$3,'OPĆI DIO'!$L$6:$U$138,10,FALSE))</f>
        <v/>
      </c>
      <c r="B495" s="355" t="str">
        <f>IF(C495="","",VLOOKUP('OPĆI DIO'!$C$3,'OPĆI DIO'!$L$6:$U$138,9,FALSE))</f>
        <v/>
      </c>
      <c r="C495" s="356"/>
      <c r="D495" s="357" t="str">
        <f t="shared" si="147"/>
        <v/>
      </c>
      <c r="E495" s="356"/>
      <c r="F495" s="357" t="str">
        <f t="shared" si="148"/>
        <v/>
      </c>
      <c r="G495" s="358"/>
      <c r="H495" s="357" t="str">
        <f t="shared" si="149"/>
        <v/>
      </c>
      <c r="I495" s="357" t="str">
        <f t="shared" si="150"/>
        <v/>
      </c>
      <c r="J495" s="359"/>
      <c r="K495" s="359"/>
      <c r="L495" s="359"/>
      <c r="M495" s="81"/>
      <c r="O495" s="73" t="str">
        <f t="shared" si="151"/>
        <v/>
      </c>
      <c r="P495" s="73" t="str">
        <f t="shared" si="152"/>
        <v/>
      </c>
      <c r="Q495" s="73" t="str">
        <f t="shared" si="153"/>
        <v/>
      </c>
      <c r="R495" s="73" t="str">
        <f t="shared" si="154"/>
        <v/>
      </c>
    </row>
    <row r="496" spans="1:18" hidden="1">
      <c r="A496" s="355" t="str">
        <f>IF(C496="","",VLOOKUP('OPĆI DIO'!$C$3,'OPĆI DIO'!$L$6:$U$138,10,FALSE))</f>
        <v/>
      </c>
      <c r="B496" s="355" t="str">
        <f>IF(C496="","",VLOOKUP('OPĆI DIO'!$C$3,'OPĆI DIO'!$L$6:$U$138,9,FALSE))</f>
        <v/>
      </c>
      <c r="C496" s="356"/>
      <c r="D496" s="357" t="str">
        <f t="shared" si="147"/>
        <v/>
      </c>
      <c r="E496" s="356"/>
      <c r="F496" s="357" t="str">
        <f t="shared" si="148"/>
        <v/>
      </c>
      <c r="G496" s="358"/>
      <c r="H496" s="357" t="str">
        <f t="shared" si="149"/>
        <v/>
      </c>
      <c r="I496" s="357" t="str">
        <f t="shared" si="150"/>
        <v/>
      </c>
      <c r="J496" s="359"/>
      <c r="K496" s="359"/>
      <c r="L496" s="359"/>
      <c r="M496" s="81"/>
      <c r="O496" s="73" t="str">
        <f t="shared" si="151"/>
        <v/>
      </c>
      <c r="P496" s="73" t="str">
        <f t="shared" si="152"/>
        <v/>
      </c>
      <c r="Q496" s="73" t="str">
        <f t="shared" si="153"/>
        <v/>
      </c>
      <c r="R496" s="73" t="str">
        <f t="shared" si="154"/>
        <v/>
      </c>
    </row>
    <row r="497" spans="1:18" hidden="1">
      <c r="A497" s="355" t="str">
        <f>IF(C497="","",VLOOKUP('OPĆI DIO'!$C$3,'OPĆI DIO'!$L$6:$U$138,10,FALSE))</f>
        <v/>
      </c>
      <c r="B497" s="355" t="str">
        <f>IF(C497="","",VLOOKUP('OPĆI DIO'!$C$3,'OPĆI DIO'!$L$6:$U$138,9,FALSE))</f>
        <v/>
      </c>
      <c r="C497" s="356"/>
      <c r="D497" s="357" t="str">
        <f t="shared" si="147"/>
        <v/>
      </c>
      <c r="E497" s="356"/>
      <c r="F497" s="357" t="str">
        <f t="shared" si="148"/>
        <v/>
      </c>
      <c r="G497" s="358"/>
      <c r="H497" s="357" t="str">
        <f t="shared" si="149"/>
        <v/>
      </c>
      <c r="I497" s="357" t="str">
        <f t="shared" si="150"/>
        <v/>
      </c>
      <c r="J497" s="359"/>
      <c r="K497" s="359"/>
      <c r="L497" s="359"/>
      <c r="M497" s="81"/>
      <c r="O497" s="73" t="str">
        <f t="shared" si="151"/>
        <v/>
      </c>
      <c r="P497" s="73" t="str">
        <f t="shared" si="152"/>
        <v/>
      </c>
      <c r="Q497" s="73" t="str">
        <f t="shared" si="153"/>
        <v/>
      </c>
      <c r="R497" s="73" t="str">
        <f t="shared" si="154"/>
        <v/>
      </c>
    </row>
    <row r="498" spans="1:18" hidden="1">
      <c r="A498" s="355" t="str">
        <f>IF(C498="","",VLOOKUP('OPĆI DIO'!$C$3,'OPĆI DIO'!$L$6:$U$138,10,FALSE))</f>
        <v/>
      </c>
      <c r="B498" s="355" t="str">
        <f>IF(C498="","",VLOOKUP('OPĆI DIO'!$C$3,'OPĆI DIO'!$L$6:$U$138,9,FALSE))</f>
        <v/>
      </c>
      <c r="C498" s="356"/>
      <c r="D498" s="357" t="str">
        <f t="shared" si="147"/>
        <v/>
      </c>
      <c r="E498" s="356"/>
      <c r="F498" s="357" t="str">
        <f t="shared" si="148"/>
        <v/>
      </c>
      <c r="G498" s="358"/>
      <c r="H498" s="357" t="str">
        <f t="shared" si="149"/>
        <v/>
      </c>
      <c r="I498" s="357" t="str">
        <f t="shared" si="150"/>
        <v/>
      </c>
      <c r="J498" s="359"/>
      <c r="K498" s="359"/>
      <c r="L498" s="359"/>
      <c r="M498" s="81"/>
      <c r="O498" s="73" t="str">
        <f t="shared" si="151"/>
        <v/>
      </c>
      <c r="P498" s="73" t="str">
        <f t="shared" si="152"/>
        <v/>
      </c>
      <c r="Q498" s="73" t="str">
        <f t="shared" si="153"/>
        <v/>
      </c>
      <c r="R498" s="73" t="str">
        <f t="shared" si="154"/>
        <v/>
      </c>
    </row>
    <row r="499" spans="1:18"/>
    <row r="505" spans="1:18"/>
    <row r="506" spans="1:18"/>
    <row r="507" spans="1:18"/>
    <row r="508" spans="1:18"/>
    <row r="509" spans="1:18"/>
    <row r="510" spans="1:18"/>
    <row r="511" spans="1:18"/>
    <row r="512" spans="1:18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</sheetData>
  <sheetProtection selectLockedCells="1"/>
  <autoFilter ref="A2:M498" xr:uid="{A8D1A842-BF9A-47C4-9D4E-FD2FADFF736F}">
    <filterColumn colId="6">
      <filters>
        <filter val="A679090"/>
      </filters>
    </filterColumn>
  </autoFilter>
  <sortState ref="AB9:AC71">
    <sortCondition ref="AB6"/>
  </sortState>
  <mergeCells count="1">
    <mergeCell ref="A1:D1"/>
  </mergeCells>
  <conditionalFormatting sqref="M3:M14 M16:M17 M19:M24 M26:M28 M31:M36 M38:M39 M41:M44 M46:M49 M53:M78 M99:M101 M108:M111 M80:M92 M120:M498 M113:M118 M94:M96">
    <cfRule type="expression" dxfId="23" priority="33">
      <formula>IF(OR(E3=3691,E3=3692,E3=3693,E3=3694),1,0)</formula>
    </cfRule>
  </conditionalFormatting>
  <conditionalFormatting sqref="M15">
    <cfRule type="expression" dxfId="22" priority="32">
      <formula>IF(OR(E15=3691,E15=3692,E15=3693,E15=3694),1,0)</formula>
    </cfRule>
  </conditionalFormatting>
  <conditionalFormatting sqref="M18">
    <cfRule type="expression" dxfId="21" priority="31">
      <formula>IF(OR(E18=3691,E18=3692,E18=3693,E18=3694),1,0)</formula>
    </cfRule>
  </conditionalFormatting>
  <conditionalFormatting sqref="M25">
    <cfRule type="expression" dxfId="20" priority="30">
      <formula>IF(OR(E25=3691,E25=3692,E25=3693,E25=3694),1,0)</formula>
    </cfRule>
  </conditionalFormatting>
  <conditionalFormatting sqref="M29">
    <cfRule type="expression" dxfId="19" priority="29">
      <formula>IF(OR(E29=3691,E29=3692,E29=3693,E29=3694),1,0)</formula>
    </cfRule>
  </conditionalFormatting>
  <conditionalFormatting sqref="M30">
    <cfRule type="expression" dxfId="18" priority="28">
      <formula>IF(OR(E30=3691,E30=3692,E30=3693,E30=3694),1,0)</formula>
    </cfRule>
  </conditionalFormatting>
  <conditionalFormatting sqref="M37">
    <cfRule type="expression" dxfId="17" priority="27">
      <formula>IF(OR(E37=3691,E37=3692,E37=3693,E37=3694),1,0)</formula>
    </cfRule>
  </conditionalFormatting>
  <conditionalFormatting sqref="M40">
    <cfRule type="expression" dxfId="16" priority="26">
      <formula>IF(OR(E40=3691,E40=3692,E40=3693,E40=3694),1,0)</formula>
    </cfRule>
  </conditionalFormatting>
  <conditionalFormatting sqref="M45">
    <cfRule type="expression" dxfId="15" priority="25">
      <formula>IF(OR(E45=3691,E45=3692,E45=3693,E45=3694),1,0)</formula>
    </cfRule>
  </conditionalFormatting>
  <conditionalFormatting sqref="M50">
    <cfRule type="expression" dxfId="14" priority="24">
      <formula>IF(OR(E50=3691,E50=3692,E50=3693,E50=3694),1,0)</formula>
    </cfRule>
  </conditionalFormatting>
  <conditionalFormatting sqref="M52">
    <cfRule type="expression" dxfId="13" priority="23">
      <formula>IF(OR(E52=3691,E52=3692,E52=3693,E52=3694),1,0)</formula>
    </cfRule>
  </conditionalFormatting>
  <conditionalFormatting sqref="M79">
    <cfRule type="expression" dxfId="12" priority="22">
      <formula>IF(OR(E79=3691,E79=3692,E79=3693,E79=3694),1,0)</formula>
    </cfRule>
  </conditionalFormatting>
  <conditionalFormatting sqref="M98">
    <cfRule type="expression" dxfId="11" priority="21">
      <formula>IF(OR(E98=3691,E98=3692,E98=3693,E98=3694),1,0)</formula>
    </cfRule>
  </conditionalFormatting>
  <conditionalFormatting sqref="M102">
    <cfRule type="expression" dxfId="10" priority="20">
      <formula>IF(OR(E102=3691,E102=3692,E102=3693,E102=3694),1,0)</formula>
    </cfRule>
  </conditionalFormatting>
  <conditionalFormatting sqref="M103">
    <cfRule type="expression" dxfId="9" priority="19">
      <formula>IF(OR(E103=3691,E103=3692,E103=3693,E103=3694),1,0)</formula>
    </cfRule>
  </conditionalFormatting>
  <conditionalFormatting sqref="M104">
    <cfRule type="expression" dxfId="8" priority="18">
      <formula>IF(OR(E104=3691,E104=3692,E104=3693,E104=3694),1,0)</formula>
    </cfRule>
  </conditionalFormatting>
  <conditionalFormatting sqref="M105">
    <cfRule type="expression" dxfId="7" priority="17">
      <formula>IF(OR(E105=3691,E105=3692,E105=3693,E105=3694),1,0)</formula>
    </cfRule>
  </conditionalFormatting>
  <conditionalFormatting sqref="M119">
    <cfRule type="expression" dxfId="6" priority="16">
      <formula>IF(OR(E119=3691,E119=3692,E119=3693,E119=3694),1,0)</formula>
    </cfRule>
  </conditionalFormatting>
  <conditionalFormatting sqref="M106">
    <cfRule type="expression" dxfId="5" priority="7">
      <formula>IF(OR(E106=3691,E106=3692,E106=3693,E106=3694),1,0)</formula>
    </cfRule>
  </conditionalFormatting>
  <conditionalFormatting sqref="M107">
    <cfRule type="expression" dxfId="4" priority="6">
      <formula>IF(OR(E107=3691,E107=3692,E107=3693,E107=3694),1,0)</formula>
    </cfRule>
  </conditionalFormatting>
  <conditionalFormatting sqref="M97">
    <cfRule type="expression" dxfId="3" priority="4">
      <formula>IF(OR(E97=3691,E97=3692,E97=3693,E97=3694),1,0)</formula>
    </cfRule>
  </conditionalFormatting>
  <conditionalFormatting sqref="M112">
    <cfRule type="expression" dxfId="2" priority="3">
      <formula>IF(OR(E112=3691,E112=3692,E112=3693,E112=3694),1,0)</formula>
    </cfRule>
  </conditionalFormatting>
  <conditionalFormatting sqref="M51">
    <cfRule type="expression" dxfId="1" priority="2">
      <formula>IF(OR(E51=3691,E51=3692,E51=3693,E51=3694),1,0)</formula>
    </cfRule>
  </conditionalFormatting>
  <conditionalFormatting sqref="M93">
    <cfRule type="expression" dxfId="0" priority="1">
      <formula>IF(OR(E93=3691,E93=3692,E93=3693,E93=3694),1,0)</formula>
    </cfRule>
  </conditionalFormatting>
  <dataValidations xWindow="602" yWindow="345" count="6">
    <dataValidation type="whole" allowBlank="1" showInputMessage="1" showErrorMessage="1" errorTitle="GREŠKA" error="U ovo polje je dozvoljen unos samo brojčanih vrijednosti (bez decimala!)" sqref="K127 L3:L498 J3:J498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498" xr:uid="{00000000-0002-0000-0200-000001000000}">
      <formula1>$S$6:$S$27</formula1>
    </dataValidation>
    <dataValidation type="list" allowBlank="1" showInputMessage="1" showErrorMessage="1" errorTitle="GREŠKA" error="Za unos odaberite vrijednost iz padajućeg izbornika!" prompt="Molimo odaberite vrijednost iz padajućeg izbornika!" sqref="E122:E498" xr:uid="{00000000-0002-0000-0200-000002000000}">
      <formula1>$V$5:$V$126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122:G498" xr:uid="{00000000-0002-0000-0200-000003000000}">
      <formula1>$AB$6:$AB$324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121" xr:uid="{00000000-0002-0000-0200-000004000000}">
      <formula1>$AB$6:$AB$321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21" xr:uid="{00000000-0002-0000-0200-000005000000}">
      <formula1>$V$5:$V$123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6000000}">
          <x14:formula1>
            <xm:f>IF(OR(E3=3691,E3=3692,E3=3693,E3=3694),'KORISNICI DP'!$D$4:$D$614,$M$1)</xm:f>
          </x14:formula1>
          <xm:sqref>M3:M498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 filterMode="1">
    <pageSetUpPr fitToPage="1"/>
  </sheetPr>
  <dimension ref="A1:AG1081"/>
  <sheetViews>
    <sheetView showGridLines="0" tabSelected="1" topLeftCell="E1" zoomScale="80" zoomScaleNormal="80" workbookViewId="0">
      <pane ySplit="2" topLeftCell="A3" activePane="bottomLeft" state="frozen"/>
      <selection pane="bottomLeft" activeCell="J20" sqref="J20:J23"/>
    </sheetView>
  </sheetViews>
  <sheetFormatPr defaultColWidth="9.140625" defaultRowHeight="15"/>
  <cols>
    <col min="1" max="1" width="12.85546875" style="73" customWidth="1"/>
    <col min="2" max="2" width="14.28515625" style="73" customWidth="1"/>
    <col min="3" max="3" width="11.7109375" style="73" customWidth="1"/>
    <col min="4" max="4" width="25.42578125" style="73" customWidth="1"/>
    <col min="5" max="5" width="16.42578125" style="73" customWidth="1"/>
    <col min="6" max="6" width="30.28515625" style="73" customWidth="1"/>
    <col min="7" max="7" width="6.140625" style="73" bestFit="1" customWidth="1"/>
    <col min="8" max="10" width="10.28515625" style="74" customWidth="1"/>
    <col min="11" max="11" width="33.7109375" style="74" customWidth="1"/>
    <col min="12" max="13" width="9.5703125" style="74" customWidth="1"/>
    <col min="14" max="14" width="15.140625" style="74" customWidth="1"/>
    <col min="15" max="15" width="18.28515625" style="74" customWidth="1"/>
    <col min="16" max="16" width="51.7109375" style="74" customWidth="1"/>
    <col min="17" max="17" width="14.7109375" style="73" customWidth="1"/>
    <col min="18" max="21" width="9.140625" style="73" customWidth="1"/>
    <col min="22" max="22" width="46.5703125" style="73" customWidth="1"/>
    <col min="23" max="24" width="9.140625" style="73" customWidth="1"/>
    <col min="25" max="25" width="58.85546875" style="73" customWidth="1"/>
    <col min="26" max="29" width="9.140625" style="73" customWidth="1"/>
    <col min="30" max="30" width="14.7109375" style="73" customWidth="1"/>
    <col min="31" max="16384" width="9.140625" style="73"/>
  </cols>
  <sheetData>
    <row r="1" spans="1:33" ht="35.25" customHeight="1">
      <c r="A1" s="393" t="s">
        <v>659</v>
      </c>
      <c r="B1" s="393"/>
      <c r="C1" s="116" t="str">
        <f>IF(OR('OPĆI DIO'!A3="odaberite -",'OPĆI DIO'!A3=""),"Molimo odaberite proračunskog korisnika na radnom listu Opći podaci!","")</f>
        <v>Molimo odaberite proračunskog korisnika na radnom listu Opći podaci!</v>
      </c>
      <c r="J1" s="291" t="s">
        <v>5246</v>
      </c>
    </row>
    <row r="2" spans="1:33" ht="60">
      <c r="A2" s="125" t="s">
        <v>654</v>
      </c>
      <c r="B2" s="126" t="s">
        <v>41</v>
      </c>
      <c r="C2" s="125" t="s">
        <v>652</v>
      </c>
      <c r="D2" s="126" t="s">
        <v>653</v>
      </c>
      <c r="E2" s="125" t="s">
        <v>660</v>
      </c>
      <c r="F2" s="126" t="s">
        <v>43</v>
      </c>
      <c r="G2" s="284" t="s">
        <v>5099</v>
      </c>
      <c r="H2" s="322" t="s">
        <v>5260</v>
      </c>
      <c r="I2" s="322" t="s">
        <v>5259</v>
      </c>
      <c r="J2" s="322" t="s">
        <v>5261</v>
      </c>
      <c r="K2" s="127" t="s">
        <v>661</v>
      </c>
      <c r="L2" s="127" t="s">
        <v>662</v>
      </c>
      <c r="M2" s="127" t="s">
        <v>663</v>
      </c>
      <c r="N2" s="127" t="s">
        <v>664</v>
      </c>
      <c r="O2" s="127" t="s">
        <v>665</v>
      </c>
      <c r="P2" s="277" t="s">
        <v>5067</v>
      </c>
      <c r="R2" s="76" t="s">
        <v>632</v>
      </c>
      <c r="S2" s="76" t="s">
        <v>633</v>
      </c>
      <c r="T2" s="216"/>
    </row>
    <row r="3" spans="1:33" hidden="1">
      <c r="A3" s="82" t="s">
        <v>5267</v>
      </c>
      <c r="B3" s="77" t="s">
        <v>107</v>
      </c>
      <c r="C3" s="82" t="s">
        <v>5268</v>
      </c>
      <c r="D3" s="77" t="s">
        <v>47</v>
      </c>
      <c r="E3" s="114" t="s">
        <v>91</v>
      </c>
      <c r="F3" s="77" t="s">
        <v>1732</v>
      </c>
      <c r="G3" s="77" t="s">
        <v>928</v>
      </c>
      <c r="H3" s="359">
        <v>15000</v>
      </c>
      <c r="I3" s="113">
        <f>J3-H3</f>
        <v>5000</v>
      </c>
      <c r="J3" s="359">
        <v>20000</v>
      </c>
      <c r="K3" s="124" t="s">
        <v>5279</v>
      </c>
      <c r="L3" s="123"/>
      <c r="M3" s="123"/>
      <c r="N3" s="124"/>
      <c r="O3" s="300"/>
      <c r="P3" s="81"/>
      <c r="R3" s="73" t="str">
        <f>LEFT(C3,3)</f>
        <v>311</v>
      </c>
      <c r="S3" s="73" t="str">
        <f>LEFT(C3,2)</f>
        <v>31</v>
      </c>
      <c r="T3" s="73" t="str">
        <f>MID(G3,2,2)</f>
        <v>80</v>
      </c>
    </row>
    <row r="4" spans="1:33" hidden="1">
      <c r="A4" s="82" t="s">
        <v>5267</v>
      </c>
      <c r="B4" s="77" t="s">
        <v>107</v>
      </c>
      <c r="C4" s="82" t="s">
        <v>5269</v>
      </c>
      <c r="D4" s="77" t="s">
        <v>51</v>
      </c>
      <c r="E4" s="114" t="s">
        <v>91</v>
      </c>
      <c r="F4" s="77" t="s">
        <v>1732</v>
      </c>
      <c r="G4" s="77" t="s">
        <v>928</v>
      </c>
      <c r="H4" s="359">
        <v>3000</v>
      </c>
      <c r="I4" s="113">
        <f t="shared" ref="I4:I23" si="0">J4-H4</f>
        <v>2000</v>
      </c>
      <c r="J4" s="359">
        <v>5000</v>
      </c>
      <c r="K4" s="124" t="s">
        <v>5279</v>
      </c>
      <c r="L4" s="123"/>
      <c r="M4" s="123"/>
      <c r="N4" s="124"/>
      <c r="O4" s="300"/>
      <c r="P4" s="81"/>
      <c r="R4" s="73" t="str">
        <f>LEFT(C4,3)</f>
        <v>313</v>
      </c>
      <c r="S4" s="73" t="str">
        <f>LEFT(C4,2)</f>
        <v>31</v>
      </c>
      <c r="T4" s="73" t="str">
        <f>MID(G4,2,2)</f>
        <v>80</v>
      </c>
    </row>
    <row r="5" spans="1:33" hidden="1">
      <c r="A5" s="82" t="s">
        <v>5267</v>
      </c>
      <c r="B5" s="77" t="s">
        <v>107</v>
      </c>
      <c r="C5" s="82" t="s">
        <v>5270</v>
      </c>
      <c r="D5" s="77" t="s">
        <v>78</v>
      </c>
      <c r="E5" s="114" t="s">
        <v>91</v>
      </c>
      <c r="F5" s="77" t="s">
        <v>1732</v>
      </c>
      <c r="G5" s="77" t="s">
        <v>928</v>
      </c>
      <c r="H5" s="359">
        <v>30000</v>
      </c>
      <c r="I5" s="113">
        <f t="shared" si="0"/>
        <v>0</v>
      </c>
      <c r="J5" s="359">
        <v>30000</v>
      </c>
      <c r="K5" s="124" t="s">
        <v>5279</v>
      </c>
      <c r="L5" s="123"/>
      <c r="M5" s="123"/>
      <c r="N5" s="124"/>
      <c r="O5" s="300"/>
      <c r="P5" s="81"/>
      <c r="R5" s="73" t="str">
        <f t="shared" ref="R5:R58" si="1">LEFT(C5,3)</f>
        <v>321</v>
      </c>
      <c r="S5" s="73" t="str">
        <f t="shared" ref="S5:S58" si="2">LEFT(C5,2)</f>
        <v>32</v>
      </c>
      <c r="T5" s="73" t="str">
        <f t="shared" ref="T5:T58" si="3">MID(G5,2,2)</f>
        <v>80</v>
      </c>
      <c r="X5" s="78"/>
      <c r="Y5" s="78"/>
    </row>
    <row r="6" spans="1:33" hidden="1">
      <c r="A6" s="82" t="s">
        <v>5267</v>
      </c>
      <c r="B6" s="77" t="s">
        <v>107</v>
      </c>
      <c r="C6" s="82" t="s">
        <v>5271</v>
      </c>
      <c r="D6" s="77" t="s">
        <v>79</v>
      </c>
      <c r="E6" s="114" t="s">
        <v>91</v>
      </c>
      <c r="F6" s="77" t="s">
        <v>1732</v>
      </c>
      <c r="G6" s="77" t="s">
        <v>928</v>
      </c>
      <c r="H6" s="359">
        <v>1000</v>
      </c>
      <c r="I6" s="113">
        <f t="shared" si="0"/>
        <v>9000</v>
      </c>
      <c r="J6" s="359">
        <v>10000</v>
      </c>
      <c r="K6" s="124" t="s">
        <v>5279</v>
      </c>
      <c r="L6" s="123"/>
      <c r="M6" s="123"/>
      <c r="N6" s="124"/>
      <c r="O6" s="300"/>
      <c r="P6" s="81"/>
      <c r="R6" s="73" t="str">
        <f t="shared" si="1"/>
        <v>322</v>
      </c>
      <c r="S6" s="73" t="str">
        <f t="shared" si="2"/>
        <v>32</v>
      </c>
      <c r="T6" s="73" t="str">
        <f t="shared" si="3"/>
        <v>80</v>
      </c>
      <c r="U6" s="73" t="s">
        <v>40</v>
      </c>
      <c r="V6" s="73" t="s">
        <v>41</v>
      </c>
      <c r="X6" s="73">
        <v>3111</v>
      </c>
      <c r="Y6" s="73" t="s">
        <v>47</v>
      </c>
      <c r="AA6" s="73" t="str">
        <f t="shared" ref="AA6:AA59" si="4">LEFT(X6,2)</f>
        <v>31</v>
      </c>
      <c r="AB6" s="73" t="str">
        <f>LEFT(X6,3)</f>
        <v>311</v>
      </c>
      <c r="AD6" s="73" t="s">
        <v>42</v>
      </c>
      <c r="AE6" s="73" t="s">
        <v>43</v>
      </c>
    </row>
    <row r="7" spans="1:33" hidden="1">
      <c r="A7" s="82" t="s">
        <v>5267</v>
      </c>
      <c r="B7" s="77" t="s">
        <v>107</v>
      </c>
      <c r="C7" s="82" t="s">
        <v>5272</v>
      </c>
      <c r="D7" s="77" t="s">
        <v>77</v>
      </c>
      <c r="E7" s="114" t="s">
        <v>91</v>
      </c>
      <c r="F7" s="77" t="s">
        <v>1732</v>
      </c>
      <c r="G7" s="77" t="s">
        <v>928</v>
      </c>
      <c r="H7" s="359">
        <v>2000</v>
      </c>
      <c r="I7" s="113">
        <f t="shared" si="0"/>
        <v>8000</v>
      </c>
      <c r="J7" s="359">
        <v>10000</v>
      </c>
      <c r="K7" s="124" t="s">
        <v>5279</v>
      </c>
      <c r="L7" s="123"/>
      <c r="M7" s="123"/>
      <c r="N7" s="124"/>
      <c r="O7" s="300"/>
      <c r="P7" s="81"/>
      <c r="R7" s="73" t="str">
        <f t="shared" si="1"/>
        <v>323</v>
      </c>
      <c r="S7" s="73" t="str">
        <f t="shared" si="2"/>
        <v>32</v>
      </c>
      <c r="T7" s="73" t="str">
        <f t="shared" si="3"/>
        <v>80</v>
      </c>
      <c r="U7" s="73">
        <v>11</v>
      </c>
      <c r="V7" s="73" t="s">
        <v>46</v>
      </c>
      <c r="X7" s="73">
        <v>3112</v>
      </c>
      <c r="Y7" s="73" t="s">
        <v>144</v>
      </c>
      <c r="AA7" s="73" t="str">
        <f t="shared" si="4"/>
        <v>31</v>
      </c>
      <c r="AB7" s="73" t="str">
        <f t="shared" ref="AB7:AB60" si="5">LEFT(X7,3)</f>
        <v>311</v>
      </c>
      <c r="AD7" s="73" t="s">
        <v>694</v>
      </c>
      <c r="AE7" s="73" t="s">
        <v>694</v>
      </c>
      <c r="AF7" s="73" t="s">
        <v>694</v>
      </c>
      <c r="AG7" s="73" t="s">
        <v>694</v>
      </c>
    </row>
    <row r="8" spans="1:33" hidden="1">
      <c r="A8" s="82" t="s">
        <v>5267</v>
      </c>
      <c r="B8" s="77" t="s">
        <v>107</v>
      </c>
      <c r="C8" s="82" t="s">
        <v>5273</v>
      </c>
      <c r="D8" s="77" t="s">
        <v>66</v>
      </c>
      <c r="E8" s="114" t="s">
        <v>91</v>
      </c>
      <c r="F8" s="77" t="s">
        <v>1732</v>
      </c>
      <c r="G8" s="77" t="s">
        <v>928</v>
      </c>
      <c r="H8" s="359">
        <v>30000</v>
      </c>
      <c r="I8" s="113">
        <f t="shared" si="0"/>
        <v>0</v>
      </c>
      <c r="J8" s="359">
        <v>30000</v>
      </c>
      <c r="K8" s="124" t="s">
        <v>5279</v>
      </c>
      <c r="L8" s="123"/>
      <c r="M8" s="123"/>
      <c r="N8" s="124"/>
      <c r="O8" s="300"/>
      <c r="P8" s="81"/>
      <c r="R8" s="73" t="str">
        <f t="shared" si="1"/>
        <v>323</v>
      </c>
      <c r="S8" s="73" t="str">
        <f t="shared" si="2"/>
        <v>32</v>
      </c>
      <c r="T8" s="73" t="str">
        <f t="shared" si="3"/>
        <v>80</v>
      </c>
      <c r="U8" s="73">
        <v>12</v>
      </c>
      <c r="V8" s="73" t="s">
        <v>228</v>
      </c>
      <c r="X8" s="73">
        <v>3113</v>
      </c>
      <c r="Y8" s="73" t="s">
        <v>123</v>
      </c>
      <c r="AA8" s="73" t="str">
        <f t="shared" si="4"/>
        <v>31</v>
      </c>
      <c r="AB8" s="73" t="str">
        <f t="shared" si="5"/>
        <v>311</v>
      </c>
      <c r="AD8" s="73" t="s">
        <v>1164</v>
      </c>
      <c r="AE8" s="73" t="s">
        <v>1165</v>
      </c>
      <c r="AF8" s="73" t="str">
        <f>LEFT(AD8,7)</f>
        <v>K578051</v>
      </c>
      <c r="AG8" s="73" t="str">
        <f>VLOOKUP(AF8,AKT!$C$4:$E$324,3,FALSE)</f>
        <v>0150</v>
      </c>
    </row>
    <row r="9" spans="1:33" hidden="1">
      <c r="A9" s="82" t="s">
        <v>5267</v>
      </c>
      <c r="B9" s="77" t="s">
        <v>107</v>
      </c>
      <c r="C9" s="82" t="s">
        <v>5274</v>
      </c>
      <c r="D9" s="77" t="s">
        <v>82</v>
      </c>
      <c r="E9" s="114" t="s">
        <v>91</v>
      </c>
      <c r="F9" s="77" t="s">
        <v>1732</v>
      </c>
      <c r="G9" s="77" t="s">
        <v>928</v>
      </c>
      <c r="H9" s="359">
        <v>1000</v>
      </c>
      <c r="I9" s="113">
        <f t="shared" si="0"/>
        <v>4000</v>
      </c>
      <c r="J9" s="359">
        <v>5000</v>
      </c>
      <c r="K9" s="124" t="s">
        <v>5279</v>
      </c>
      <c r="L9" s="123"/>
      <c r="M9" s="123"/>
      <c r="N9" s="124"/>
      <c r="O9" s="300"/>
      <c r="P9" s="81"/>
      <c r="R9" s="73" t="str">
        <f t="shared" ref="R9" si="6">LEFT(C9,3)</f>
        <v>323</v>
      </c>
      <c r="S9" s="73" t="str">
        <f t="shared" ref="S9" si="7">LEFT(C9,2)</f>
        <v>32</v>
      </c>
      <c r="T9" s="73" t="str">
        <f t="shared" ref="T9" si="8">MID(G9,2,2)</f>
        <v>80</v>
      </c>
      <c r="U9" s="73">
        <v>31</v>
      </c>
      <c r="V9" s="73" t="s">
        <v>90</v>
      </c>
      <c r="X9" s="73">
        <v>3114</v>
      </c>
      <c r="Y9" s="73" t="s">
        <v>145</v>
      </c>
      <c r="AA9" s="73" t="str">
        <f t="shared" ref="AA9" si="9">LEFT(X9,2)</f>
        <v>31</v>
      </c>
      <c r="AB9" s="73" t="str">
        <f t="shared" ref="AB9" si="10">LEFT(X9,3)</f>
        <v>311</v>
      </c>
      <c r="AD9" s="73" t="s">
        <v>1166</v>
      </c>
      <c r="AE9" s="73" t="s">
        <v>1167</v>
      </c>
      <c r="AF9" s="73" t="str">
        <f t="shared" ref="AF9" si="11">LEFT(AD9,7)</f>
        <v>K578051</v>
      </c>
      <c r="AG9" s="73" t="str">
        <f>VLOOKUP(AF9,AKT!$C$4:$E$324,3,FALSE)</f>
        <v>0150</v>
      </c>
    </row>
    <row r="10" spans="1:33" hidden="1">
      <c r="A10" s="82" t="s">
        <v>5267</v>
      </c>
      <c r="B10" s="77" t="s">
        <v>107</v>
      </c>
      <c r="C10" s="82" t="s">
        <v>5275</v>
      </c>
      <c r="D10" s="77" t="s">
        <v>83</v>
      </c>
      <c r="E10" s="114" t="s">
        <v>91</v>
      </c>
      <c r="F10" s="77" t="s">
        <v>1732</v>
      </c>
      <c r="G10" s="77" t="s">
        <v>928</v>
      </c>
      <c r="H10" s="359">
        <v>10000</v>
      </c>
      <c r="I10" s="113">
        <f t="shared" si="0"/>
        <v>0</v>
      </c>
      <c r="J10" s="359">
        <v>10000</v>
      </c>
      <c r="K10" s="124" t="s">
        <v>5279</v>
      </c>
      <c r="L10" s="123"/>
      <c r="M10" s="123"/>
      <c r="N10" s="124"/>
      <c r="O10" s="300"/>
      <c r="P10" s="81"/>
      <c r="R10" s="73" t="str">
        <f t="shared" si="1"/>
        <v>329</v>
      </c>
      <c r="S10" s="73" t="str">
        <f t="shared" si="2"/>
        <v>32</v>
      </c>
      <c r="T10" s="73" t="str">
        <f t="shared" si="3"/>
        <v>80</v>
      </c>
      <c r="U10" s="73">
        <v>31</v>
      </c>
      <c r="V10" s="73" t="s">
        <v>90</v>
      </c>
      <c r="X10" s="73">
        <v>3114</v>
      </c>
      <c r="Y10" s="73" t="s">
        <v>145</v>
      </c>
      <c r="AA10" s="73" t="str">
        <f t="shared" si="4"/>
        <v>31</v>
      </c>
      <c r="AB10" s="73" t="str">
        <f t="shared" si="5"/>
        <v>311</v>
      </c>
      <c r="AD10" s="73" t="s">
        <v>1166</v>
      </c>
      <c r="AE10" s="73" t="s">
        <v>1167</v>
      </c>
      <c r="AF10" s="73" t="str">
        <f t="shared" ref="AF10:AF62" si="12">LEFT(AD10,7)</f>
        <v>K578051</v>
      </c>
      <c r="AG10" s="73" t="str">
        <f>VLOOKUP(AF10,AKT!$C$4:$E$324,3,FALSE)</f>
        <v>0150</v>
      </c>
    </row>
    <row r="11" spans="1:33" hidden="1">
      <c r="A11" s="82" t="s">
        <v>5267</v>
      </c>
      <c r="B11" s="77" t="s">
        <v>107</v>
      </c>
      <c r="C11" s="82" t="s">
        <v>5276</v>
      </c>
      <c r="D11" s="77" t="s">
        <v>57</v>
      </c>
      <c r="E11" s="114" t="s">
        <v>91</v>
      </c>
      <c r="F11" s="77" t="s">
        <v>1732</v>
      </c>
      <c r="G11" s="77" t="s">
        <v>928</v>
      </c>
      <c r="H11" s="359">
        <v>5000</v>
      </c>
      <c r="I11" s="113">
        <f t="shared" si="0"/>
        <v>0</v>
      </c>
      <c r="J11" s="359">
        <v>5000</v>
      </c>
      <c r="K11" s="124" t="s">
        <v>5279</v>
      </c>
      <c r="L11" s="123"/>
      <c r="M11" s="123"/>
      <c r="N11" s="124"/>
      <c r="O11" s="300"/>
      <c r="P11" s="81"/>
      <c r="R11" s="73" t="str">
        <f t="shared" si="1"/>
        <v>329</v>
      </c>
      <c r="S11" s="73" t="str">
        <f t="shared" si="2"/>
        <v>32</v>
      </c>
      <c r="T11" s="73" t="str">
        <f t="shared" si="3"/>
        <v>80</v>
      </c>
      <c r="U11" s="73">
        <v>51</v>
      </c>
      <c r="V11" s="73" t="s">
        <v>85</v>
      </c>
      <c r="X11" s="73">
        <v>3211</v>
      </c>
      <c r="Y11" s="73" t="s">
        <v>78</v>
      </c>
      <c r="AA11" s="73" t="str">
        <f t="shared" si="4"/>
        <v>32</v>
      </c>
      <c r="AB11" s="73" t="str">
        <f t="shared" si="5"/>
        <v>321</v>
      </c>
      <c r="AD11" s="73" t="s">
        <v>1171</v>
      </c>
      <c r="AE11" s="73" t="s">
        <v>1172</v>
      </c>
      <c r="AF11" s="73" t="str">
        <f t="shared" si="12"/>
        <v>K578051</v>
      </c>
      <c r="AG11" s="73" t="str">
        <f>VLOOKUP(AF11,AKT!$C$4:$E$324,3,FALSE)</f>
        <v>0150</v>
      </c>
    </row>
    <row r="12" spans="1:33" hidden="1">
      <c r="A12" s="82" t="s">
        <v>5267</v>
      </c>
      <c r="B12" s="77" t="s">
        <v>107</v>
      </c>
      <c r="C12" s="82" t="s">
        <v>5277</v>
      </c>
      <c r="D12" s="77" t="s">
        <v>103</v>
      </c>
      <c r="E12" s="114" t="s">
        <v>91</v>
      </c>
      <c r="F12" s="77" t="s">
        <v>1732</v>
      </c>
      <c r="G12" s="77" t="s">
        <v>928</v>
      </c>
      <c r="H12" s="359">
        <v>300000</v>
      </c>
      <c r="I12" s="113">
        <f t="shared" si="0"/>
        <v>0</v>
      </c>
      <c r="J12" s="359">
        <v>300000</v>
      </c>
      <c r="K12" s="124" t="s">
        <v>5279</v>
      </c>
      <c r="L12" s="123"/>
      <c r="M12" s="123"/>
      <c r="N12" s="124"/>
      <c r="O12" s="300"/>
      <c r="P12" s="81"/>
      <c r="Q12" s="318"/>
      <c r="R12" s="73" t="str">
        <f t="shared" si="1"/>
        <v>372</v>
      </c>
      <c r="S12" s="73" t="str">
        <f t="shared" si="2"/>
        <v>37</v>
      </c>
      <c r="T12" s="73" t="str">
        <f t="shared" si="3"/>
        <v>80</v>
      </c>
      <c r="U12" s="73">
        <v>52</v>
      </c>
      <c r="V12" s="73" t="s">
        <v>107</v>
      </c>
      <c r="X12" s="73">
        <v>3212</v>
      </c>
      <c r="Y12" s="73" t="s">
        <v>52</v>
      </c>
      <c r="AA12" s="73" t="str">
        <f t="shared" si="4"/>
        <v>32</v>
      </c>
      <c r="AB12" s="73" t="str">
        <f t="shared" si="5"/>
        <v>321</v>
      </c>
      <c r="AD12" s="73" t="s">
        <v>1173</v>
      </c>
      <c r="AE12" s="73" t="s">
        <v>1174</v>
      </c>
      <c r="AF12" s="73" t="str">
        <f t="shared" si="12"/>
        <v>K578051</v>
      </c>
      <c r="AG12" s="73" t="str">
        <f>VLOOKUP(AF12,AKT!$C$4:$E$324,3,FALSE)</f>
        <v>0150</v>
      </c>
    </row>
    <row r="13" spans="1:33" hidden="1">
      <c r="A13" s="82" t="s">
        <v>5267</v>
      </c>
      <c r="B13" s="77" t="s">
        <v>107</v>
      </c>
      <c r="C13" s="82" t="s">
        <v>5276</v>
      </c>
      <c r="D13" s="77" t="s">
        <v>57</v>
      </c>
      <c r="E13" s="114" t="s">
        <v>91</v>
      </c>
      <c r="F13" s="77" t="s">
        <v>1732</v>
      </c>
      <c r="G13" s="77" t="s">
        <v>928</v>
      </c>
      <c r="H13" s="359">
        <v>90126</v>
      </c>
      <c r="I13" s="113">
        <f t="shared" si="0"/>
        <v>0</v>
      </c>
      <c r="J13" s="359">
        <v>90126</v>
      </c>
      <c r="K13" s="124" t="s">
        <v>5279</v>
      </c>
      <c r="L13" s="123"/>
      <c r="M13" s="123"/>
      <c r="N13" s="124"/>
      <c r="O13" s="300"/>
      <c r="P13" s="81"/>
      <c r="R13" s="73" t="str">
        <f t="shared" si="1"/>
        <v>329</v>
      </c>
      <c r="S13" s="73" t="str">
        <f t="shared" si="2"/>
        <v>32</v>
      </c>
      <c r="T13" s="73" t="str">
        <f t="shared" si="3"/>
        <v>80</v>
      </c>
      <c r="U13">
        <v>552</v>
      </c>
      <c r="V13" t="s">
        <v>1205</v>
      </c>
      <c r="X13" s="73">
        <v>3213</v>
      </c>
      <c r="Y13" s="73" t="s">
        <v>96</v>
      </c>
      <c r="AA13" s="73" t="str">
        <f t="shared" si="4"/>
        <v>32</v>
      </c>
      <c r="AB13" s="73" t="str">
        <f t="shared" si="5"/>
        <v>321</v>
      </c>
      <c r="AD13" s="73" t="s">
        <v>1175</v>
      </c>
      <c r="AE13" s="73" t="s">
        <v>1176</v>
      </c>
      <c r="AF13" s="73" t="str">
        <f t="shared" si="12"/>
        <v>K578051</v>
      </c>
      <c r="AG13" s="73" t="str">
        <f>VLOOKUP(AF13,AKT!$C$4:$E$324,3,FALSE)</f>
        <v>0150</v>
      </c>
    </row>
    <row r="14" spans="1:33" hidden="1">
      <c r="A14" s="82" t="s">
        <v>5267</v>
      </c>
      <c r="B14" s="77" t="s">
        <v>107</v>
      </c>
      <c r="C14" s="82">
        <v>3693</v>
      </c>
      <c r="D14" s="77" t="s">
        <v>5278</v>
      </c>
      <c r="E14" s="114" t="s">
        <v>91</v>
      </c>
      <c r="F14" s="77" t="s">
        <v>1732</v>
      </c>
      <c r="G14" s="77" t="s">
        <v>928</v>
      </c>
      <c r="H14" s="359">
        <v>0</v>
      </c>
      <c r="I14" s="113">
        <f t="shared" si="0"/>
        <v>167098</v>
      </c>
      <c r="J14" s="359">
        <v>167098</v>
      </c>
      <c r="K14" s="124" t="s">
        <v>5279</v>
      </c>
      <c r="L14" s="123"/>
      <c r="M14" s="123"/>
      <c r="N14" s="124"/>
      <c r="O14" s="300"/>
      <c r="P14" s="81"/>
      <c r="R14" s="73" t="str">
        <f t="shared" ref="R14" si="13">LEFT(C14,3)</f>
        <v>369</v>
      </c>
      <c r="S14" s="73" t="str">
        <f t="shared" ref="S14" si="14">LEFT(C14,2)</f>
        <v>36</v>
      </c>
      <c r="T14" s="73" t="str">
        <f t="shared" ref="T14" si="15">MID(G14,2,2)</f>
        <v>80</v>
      </c>
      <c r="U14">
        <v>559</v>
      </c>
      <c r="V14" t="s">
        <v>1206</v>
      </c>
      <c r="X14" s="73">
        <v>3214</v>
      </c>
      <c r="Y14" s="73" t="s">
        <v>124</v>
      </c>
      <c r="AA14" s="73" t="str">
        <f t="shared" ref="AA14" si="16">LEFT(X14,2)</f>
        <v>32</v>
      </c>
      <c r="AB14" s="73" t="str">
        <f t="shared" ref="AB14" si="17">LEFT(X14,3)</f>
        <v>321</v>
      </c>
      <c r="AD14" s="73" t="s">
        <v>1177</v>
      </c>
      <c r="AE14" s="73" t="s">
        <v>1178</v>
      </c>
      <c r="AF14" s="73" t="str">
        <f t="shared" ref="AF14" si="18">LEFT(AD14,7)</f>
        <v>K578051</v>
      </c>
      <c r="AG14" s="73" t="str">
        <f>VLOOKUP(AF14,AKT!$C$4:$E$324,3,FALSE)</f>
        <v>0150</v>
      </c>
    </row>
    <row r="15" spans="1:33" hidden="1">
      <c r="A15" s="82">
        <v>52</v>
      </c>
      <c r="B15" s="77" t="s">
        <v>107</v>
      </c>
      <c r="C15" s="82">
        <v>3211</v>
      </c>
      <c r="D15" s="77" t="s">
        <v>78</v>
      </c>
      <c r="E15" s="114" t="s">
        <v>91</v>
      </c>
      <c r="F15" s="77" t="s">
        <v>1732</v>
      </c>
      <c r="G15" s="77" t="s">
        <v>928</v>
      </c>
      <c r="H15" s="359">
        <v>0</v>
      </c>
      <c r="I15" s="113">
        <f t="shared" si="0"/>
        <v>6582</v>
      </c>
      <c r="J15" s="359">
        <v>6582</v>
      </c>
      <c r="K15" s="124" t="s">
        <v>5280</v>
      </c>
      <c r="L15" s="123"/>
      <c r="M15" s="123"/>
      <c r="N15" s="124"/>
      <c r="O15" s="300"/>
      <c r="P15" s="81"/>
      <c r="R15" s="73" t="str">
        <f t="shared" si="1"/>
        <v>321</v>
      </c>
      <c r="S15" s="73" t="str">
        <f t="shared" si="2"/>
        <v>32</v>
      </c>
      <c r="T15" s="73" t="str">
        <f t="shared" si="3"/>
        <v>80</v>
      </c>
      <c r="U15" s="73">
        <v>563</v>
      </c>
      <c r="V15" s="73" t="s">
        <v>111</v>
      </c>
      <c r="X15" s="73">
        <v>3222</v>
      </c>
      <c r="Y15" s="73" t="s">
        <v>98</v>
      </c>
      <c r="AA15" s="73" t="str">
        <f t="shared" si="4"/>
        <v>32</v>
      </c>
      <c r="AB15" s="73" t="str">
        <f t="shared" si="5"/>
        <v>322</v>
      </c>
      <c r="AD15" s="73" t="s">
        <v>1129</v>
      </c>
      <c r="AE15" s="73" t="s">
        <v>1130</v>
      </c>
      <c r="AF15" s="73" t="str">
        <f t="shared" si="12"/>
        <v>K818050</v>
      </c>
      <c r="AG15" s="73" t="str">
        <f>VLOOKUP(AF15,AKT!$C$4:$E$324,3,FALSE)</f>
        <v>0950</v>
      </c>
    </row>
    <row r="16" spans="1:33" hidden="1">
      <c r="A16" s="82">
        <v>52</v>
      </c>
      <c r="B16" s="77" t="s">
        <v>107</v>
      </c>
      <c r="C16" s="82" t="s">
        <v>5275</v>
      </c>
      <c r="D16" s="77" t="s">
        <v>83</v>
      </c>
      <c r="E16" s="114" t="s">
        <v>91</v>
      </c>
      <c r="F16" s="77" t="s">
        <v>1732</v>
      </c>
      <c r="G16" s="77" t="s">
        <v>928</v>
      </c>
      <c r="H16" s="359">
        <v>0</v>
      </c>
      <c r="I16" s="113">
        <f t="shared" si="0"/>
        <v>6580</v>
      </c>
      <c r="J16" s="359">
        <v>6580</v>
      </c>
      <c r="K16" s="124" t="s">
        <v>5280</v>
      </c>
      <c r="L16" s="123"/>
      <c r="M16" s="123"/>
      <c r="N16" s="124"/>
      <c r="O16" s="300"/>
      <c r="P16" s="81"/>
      <c r="R16" s="73" t="str">
        <f t="shared" si="1"/>
        <v>329</v>
      </c>
      <c r="S16" s="73" t="str">
        <f t="shared" si="2"/>
        <v>32</v>
      </c>
      <c r="T16" s="73" t="str">
        <f t="shared" si="3"/>
        <v>80</v>
      </c>
      <c r="U16">
        <v>575</v>
      </c>
      <c r="V16" t="s">
        <v>1217</v>
      </c>
      <c r="X16" s="73">
        <v>3224</v>
      </c>
      <c r="Y16" s="73" t="s">
        <v>92</v>
      </c>
      <c r="AA16" s="73" t="str">
        <f t="shared" si="4"/>
        <v>32</v>
      </c>
      <c r="AB16" s="73" t="str">
        <f t="shared" si="5"/>
        <v>322</v>
      </c>
      <c r="AD16" s="73" t="s">
        <v>1133</v>
      </c>
      <c r="AE16" s="73" t="s">
        <v>1134</v>
      </c>
      <c r="AF16" s="73" t="str">
        <f t="shared" si="12"/>
        <v>K818050</v>
      </c>
      <c r="AG16" s="73" t="str">
        <f>VLOOKUP(AF16,AKT!$C$4:$E$324,3,FALSE)</f>
        <v>0950</v>
      </c>
    </row>
    <row r="17" spans="1:33" hidden="1">
      <c r="A17" s="82">
        <v>52</v>
      </c>
      <c r="B17" s="77" t="s">
        <v>107</v>
      </c>
      <c r="C17" s="82" t="s">
        <v>5272</v>
      </c>
      <c r="D17" s="77" t="s">
        <v>77</v>
      </c>
      <c r="E17" s="114" t="s">
        <v>91</v>
      </c>
      <c r="F17" s="77" t="s">
        <v>1732</v>
      </c>
      <c r="G17" s="77" t="s">
        <v>928</v>
      </c>
      <c r="H17" s="359">
        <v>0</v>
      </c>
      <c r="I17" s="113">
        <f t="shared" si="0"/>
        <v>6580</v>
      </c>
      <c r="J17" s="359">
        <v>6580</v>
      </c>
      <c r="K17" s="124" t="s">
        <v>5280</v>
      </c>
      <c r="L17" s="123"/>
      <c r="M17" s="123"/>
      <c r="N17" s="124"/>
      <c r="O17" s="300"/>
      <c r="P17" s="81"/>
      <c r="R17" s="73" t="str">
        <f t="shared" si="1"/>
        <v>323</v>
      </c>
      <c r="S17" s="73" t="str">
        <f t="shared" si="2"/>
        <v>32</v>
      </c>
      <c r="T17" s="73" t="str">
        <f t="shared" si="3"/>
        <v>80</v>
      </c>
      <c r="U17" s="129">
        <v>576</v>
      </c>
      <c r="V17" s="163" t="s">
        <v>1697</v>
      </c>
      <c r="X17" s="73">
        <v>3225</v>
      </c>
      <c r="Y17" s="73" t="s">
        <v>99</v>
      </c>
      <c r="AA17" s="73" t="str">
        <f t="shared" si="4"/>
        <v>32</v>
      </c>
      <c r="AB17" s="73" t="str">
        <f t="shared" si="5"/>
        <v>322</v>
      </c>
      <c r="AD17" s="73" t="s">
        <v>1135</v>
      </c>
      <c r="AE17" s="73" t="s">
        <v>868</v>
      </c>
      <c r="AF17" s="73" t="str">
        <f t="shared" si="12"/>
        <v>K818050</v>
      </c>
      <c r="AG17" s="73" t="str">
        <f>VLOOKUP(AF17,AKT!$C$4:$E$324,3,FALSE)</f>
        <v>0950</v>
      </c>
    </row>
    <row r="18" spans="1:33" hidden="1">
      <c r="A18" s="82">
        <v>52</v>
      </c>
      <c r="B18" s="77" t="s">
        <v>107</v>
      </c>
      <c r="C18" s="82">
        <v>3111</v>
      </c>
      <c r="D18" s="77" t="s">
        <v>47</v>
      </c>
      <c r="E18" s="114" t="s">
        <v>91</v>
      </c>
      <c r="F18" s="77" t="s">
        <v>1732</v>
      </c>
      <c r="G18" s="77" t="s">
        <v>928</v>
      </c>
      <c r="H18" s="359">
        <v>0</v>
      </c>
      <c r="I18" s="113">
        <f t="shared" si="0"/>
        <v>6580</v>
      </c>
      <c r="J18" s="359">
        <v>6580</v>
      </c>
      <c r="K18" s="124" t="s">
        <v>5280</v>
      </c>
      <c r="L18" s="123"/>
      <c r="M18" s="123"/>
      <c r="N18" s="124"/>
      <c r="O18" s="300"/>
      <c r="P18" s="81"/>
      <c r="R18" s="73" t="str">
        <f t="shared" ref="R18" si="19">LEFT(C18,3)</f>
        <v>311</v>
      </c>
      <c r="S18" s="73" t="str">
        <f t="shared" ref="S18" si="20">LEFT(C18,2)</f>
        <v>31</v>
      </c>
      <c r="T18" s="73" t="str">
        <f t="shared" ref="T18" si="21">MID(G18,2,2)</f>
        <v>80</v>
      </c>
      <c r="U18" s="73">
        <v>81</v>
      </c>
      <c r="V18" s="73" t="s">
        <v>56</v>
      </c>
      <c r="X18" s="73">
        <v>3232</v>
      </c>
      <c r="Y18" s="73" t="s">
        <v>88</v>
      </c>
      <c r="AA18" s="73" t="str">
        <f t="shared" ref="AA18" si="22">LEFT(X18,2)</f>
        <v>32</v>
      </c>
      <c r="AB18" s="73" t="str">
        <f t="shared" ref="AB18" si="23">LEFT(X18,3)</f>
        <v>323</v>
      </c>
      <c r="AD18" s="73" t="s">
        <v>1140</v>
      </c>
      <c r="AE18" s="73" t="s">
        <v>1141</v>
      </c>
      <c r="AF18" s="73" t="str">
        <f t="shared" ref="AF18" si="24">LEFT(AD18,7)</f>
        <v>K818050</v>
      </c>
      <c r="AG18" s="73" t="str">
        <f>VLOOKUP(AF18,AKT!$C$4:$E$324,3,FALSE)</f>
        <v>0950</v>
      </c>
    </row>
    <row r="19" spans="1:33" hidden="1">
      <c r="A19" s="82">
        <v>52</v>
      </c>
      <c r="B19" s="77" t="s">
        <v>107</v>
      </c>
      <c r="C19" s="82">
        <v>3132</v>
      </c>
      <c r="D19" s="77" t="s">
        <v>51</v>
      </c>
      <c r="E19" s="114" t="s">
        <v>91</v>
      </c>
      <c r="F19" s="77" t="s">
        <v>1732</v>
      </c>
      <c r="G19" s="77" t="s">
        <v>928</v>
      </c>
      <c r="H19" s="359">
        <v>0</v>
      </c>
      <c r="I19" s="113">
        <f t="shared" si="0"/>
        <v>6580</v>
      </c>
      <c r="J19" s="359">
        <v>6580</v>
      </c>
      <c r="K19" s="124" t="s">
        <v>5280</v>
      </c>
      <c r="L19" s="123"/>
      <c r="M19" s="123"/>
      <c r="N19" s="124"/>
      <c r="O19" s="300"/>
      <c r="P19" s="81"/>
      <c r="Q19" s="318"/>
      <c r="R19" s="73" t="str">
        <f t="shared" si="1"/>
        <v>313</v>
      </c>
      <c r="S19" s="73" t="str">
        <f t="shared" si="2"/>
        <v>31</v>
      </c>
      <c r="T19" s="73" t="str">
        <f t="shared" si="3"/>
        <v>80</v>
      </c>
      <c r="U19" s="73">
        <v>61</v>
      </c>
      <c r="V19" s="73" t="s">
        <v>113</v>
      </c>
      <c r="X19" s="73">
        <v>3227</v>
      </c>
      <c r="Y19" s="73" t="s">
        <v>116</v>
      </c>
      <c r="AA19" s="73" t="str">
        <f t="shared" si="4"/>
        <v>32</v>
      </c>
      <c r="AB19" s="73" t="str">
        <f t="shared" si="5"/>
        <v>322</v>
      </c>
      <c r="AD19" s="73" t="s">
        <v>1137</v>
      </c>
      <c r="AE19" s="73" t="s">
        <v>872</v>
      </c>
      <c r="AF19" s="73" t="str">
        <f t="shared" si="12"/>
        <v>K818050</v>
      </c>
      <c r="AG19" s="73" t="str">
        <f>VLOOKUP(AF19,AKT!$C$4:$E$324,3,FALSE)</f>
        <v>0950</v>
      </c>
    </row>
    <row r="20" spans="1:33">
      <c r="A20" s="82">
        <v>12</v>
      </c>
      <c r="B20" s="77" t="s">
        <v>228</v>
      </c>
      <c r="C20" s="82" t="s">
        <v>5276</v>
      </c>
      <c r="D20" s="77" t="s">
        <v>57</v>
      </c>
      <c r="E20" s="114" t="s">
        <v>229</v>
      </c>
      <c r="F20" s="77" t="s">
        <v>1647</v>
      </c>
      <c r="G20" s="77" t="s">
        <v>928</v>
      </c>
      <c r="H20" s="359">
        <v>81416.818158454</v>
      </c>
      <c r="I20" s="113">
        <f t="shared" si="0"/>
        <v>-25226.818158454</v>
      </c>
      <c r="J20" s="359">
        <v>56190</v>
      </c>
      <c r="K20" s="124"/>
      <c r="L20" s="123"/>
      <c r="M20" s="123"/>
      <c r="N20" s="124"/>
      <c r="O20" s="300"/>
      <c r="P20" s="81"/>
      <c r="R20" s="73" t="str">
        <f t="shared" si="1"/>
        <v>329</v>
      </c>
      <c r="S20" s="73" t="str">
        <f t="shared" si="2"/>
        <v>32</v>
      </c>
      <c r="T20" s="73" t="str">
        <f t="shared" si="3"/>
        <v>80</v>
      </c>
      <c r="U20" s="73">
        <v>71</v>
      </c>
      <c r="V20" s="73" t="s">
        <v>171</v>
      </c>
      <c r="X20" s="73">
        <v>3231</v>
      </c>
      <c r="Y20" s="73" t="s">
        <v>100</v>
      </c>
      <c r="AA20" s="73" t="str">
        <f t="shared" si="4"/>
        <v>32</v>
      </c>
      <c r="AB20" s="73" t="str">
        <f t="shared" si="5"/>
        <v>323</v>
      </c>
      <c r="AD20" s="73" t="s">
        <v>1138</v>
      </c>
      <c r="AE20" s="73" t="s">
        <v>1139</v>
      </c>
      <c r="AF20" s="73" t="str">
        <f t="shared" si="12"/>
        <v>K818050</v>
      </c>
      <c r="AG20" s="73" t="str">
        <f>VLOOKUP(AF20,AKT!$C$4:$E$324,3,FALSE)</f>
        <v>0950</v>
      </c>
    </row>
    <row r="21" spans="1:33">
      <c r="A21" s="82">
        <v>563</v>
      </c>
      <c r="B21" s="77" t="s">
        <v>111</v>
      </c>
      <c r="C21" s="82" t="s">
        <v>5276</v>
      </c>
      <c r="D21" s="77" t="s">
        <v>57</v>
      </c>
      <c r="E21" s="114" t="s">
        <v>229</v>
      </c>
      <c r="F21" s="77" t="s">
        <v>1647</v>
      </c>
      <c r="G21" s="77" t="s">
        <v>928</v>
      </c>
      <c r="H21" s="359">
        <v>744695.30289790418</v>
      </c>
      <c r="I21" s="113">
        <f t="shared" si="0"/>
        <v>0</v>
      </c>
      <c r="J21" s="359">
        <v>744695.30289790418</v>
      </c>
      <c r="K21" s="124"/>
      <c r="L21" s="123"/>
      <c r="M21" s="123"/>
      <c r="N21" s="124"/>
      <c r="O21" s="300"/>
      <c r="P21" s="81"/>
      <c r="R21" s="73" t="str">
        <f t="shared" si="1"/>
        <v>329</v>
      </c>
      <c r="S21" s="73" t="str">
        <f t="shared" si="2"/>
        <v>32</v>
      </c>
      <c r="T21" s="73" t="str">
        <f t="shared" si="3"/>
        <v>80</v>
      </c>
      <c r="U21" s="73">
        <v>81</v>
      </c>
      <c r="V21" s="73" t="s">
        <v>56</v>
      </c>
      <c r="X21" s="73">
        <v>3232</v>
      </c>
      <c r="Y21" s="73" t="s">
        <v>88</v>
      </c>
      <c r="AA21" s="73" t="str">
        <f t="shared" si="4"/>
        <v>32</v>
      </c>
      <c r="AB21" s="73" t="str">
        <f t="shared" si="5"/>
        <v>323</v>
      </c>
      <c r="AD21" s="73" t="s">
        <v>1140</v>
      </c>
      <c r="AE21" s="73" t="s">
        <v>1141</v>
      </c>
      <c r="AF21" s="73" t="str">
        <f t="shared" si="12"/>
        <v>K818050</v>
      </c>
      <c r="AG21" s="73" t="str">
        <f>VLOOKUP(AF21,AKT!$C$4:$E$324,3,FALSE)</f>
        <v>0950</v>
      </c>
    </row>
    <row r="22" spans="1:33">
      <c r="A22" s="82">
        <v>12</v>
      </c>
      <c r="B22" s="77" t="s">
        <v>228</v>
      </c>
      <c r="C22" s="82" t="s">
        <v>5276</v>
      </c>
      <c r="D22" s="77" t="s">
        <v>57</v>
      </c>
      <c r="E22" s="114" t="s">
        <v>229</v>
      </c>
      <c r="F22" s="77" t="s">
        <v>1647</v>
      </c>
      <c r="G22" s="77" t="s">
        <v>928</v>
      </c>
      <c r="H22" s="359">
        <v>58603.942284069606</v>
      </c>
      <c r="I22" s="113">
        <f t="shared" si="0"/>
        <v>0</v>
      </c>
      <c r="J22" s="359">
        <v>58603.942284069606</v>
      </c>
      <c r="K22" s="124"/>
      <c r="L22" s="123"/>
      <c r="M22" s="123"/>
      <c r="N22" s="124"/>
      <c r="O22" s="300"/>
      <c r="P22" s="81"/>
      <c r="R22" s="73" t="str">
        <f t="shared" si="1"/>
        <v>329</v>
      </c>
      <c r="S22" s="73" t="str">
        <f t="shared" si="2"/>
        <v>32</v>
      </c>
      <c r="T22" s="73" t="str">
        <f t="shared" si="3"/>
        <v>80</v>
      </c>
      <c r="X22" s="73">
        <v>3234</v>
      </c>
      <c r="Y22" s="73" t="s">
        <v>89</v>
      </c>
      <c r="AA22" s="73" t="str">
        <f t="shared" si="4"/>
        <v>32</v>
      </c>
      <c r="AB22" s="73" t="str">
        <f t="shared" si="5"/>
        <v>323</v>
      </c>
      <c r="AD22" s="73" t="s">
        <v>1144</v>
      </c>
      <c r="AE22" s="73" t="s">
        <v>1145</v>
      </c>
      <c r="AF22" s="73" t="str">
        <f t="shared" si="12"/>
        <v>K818050</v>
      </c>
      <c r="AG22" s="73" t="str">
        <f>VLOOKUP(AF22,AKT!$C$4:$E$324,3,FALSE)</f>
        <v>0950</v>
      </c>
    </row>
    <row r="23" spans="1:33">
      <c r="A23" s="82">
        <v>563</v>
      </c>
      <c r="B23" s="77" t="s">
        <v>111</v>
      </c>
      <c r="C23" s="82" t="s">
        <v>5276</v>
      </c>
      <c r="D23" s="77" t="s">
        <v>57</v>
      </c>
      <c r="E23" s="114" t="s">
        <v>229</v>
      </c>
      <c r="F23" s="77" t="s">
        <v>1647</v>
      </c>
      <c r="G23" s="77" t="s">
        <v>928</v>
      </c>
      <c r="H23" s="359">
        <v>332089.00627639442</v>
      </c>
      <c r="I23" s="113">
        <f t="shared" si="0"/>
        <v>-265432.31627639441</v>
      </c>
      <c r="J23" s="359">
        <v>66656.69</v>
      </c>
      <c r="K23" s="124"/>
      <c r="L23" s="123"/>
      <c r="M23" s="123"/>
      <c r="N23" s="124"/>
      <c r="O23" s="300"/>
      <c r="P23" s="81"/>
      <c r="R23" s="73" t="str">
        <f t="shared" si="1"/>
        <v>329</v>
      </c>
      <c r="S23" s="73" t="str">
        <f t="shared" si="2"/>
        <v>32</v>
      </c>
      <c r="T23" s="73" t="str">
        <f t="shared" si="3"/>
        <v>80</v>
      </c>
      <c r="X23" s="73">
        <v>3235</v>
      </c>
      <c r="Y23" s="73" t="s">
        <v>108</v>
      </c>
      <c r="AA23" s="73" t="str">
        <f t="shared" si="4"/>
        <v>32</v>
      </c>
      <c r="AB23" s="73" t="str">
        <f t="shared" si="5"/>
        <v>323</v>
      </c>
      <c r="AD23" s="73" t="s">
        <v>1146</v>
      </c>
      <c r="AE23" s="73" t="s">
        <v>1147</v>
      </c>
      <c r="AF23" s="73" t="str">
        <f t="shared" si="12"/>
        <v>K818050</v>
      </c>
      <c r="AG23" s="73" t="str">
        <f>VLOOKUP(AF23,AKT!$C$4:$E$324,3,FALSE)</f>
        <v>0950</v>
      </c>
    </row>
    <row r="24" spans="1:33">
      <c r="A24" s="82"/>
      <c r="B24" s="77"/>
      <c r="C24" s="82"/>
      <c r="D24" s="77"/>
      <c r="E24" s="114"/>
      <c r="F24" s="77"/>
      <c r="G24" s="77"/>
      <c r="H24" s="359"/>
      <c r="I24" s="359"/>
      <c r="J24" s="359"/>
      <c r="K24" s="124"/>
      <c r="L24" s="123"/>
      <c r="M24" s="123"/>
      <c r="N24" s="124"/>
      <c r="O24" s="300"/>
      <c r="P24" s="81"/>
      <c r="R24" s="73" t="str">
        <f t="shared" si="1"/>
        <v/>
      </c>
      <c r="S24" s="73" t="str">
        <f t="shared" si="2"/>
        <v/>
      </c>
      <c r="T24" s="73" t="str">
        <f t="shared" si="3"/>
        <v/>
      </c>
      <c r="X24" s="73">
        <v>3236</v>
      </c>
      <c r="Y24" s="73" t="s">
        <v>53</v>
      </c>
      <c r="AA24" s="73" t="str">
        <f t="shared" si="4"/>
        <v>32</v>
      </c>
      <c r="AB24" s="73" t="str">
        <f t="shared" si="5"/>
        <v>323</v>
      </c>
      <c r="AD24" s="73" t="s">
        <v>1148</v>
      </c>
      <c r="AE24" s="73" t="s">
        <v>1149</v>
      </c>
      <c r="AF24" s="73" t="str">
        <f t="shared" si="12"/>
        <v>K818050</v>
      </c>
      <c r="AG24" s="73" t="str">
        <f>VLOOKUP(AF24,AKT!$C$4:$E$324,3,FALSE)</f>
        <v>0950</v>
      </c>
    </row>
    <row r="25" spans="1:33">
      <c r="A25" s="82"/>
      <c r="B25" s="77"/>
      <c r="C25" s="82"/>
      <c r="D25" s="77"/>
      <c r="E25" s="114"/>
      <c r="F25" s="77"/>
      <c r="G25" s="77"/>
      <c r="H25" s="359"/>
      <c r="I25" s="359"/>
      <c r="J25" s="359"/>
      <c r="K25" s="124"/>
      <c r="L25" s="123"/>
      <c r="M25" s="123"/>
      <c r="N25" s="124"/>
      <c r="O25" s="300"/>
      <c r="P25" s="81"/>
      <c r="R25" s="73" t="str">
        <f t="shared" si="1"/>
        <v/>
      </c>
      <c r="S25" s="73" t="str">
        <f t="shared" si="2"/>
        <v/>
      </c>
      <c r="T25" s="73" t="str">
        <f t="shared" si="3"/>
        <v/>
      </c>
      <c r="X25" s="73">
        <v>3237</v>
      </c>
      <c r="Y25" s="73" t="s">
        <v>66</v>
      </c>
      <c r="AA25" s="73" t="str">
        <f t="shared" si="4"/>
        <v>32</v>
      </c>
      <c r="AB25" s="73" t="str">
        <f t="shared" si="5"/>
        <v>323</v>
      </c>
      <c r="AD25" s="73" t="s">
        <v>1150</v>
      </c>
      <c r="AE25" s="73" t="s">
        <v>1151</v>
      </c>
      <c r="AF25" s="73" t="str">
        <f t="shared" si="12"/>
        <v>K818050</v>
      </c>
      <c r="AG25" s="73" t="str">
        <f>VLOOKUP(AF25,AKT!$C$4:$E$324,3,FALSE)</f>
        <v>0950</v>
      </c>
    </row>
    <row r="26" spans="1:33">
      <c r="A26" s="82"/>
      <c r="B26" s="77"/>
      <c r="C26" s="82"/>
      <c r="D26" s="77"/>
      <c r="E26" s="114"/>
      <c r="F26" s="77"/>
      <c r="G26" s="77"/>
      <c r="H26" s="359"/>
      <c r="I26" s="359"/>
      <c r="J26" s="359"/>
      <c r="K26" s="124"/>
      <c r="L26" s="123"/>
      <c r="M26" s="123"/>
      <c r="N26" s="124"/>
      <c r="O26" s="300"/>
      <c r="P26" s="81"/>
      <c r="R26" s="73" t="str">
        <f t="shared" si="1"/>
        <v/>
      </c>
      <c r="S26" s="73" t="str">
        <f t="shared" si="2"/>
        <v/>
      </c>
      <c r="T26" s="73" t="str">
        <f t="shared" si="3"/>
        <v/>
      </c>
      <c r="X26" s="73">
        <v>3238</v>
      </c>
      <c r="Y26" s="73" t="s">
        <v>101</v>
      </c>
      <c r="AA26" s="73" t="str">
        <f t="shared" si="4"/>
        <v>32</v>
      </c>
      <c r="AB26" s="73" t="str">
        <f t="shared" si="5"/>
        <v>323</v>
      </c>
      <c r="AD26" s="73" t="s">
        <v>1152</v>
      </c>
      <c r="AE26" s="73" t="s">
        <v>1153</v>
      </c>
      <c r="AF26" s="73" t="str">
        <f t="shared" si="12"/>
        <v>K818050</v>
      </c>
      <c r="AG26" s="73" t="str">
        <f>VLOOKUP(AF26,AKT!$C$4:$E$324,3,FALSE)</f>
        <v>0950</v>
      </c>
    </row>
    <row r="27" spans="1:33">
      <c r="A27" s="82"/>
      <c r="B27" s="77"/>
      <c r="C27" s="82"/>
      <c r="D27" s="77"/>
      <c r="E27" s="114"/>
      <c r="F27" s="77"/>
      <c r="G27" s="77"/>
      <c r="H27" s="359"/>
      <c r="I27" s="359"/>
      <c r="J27" s="359"/>
      <c r="K27" s="124"/>
      <c r="L27" s="123"/>
      <c r="M27" s="123"/>
      <c r="N27" s="124"/>
      <c r="O27" s="300"/>
      <c r="P27" s="81"/>
      <c r="R27" s="73" t="str">
        <f t="shared" si="1"/>
        <v/>
      </c>
      <c r="S27" s="73" t="str">
        <f t="shared" si="2"/>
        <v/>
      </c>
      <c r="T27" s="73" t="str">
        <f t="shared" si="3"/>
        <v/>
      </c>
      <c r="X27" s="73">
        <v>3239</v>
      </c>
      <c r="Y27" s="73" t="s">
        <v>82</v>
      </c>
      <c r="AA27" s="73" t="str">
        <f t="shared" si="4"/>
        <v>32</v>
      </c>
      <c r="AB27" s="73" t="str">
        <f t="shared" si="5"/>
        <v>323</v>
      </c>
      <c r="AD27" s="73" t="s">
        <v>1154</v>
      </c>
      <c r="AE27" s="73" t="s">
        <v>1155</v>
      </c>
      <c r="AF27" s="73" t="str">
        <f t="shared" si="12"/>
        <v>K818050</v>
      </c>
      <c r="AG27" s="73" t="str">
        <f>VLOOKUP(AF27,AKT!$C$4:$E$324,3,FALSE)</f>
        <v>0950</v>
      </c>
    </row>
    <row r="28" spans="1:33">
      <c r="A28" s="82"/>
      <c r="B28" s="77"/>
      <c r="C28" s="356"/>
      <c r="D28" s="77"/>
      <c r="E28" s="114"/>
      <c r="F28" s="77"/>
      <c r="G28" s="77"/>
      <c r="H28" s="359"/>
      <c r="I28" s="359"/>
      <c r="J28" s="359"/>
      <c r="K28" s="124"/>
      <c r="L28" s="123"/>
      <c r="M28" s="123"/>
      <c r="N28" s="124"/>
      <c r="O28" s="300"/>
      <c r="P28" s="81"/>
      <c r="R28" s="73" t="str">
        <f t="shared" si="1"/>
        <v/>
      </c>
      <c r="S28" s="73" t="str">
        <f t="shared" si="2"/>
        <v/>
      </c>
      <c r="T28" s="73" t="str">
        <f t="shared" si="3"/>
        <v/>
      </c>
      <c r="X28" s="73">
        <v>3291</v>
      </c>
      <c r="Y28" s="73" t="s">
        <v>81</v>
      </c>
      <c r="AA28" s="73" t="str">
        <f t="shared" si="4"/>
        <v>32</v>
      </c>
      <c r="AB28" s="73" t="str">
        <f t="shared" si="5"/>
        <v>329</v>
      </c>
      <c r="AD28" s="73" t="s">
        <v>1158</v>
      </c>
      <c r="AE28" s="73" t="s">
        <v>1159</v>
      </c>
      <c r="AF28" s="73" t="str">
        <f t="shared" si="12"/>
        <v>K818050</v>
      </c>
      <c r="AG28" s="73" t="str">
        <f>VLOOKUP(AF28,AKT!$C$4:$E$324,3,FALSE)</f>
        <v>0950</v>
      </c>
    </row>
    <row r="29" spans="1:33">
      <c r="A29" s="82"/>
      <c r="B29" s="77"/>
      <c r="C29" s="82"/>
      <c r="D29" s="77"/>
      <c r="E29" s="114"/>
      <c r="F29" s="77"/>
      <c r="G29" s="77"/>
      <c r="H29" s="359"/>
      <c r="I29" s="359"/>
      <c r="J29" s="359"/>
      <c r="K29" s="124"/>
      <c r="L29" s="123"/>
      <c r="M29" s="123"/>
      <c r="N29" s="124"/>
      <c r="O29" s="300"/>
      <c r="P29" s="81"/>
      <c r="R29" s="73" t="str">
        <f t="shared" si="1"/>
        <v/>
      </c>
      <c r="S29" s="73" t="str">
        <f t="shared" si="2"/>
        <v/>
      </c>
      <c r="T29" s="73" t="str">
        <f t="shared" si="3"/>
        <v/>
      </c>
      <c r="X29" s="73">
        <v>3292</v>
      </c>
      <c r="Y29" s="73" t="s">
        <v>74</v>
      </c>
      <c r="AA29" s="73" t="str">
        <f t="shared" si="4"/>
        <v>32</v>
      </c>
      <c r="AB29" s="73" t="str">
        <f t="shared" si="5"/>
        <v>329</v>
      </c>
      <c r="AD29" s="73" t="s">
        <v>1160</v>
      </c>
      <c r="AE29" s="73" t="s">
        <v>1161</v>
      </c>
      <c r="AF29" s="73" t="str">
        <f t="shared" si="12"/>
        <v>K818050</v>
      </c>
      <c r="AG29" s="73" t="str">
        <f>VLOOKUP(AF29,AKT!$C$4:$E$324,3,FALSE)</f>
        <v>0950</v>
      </c>
    </row>
    <row r="30" spans="1:33">
      <c r="A30" s="82"/>
      <c r="B30" s="77"/>
      <c r="C30" s="82"/>
      <c r="D30" s="77"/>
      <c r="E30" s="114"/>
      <c r="F30" s="77"/>
      <c r="G30" s="77"/>
      <c r="H30" s="359"/>
      <c r="I30" s="359"/>
      <c r="J30" s="359"/>
      <c r="K30" s="124"/>
      <c r="L30" s="123"/>
      <c r="M30" s="123"/>
      <c r="N30" s="124"/>
      <c r="O30" s="300"/>
      <c r="P30" s="81"/>
      <c r="R30" s="73" t="str">
        <f t="shared" si="1"/>
        <v/>
      </c>
      <c r="S30" s="73" t="str">
        <f t="shared" si="2"/>
        <v/>
      </c>
      <c r="T30" s="73" t="str">
        <f t="shared" si="3"/>
        <v/>
      </c>
      <c r="X30" s="73">
        <v>3293</v>
      </c>
      <c r="Y30" s="73" t="s">
        <v>83</v>
      </c>
      <c r="AA30" s="73" t="str">
        <f t="shared" si="4"/>
        <v>32</v>
      </c>
      <c r="AB30" s="73" t="str">
        <f t="shared" si="5"/>
        <v>329</v>
      </c>
      <c r="AD30" s="73" t="s">
        <v>1162</v>
      </c>
      <c r="AE30" s="73" t="s">
        <v>1163</v>
      </c>
      <c r="AF30" s="73" t="str">
        <f t="shared" si="12"/>
        <v>K818050</v>
      </c>
      <c r="AG30" s="73" t="str">
        <f>VLOOKUP(AF30,AKT!$C$4:$E$324,3,FALSE)</f>
        <v>0950</v>
      </c>
    </row>
    <row r="31" spans="1:33">
      <c r="A31" s="82"/>
      <c r="B31" s="77"/>
      <c r="C31" s="82"/>
      <c r="D31" s="77"/>
      <c r="E31" s="114"/>
      <c r="F31" s="77"/>
      <c r="G31" s="77"/>
      <c r="H31" s="359"/>
      <c r="I31" s="359"/>
      <c r="J31" s="359"/>
      <c r="K31" s="124"/>
      <c r="L31" s="123"/>
      <c r="M31" s="123"/>
      <c r="N31" s="124"/>
      <c r="O31" s="300"/>
      <c r="P31" s="81"/>
      <c r="R31" s="73" t="str">
        <f t="shared" si="1"/>
        <v/>
      </c>
      <c r="S31" s="73" t="str">
        <f t="shared" si="2"/>
        <v/>
      </c>
      <c r="T31" s="73" t="str">
        <f t="shared" si="3"/>
        <v/>
      </c>
      <c r="X31" s="73">
        <v>3294</v>
      </c>
      <c r="Y31" s="73" t="s">
        <v>84</v>
      </c>
      <c r="AA31" s="73" t="str">
        <f t="shared" si="4"/>
        <v>32</v>
      </c>
      <c r="AB31" s="73" t="str">
        <f t="shared" si="5"/>
        <v>329</v>
      </c>
      <c r="AD31" s="73" t="s">
        <v>2007</v>
      </c>
      <c r="AE31" s="73" t="s">
        <v>2008</v>
      </c>
      <c r="AF31" s="73" t="str">
        <f t="shared" si="12"/>
        <v>K818050</v>
      </c>
      <c r="AG31" s="73" t="str">
        <f>VLOOKUP(AF31,AKT!$C$4:$E$324,3,FALSE)</f>
        <v>0950</v>
      </c>
    </row>
    <row r="32" spans="1:33">
      <c r="A32" s="82"/>
      <c r="B32" s="77"/>
      <c r="C32" s="82"/>
      <c r="D32" s="77"/>
      <c r="E32" s="114"/>
      <c r="F32" s="77"/>
      <c r="G32" s="77"/>
      <c r="H32" s="113"/>
      <c r="I32" s="113"/>
      <c r="J32" s="113"/>
      <c r="K32" s="124"/>
      <c r="L32" s="123"/>
      <c r="M32" s="123"/>
      <c r="N32" s="124"/>
      <c r="O32" s="300"/>
      <c r="P32" s="81"/>
      <c r="R32" s="73" t="str">
        <f t="shared" si="1"/>
        <v/>
      </c>
      <c r="S32" s="73" t="str">
        <f t="shared" si="2"/>
        <v/>
      </c>
      <c r="T32" s="73" t="str">
        <f t="shared" si="3"/>
        <v/>
      </c>
      <c r="X32" s="73">
        <v>3295</v>
      </c>
      <c r="Y32" s="73" t="s">
        <v>54</v>
      </c>
      <c r="AA32" s="73" t="str">
        <f t="shared" si="4"/>
        <v>32</v>
      </c>
      <c r="AB32" s="73" t="str">
        <f t="shared" si="5"/>
        <v>329</v>
      </c>
      <c r="AD32" s="73" t="s">
        <v>695</v>
      </c>
      <c r="AE32" s="73" t="s">
        <v>696</v>
      </c>
      <c r="AF32" s="73" t="str">
        <f t="shared" si="12"/>
        <v>A679071</v>
      </c>
      <c r="AG32" s="73" t="str">
        <f>VLOOKUP(AF32,AKT!$C$4:$E$324,3,FALSE)</f>
        <v>0942</v>
      </c>
    </row>
    <row r="33" spans="1:33">
      <c r="A33" s="82"/>
      <c r="B33" s="77"/>
      <c r="C33" s="82"/>
      <c r="D33" s="77"/>
      <c r="E33" s="114"/>
      <c r="F33" s="77"/>
      <c r="G33" s="77"/>
      <c r="H33" s="113"/>
      <c r="I33" s="113"/>
      <c r="J33" s="113"/>
      <c r="K33" s="124"/>
      <c r="L33" s="123"/>
      <c r="M33" s="123"/>
      <c r="N33" s="124"/>
      <c r="O33" s="300"/>
      <c r="P33" s="81"/>
      <c r="R33" s="73" t="str">
        <f t="shared" si="1"/>
        <v/>
      </c>
      <c r="S33" s="73" t="str">
        <f t="shared" si="2"/>
        <v/>
      </c>
      <c r="T33" s="73" t="str">
        <f t="shared" si="3"/>
        <v/>
      </c>
      <c r="X33" s="73">
        <v>3296</v>
      </c>
      <c r="Y33" s="73" t="s">
        <v>146</v>
      </c>
      <c r="AA33" s="73" t="str">
        <f t="shared" si="4"/>
        <v>32</v>
      </c>
      <c r="AB33" s="73" t="str">
        <f t="shared" si="5"/>
        <v>329</v>
      </c>
      <c r="AD33" s="73" t="s">
        <v>697</v>
      </c>
      <c r="AE33" s="73" t="s">
        <v>698</v>
      </c>
      <c r="AF33" s="73" t="str">
        <f t="shared" si="12"/>
        <v>A679071</v>
      </c>
      <c r="AG33" s="73" t="str">
        <f>VLOOKUP(AF33,AKT!$C$4:$E$324,3,FALSE)</f>
        <v>0942</v>
      </c>
    </row>
    <row r="34" spans="1:33">
      <c r="A34" s="82"/>
      <c r="B34" s="77"/>
      <c r="C34" s="82"/>
      <c r="D34" s="77"/>
      <c r="E34" s="114"/>
      <c r="F34" s="77"/>
      <c r="G34" s="77"/>
      <c r="H34" s="113"/>
      <c r="I34" s="113"/>
      <c r="J34" s="113"/>
      <c r="K34" s="124"/>
      <c r="L34" s="123"/>
      <c r="M34" s="123"/>
      <c r="N34" s="124"/>
      <c r="O34" s="300"/>
      <c r="P34" s="81"/>
      <c r="Q34" s="318"/>
      <c r="R34" s="73" t="str">
        <f t="shared" si="1"/>
        <v/>
      </c>
      <c r="S34" s="73" t="str">
        <f t="shared" si="2"/>
        <v/>
      </c>
      <c r="T34" s="73" t="str">
        <f t="shared" si="3"/>
        <v/>
      </c>
      <c r="X34" s="73">
        <v>3299</v>
      </c>
      <c r="Y34" s="73" t="s">
        <v>57</v>
      </c>
      <c r="AA34" s="73" t="str">
        <f t="shared" si="4"/>
        <v>32</v>
      </c>
      <c r="AB34" s="73" t="str">
        <f t="shared" si="5"/>
        <v>329</v>
      </c>
      <c r="AD34" s="73" t="s">
        <v>699</v>
      </c>
      <c r="AE34" s="73" t="s">
        <v>700</v>
      </c>
      <c r="AF34" s="73" t="str">
        <f t="shared" si="12"/>
        <v>A679071</v>
      </c>
      <c r="AG34" s="73" t="str">
        <f>VLOOKUP(AF34,AKT!$C$4:$E$324,3,FALSE)</f>
        <v>0942</v>
      </c>
    </row>
    <row r="35" spans="1:33">
      <c r="A35" s="82"/>
      <c r="B35" s="77"/>
      <c r="C35" s="82"/>
      <c r="D35" s="77"/>
      <c r="E35" s="114"/>
      <c r="F35" s="77"/>
      <c r="G35" s="77"/>
      <c r="H35" s="113"/>
      <c r="I35" s="113"/>
      <c r="J35" s="113"/>
      <c r="K35" s="300"/>
      <c r="L35" s="123"/>
      <c r="M35" s="123"/>
      <c r="N35" s="124"/>
      <c r="O35" s="347"/>
      <c r="P35" s="81"/>
      <c r="R35" s="73" t="str">
        <f t="shared" si="1"/>
        <v/>
      </c>
      <c r="S35" s="73" t="str">
        <f t="shared" si="2"/>
        <v/>
      </c>
      <c r="T35" s="73" t="str">
        <f t="shared" si="3"/>
        <v/>
      </c>
      <c r="X35" s="73">
        <v>3433</v>
      </c>
      <c r="Y35" s="73" t="s">
        <v>134</v>
      </c>
      <c r="AA35" s="73" t="str">
        <f t="shared" si="4"/>
        <v>34</v>
      </c>
      <c r="AB35" s="73" t="str">
        <f t="shared" si="5"/>
        <v>343</v>
      </c>
      <c r="AD35" s="73" t="s">
        <v>1244</v>
      </c>
      <c r="AE35" s="73" t="s">
        <v>1245</v>
      </c>
      <c r="AF35" s="73" t="str">
        <f t="shared" si="12"/>
        <v>A679071</v>
      </c>
      <c r="AG35" s="73" t="str">
        <f>VLOOKUP(AF35,AKT!$C$4:$E$324,3,FALSE)</f>
        <v>0942</v>
      </c>
    </row>
    <row r="36" spans="1:33">
      <c r="A36" s="82"/>
      <c r="B36" s="77"/>
      <c r="C36" s="82"/>
      <c r="D36" s="77"/>
      <c r="E36" s="114"/>
      <c r="F36" s="77"/>
      <c r="G36" s="77"/>
      <c r="H36" s="113"/>
      <c r="I36" s="113"/>
      <c r="J36" s="113"/>
      <c r="K36" s="300"/>
      <c r="L36" s="123"/>
      <c r="M36" s="123"/>
      <c r="N36" s="124"/>
      <c r="O36" s="347"/>
      <c r="P36" s="81"/>
      <c r="R36" s="73" t="str">
        <f t="shared" ref="R36:R37" si="25">LEFT(C36,3)</f>
        <v/>
      </c>
      <c r="S36" s="73" t="str">
        <f t="shared" ref="S36:S37" si="26">LEFT(C36,2)</f>
        <v/>
      </c>
      <c r="T36" s="73" t="str">
        <f t="shared" ref="T36:T37" si="27">MID(G36,2,2)</f>
        <v/>
      </c>
      <c r="X36" s="73">
        <v>3433</v>
      </c>
      <c r="Y36" s="73" t="s">
        <v>134</v>
      </c>
      <c r="AA36" s="73" t="str">
        <f t="shared" ref="AA36:AA37" si="28">LEFT(X36,2)</f>
        <v>34</v>
      </c>
      <c r="AB36" s="73" t="str">
        <f t="shared" ref="AB36:AB37" si="29">LEFT(X36,3)</f>
        <v>343</v>
      </c>
      <c r="AD36" s="73" t="s">
        <v>1244</v>
      </c>
      <c r="AE36" s="73" t="s">
        <v>1245</v>
      </c>
      <c r="AF36" s="73" t="str">
        <f t="shared" ref="AF36:AF37" si="30">LEFT(AD36,7)</f>
        <v>A679071</v>
      </c>
      <c r="AG36" s="73" t="str">
        <f>VLOOKUP(AF36,AKT!$C$4:$E$324,3,FALSE)</f>
        <v>0942</v>
      </c>
    </row>
    <row r="37" spans="1:33">
      <c r="A37" s="82"/>
      <c r="B37" s="77"/>
      <c r="C37" s="82"/>
      <c r="D37" s="77"/>
      <c r="E37" s="114"/>
      <c r="F37" s="77"/>
      <c r="G37" s="77"/>
      <c r="H37" s="113"/>
      <c r="I37" s="113"/>
      <c r="J37" s="113"/>
      <c r="K37" s="300"/>
      <c r="L37" s="123"/>
      <c r="M37" s="123"/>
      <c r="N37" s="124"/>
      <c r="O37" s="347"/>
      <c r="P37" s="81"/>
      <c r="R37" s="73" t="str">
        <f t="shared" si="25"/>
        <v/>
      </c>
      <c r="S37" s="73" t="str">
        <f t="shared" si="26"/>
        <v/>
      </c>
      <c r="T37" s="73" t="str">
        <f t="shared" si="27"/>
        <v/>
      </c>
      <c r="X37" s="73">
        <v>3434</v>
      </c>
      <c r="Y37" s="73" t="s">
        <v>67</v>
      </c>
      <c r="AA37" s="73" t="str">
        <f t="shared" si="28"/>
        <v>34</v>
      </c>
      <c r="AB37" s="73" t="str">
        <f t="shared" si="29"/>
        <v>343</v>
      </c>
      <c r="AD37" s="73" t="s">
        <v>1246</v>
      </c>
      <c r="AE37" s="73" t="s">
        <v>1247</v>
      </c>
      <c r="AF37" s="73" t="str">
        <f t="shared" si="30"/>
        <v>A679071</v>
      </c>
      <c r="AG37" s="73" t="str">
        <f>VLOOKUP(AF37,AKT!$C$4:$E$324,3,FALSE)</f>
        <v>0942</v>
      </c>
    </row>
    <row r="38" spans="1:33">
      <c r="A38" s="82"/>
      <c r="B38" s="77"/>
      <c r="C38" s="82"/>
      <c r="D38" s="77"/>
      <c r="E38" s="114"/>
      <c r="F38" s="77"/>
      <c r="G38" s="77"/>
      <c r="H38" s="113"/>
      <c r="I38" s="113"/>
      <c r="J38" s="113"/>
      <c r="K38" s="300"/>
      <c r="L38" s="123"/>
      <c r="M38" s="123"/>
      <c r="N38" s="124"/>
      <c r="O38" s="347"/>
      <c r="P38" s="81"/>
      <c r="Q38" s="318"/>
      <c r="R38" s="73" t="str">
        <f t="shared" si="1"/>
        <v/>
      </c>
      <c r="S38" s="73" t="str">
        <f t="shared" si="2"/>
        <v/>
      </c>
      <c r="T38" s="73" t="str">
        <f t="shared" si="3"/>
        <v/>
      </c>
      <c r="X38" s="73">
        <v>3434</v>
      </c>
      <c r="Y38" s="73" t="s">
        <v>67</v>
      </c>
      <c r="AA38" s="73" t="str">
        <f t="shared" si="4"/>
        <v>34</v>
      </c>
      <c r="AB38" s="73" t="str">
        <f t="shared" si="5"/>
        <v>343</v>
      </c>
      <c r="AD38" s="73" t="s">
        <v>1246</v>
      </c>
      <c r="AE38" s="73" t="s">
        <v>1247</v>
      </c>
      <c r="AF38" s="73" t="str">
        <f t="shared" si="12"/>
        <v>A679071</v>
      </c>
      <c r="AG38" s="73" t="str">
        <f>VLOOKUP(AF38,AKT!$C$4:$E$324,3,FALSE)</f>
        <v>0942</v>
      </c>
    </row>
    <row r="39" spans="1:33">
      <c r="A39" s="82"/>
      <c r="B39" s="77"/>
      <c r="C39" s="82"/>
      <c r="D39" s="77"/>
      <c r="E39" s="114"/>
      <c r="F39" s="77"/>
      <c r="G39" s="77"/>
      <c r="H39" s="113"/>
      <c r="I39" s="113"/>
      <c r="J39" s="113"/>
      <c r="K39" s="300"/>
      <c r="L39" s="346"/>
      <c r="M39" s="346"/>
      <c r="N39" s="300"/>
      <c r="O39" s="300"/>
      <c r="P39" s="81"/>
      <c r="R39" s="73" t="str">
        <f t="shared" si="1"/>
        <v/>
      </c>
      <c r="S39" s="73" t="str">
        <f t="shared" si="2"/>
        <v/>
      </c>
      <c r="T39" s="73" t="str">
        <f t="shared" si="3"/>
        <v/>
      </c>
      <c r="X39" s="73">
        <v>3511</v>
      </c>
      <c r="Y39" s="73" t="s">
        <v>177</v>
      </c>
      <c r="AA39" s="73" t="str">
        <f t="shared" si="4"/>
        <v>35</v>
      </c>
      <c r="AB39" s="73" t="str">
        <f t="shared" si="5"/>
        <v>351</v>
      </c>
      <c r="AD39" s="73" t="s">
        <v>1248</v>
      </c>
      <c r="AE39" s="73" t="s">
        <v>1249</v>
      </c>
      <c r="AF39" s="73" t="str">
        <f t="shared" si="12"/>
        <v>A679071</v>
      </c>
      <c r="AG39" s="73" t="str">
        <f>VLOOKUP(AF39,AKT!$C$4:$E$324,3,FALSE)</f>
        <v>0942</v>
      </c>
    </row>
    <row r="40" spans="1:33">
      <c r="A40" s="82"/>
      <c r="B40" s="77"/>
      <c r="C40" s="82"/>
      <c r="D40" s="77"/>
      <c r="E40" s="114"/>
      <c r="F40" s="77"/>
      <c r="G40" s="77"/>
      <c r="H40" s="113"/>
      <c r="I40" s="113"/>
      <c r="J40" s="113"/>
      <c r="K40" s="300"/>
      <c r="L40" s="346"/>
      <c r="M40" s="346"/>
      <c r="N40" s="300"/>
      <c r="O40" s="300"/>
      <c r="P40" s="81"/>
      <c r="R40" s="73" t="str">
        <f t="shared" ref="R40" si="31">LEFT(C40,3)</f>
        <v/>
      </c>
      <c r="S40" s="73" t="str">
        <f t="shared" ref="S40" si="32">LEFT(C40,2)</f>
        <v/>
      </c>
      <c r="T40" s="73" t="str">
        <f t="shared" ref="T40" si="33">MID(G40,2,2)</f>
        <v/>
      </c>
      <c r="X40" s="73">
        <v>3511</v>
      </c>
      <c r="Y40" s="73" t="s">
        <v>177</v>
      </c>
      <c r="AA40" s="73" t="str">
        <f t="shared" ref="AA40" si="34">LEFT(X40,2)</f>
        <v>35</v>
      </c>
      <c r="AB40" s="73" t="str">
        <f t="shared" ref="AB40" si="35">LEFT(X40,3)</f>
        <v>351</v>
      </c>
      <c r="AD40" s="73" t="s">
        <v>1248</v>
      </c>
      <c r="AE40" s="73" t="s">
        <v>1249</v>
      </c>
      <c r="AF40" s="73" t="str">
        <f t="shared" ref="AF40" si="36">LEFT(AD40,7)</f>
        <v>A679071</v>
      </c>
      <c r="AG40" s="73" t="str">
        <f>VLOOKUP(AF40,AKT!$C$4:$E$324,3,FALSE)</f>
        <v>0942</v>
      </c>
    </row>
    <row r="41" spans="1:33">
      <c r="A41" s="82"/>
      <c r="B41" s="77"/>
      <c r="C41" s="82"/>
      <c r="D41" s="77"/>
      <c r="E41" s="114"/>
      <c r="F41" s="77"/>
      <c r="G41" s="77"/>
      <c r="H41" s="113"/>
      <c r="I41" s="113"/>
      <c r="J41" s="113"/>
      <c r="K41" s="300"/>
      <c r="L41" s="346"/>
      <c r="M41" s="346"/>
      <c r="N41" s="300"/>
      <c r="O41" s="300"/>
      <c r="P41" s="81"/>
      <c r="R41" s="73" t="str">
        <f t="shared" si="1"/>
        <v/>
      </c>
      <c r="S41" s="73" t="str">
        <f t="shared" si="2"/>
        <v/>
      </c>
      <c r="T41" s="73" t="str">
        <f t="shared" si="3"/>
        <v/>
      </c>
      <c r="X41" s="73">
        <v>3522</v>
      </c>
      <c r="Y41" s="73" t="s">
        <v>230</v>
      </c>
      <c r="AA41" s="73" t="str">
        <f t="shared" si="4"/>
        <v>35</v>
      </c>
      <c r="AB41" s="73" t="str">
        <f t="shared" si="5"/>
        <v>352</v>
      </c>
      <c r="AD41" s="73" t="s">
        <v>1252</v>
      </c>
      <c r="AE41" s="73" t="s">
        <v>1253</v>
      </c>
      <c r="AF41" s="73" t="str">
        <f t="shared" si="12"/>
        <v>A679071</v>
      </c>
      <c r="AG41" s="73" t="str">
        <f>VLOOKUP(AF41,AKT!$C$4:$E$324,3,FALSE)</f>
        <v>0942</v>
      </c>
    </row>
    <row r="42" spans="1:33">
      <c r="A42" s="82"/>
      <c r="B42" s="77"/>
      <c r="C42" s="82"/>
      <c r="D42" s="77"/>
      <c r="E42" s="114"/>
      <c r="F42" s="77"/>
      <c r="G42" s="77"/>
      <c r="H42" s="113"/>
      <c r="I42" s="113"/>
      <c r="J42" s="113"/>
      <c r="K42" s="300"/>
      <c r="L42" s="346"/>
      <c r="M42" s="346"/>
      <c r="N42" s="300"/>
      <c r="O42" s="300"/>
      <c r="P42" s="81"/>
      <c r="Q42" s="318"/>
      <c r="R42" s="73" t="str">
        <f t="shared" si="1"/>
        <v/>
      </c>
      <c r="S42" s="73" t="str">
        <f t="shared" si="2"/>
        <v/>
      </c>
      <c r="T42" s="73" t="str">
        <f t="shared" si="3"/>
        <v/>
      </c>
      <c r="X42" s="73">
        <v>3531</v>
      </c>
      <c r="Y42" s="73" t="s">
        <v>131</v>
      </c>
      <c r="AA42" s="73" t="str">
        <f t="shared" si="4"/>
        <v>35</v>
      </c>
      <c r="AB42" s="73" t="str">
        <f t="shared" si="5"/>
        <v>353</v>
      </c>
      <c r="AD42" s="73" t="s">
        <v>1254</v>
      </c>
      <c r="AE42" s="73" t="s">
        <v>1255</v>
      </c>
      <c r="AF42" s="73" t="str">
        <f t="shared" si="12"/>
        <v>A679071</v>
      </c>
      <c r="AG42" s="73" t="str">
        <f>VLOOKUP(AF42,AKT!$C$4:$E$324,3,FALSE)</f>
        <v>0942</v>
      </c>
    </row>
    <row r="43" spans="1:33">
      <c r="A43" s="82"/>
      <c r="B43" s="77"/>
      <c r="C43" s="82"/>
      <c r="D43" s="77"/>
      <c r="E43" s="114"/>
      <c r="F43" s="77"/>
      <c r="G43" s="77"/>
      <c r="H43" s="359"/>
      <c r="I43" s="113"/>
      <c r="J43" s="359"/>
      <c r="K43" s="124"/>
      <c r="L43" s="123"/>
      <c r="M43" s="123"/>
      <c r="N43" s="124"/>
      <c r="O43" s="300"/>
      <c r="P43" s="81"/>
      <c r="R43" s="73" t="str">
        <f t="shared" ref="R43:R57" si="37">LEFT(C43,3)</f>
        <v/>
      </c>
      <c r="S43" s="73" t="str">
        <f t="shared" ref="S43:S57" si="38">LEFT(C43,2)</f>
        <v/>
      </c>
      <c r="T43" s="73" t="str">
        <f t="shared" ref="T43:T57" si="39">MID(G43,2,2)</f>
        <v/>
      </c>
      <c r="U43" s="73">
        <v>81</v>
      </c>
      <c r="V43" s="73" t="s">
        <v>56</v>
      </c>
      <c r="X43" s="73">
        <v>3232</v>
      </c>
      <c r="Y43" s="73" t="s">
        <v>88</v>
      </c>
      <c r="AA43" s="73" t="str">
        <f t="shared" ref="AA43:AA57" si="40">LEFT(X43,2)</f>
        <v>32</v>
      </c>
      <c r="AB43" s="73" t="str">
        <f t="shared" ref="AB43:AB57" si="41">LEFT(X43,3)</f>
        <v>323</v>
      </c>
      <c r="AD43" s="73" t="s">
        <v>1140</v>
      </c>
      <c r="AE43" s="73" t="s">
        <v>1141</v>
      </c>
      <c r="AF43" s="73" t="str">
        <f t="shared" ref="AF43:AF51" si="42">LEFT(AD43,7)</f>
        <v>K818050</v>
      </c>
      <c r="AG43" s="73" t="str">
        <f>VLOOKUP(AF43,AKT!$C$4:$E$324,3,FALSE)</f>
        <v>0950</v>
      </c>
    </row>
    <row r="44" spans="1:33">
      <c r="A44" s="82"/>
      <c r="B44" s="77"/>
      <c r="C44" s="82"/>
      <c r="D44" s="77"/>
      <c r="E44" s="114"/>
      <c r="F44" s="77"/>
      <c r="G44" s="77"/>
      <c r="H44" s="359"/>
      <c r="I44" s="113"/>
      <c r="J44" s="359"/>
      <c r="K44" s="124"/>
      <c r="L44" s="123"/>
      <c r="M44" s="123"/>
      <c r="N44" s="124"/>
      <c r="O44" s="300"/>
      <c r="P44" s="81"/>
      <c r="R44" s="73" t="str">
        <f t="shared" si="37"/>
        <v/>
      </c>
      <c r="S44" s="73" t="str">
        <f t="shared" si="38"/>
        <v/>
      </c>
      <c r="T44" s="73" t="str">
        <f t="shared" si="39"/>
        <v/>
      </c>
      <c r="X44" s="73">
        <v>3235</v>
      </c>
      <c r="Y44" s="73" t="s">
        <v>108</v>
      </c>
      <c r="AA44" s="73" t="str">
        <f t="shared" si="40"/>
        <v>32</v>
      </c>
      <c r="AB44" s="73" t="str">
        <f t="shared" si="41"/>
        <v>323</v>
      </c>
      <c r="AD44" s="73" t="s">
        <v>1146</v>
      </c>
      <c r="AE44" s="73" t="s">
        <v>1147</v>
      </c>
      <c r="AF44" s="73" t="str">
        <f t="shared" si="42"/>
        <v>K818050</v>
      </c>
      <c r="AG44" s="73" t="str">
        <f>VLOOKUP(AF44,AKT!$C$4:$E$324,3,FALSE)</f>
        <v>0950</v>
      </c>
    </row>
    <row r="45" spans="1:33">
      <c r="A45" s="82"/>
      <c r="B45" s="77"/>
      <c r="C45" s="82"/>
      <c r="D45" s="77"/>
      <c r="E45" s="114"/>
      <c r="F45" s="77"/>
      <c r="G45" s="77"/>
      <c r="H45" s="359"/>
      <c r="I45" s="113"/>
      <c r="J45" s="359"/>
      <c r="K45" s="124"/>
      <c r="L45" s="123"/>
      <c r="M45" s="123"/>
      <c r="N45" s="124"/>
      <c r="O45" s="300"/>
      <c r="P45" s="81"/>
      <c r="R45" s="73" t="str">
        <f t="shared" si="37"/>
        <v/>
      </c>
      <c r="S45" s="73" t="str">
        <f t="shared" si="38"/>
        <v/>
      </c>
      <c r="T45" s="73" t="str">
        <f t="shared" si="39"/>
        <v/>
      </c>
      <c r="X45" s="73">
        <v>3236</v>
      </c>
      <c r="Y45" s="73" t="s">
        <v>53</v>
      </c>
      <c r="AA45" s="73" t="str">
        <f t="shared" si="40"/>
        <v>32</v>
      </c>
      <c r="AB45" s="73" t="str">
        <f t="shared" si="41"/>
        <v>323</v>
      </c>
      <c r="AD45" s="73" t="s">
        <v>1148</v>
      </c>
      <c r="AE45" s="73" t="s">
        <v>1149</v>
      </c>
      <c r="AF45" s="73" t="str">
        <f t="shared" si="42"/>
        <v>K818050</v>
      </c>
      <c r="AG45" s="73" t="str">
        <f>VLOOKUP(AF45,AKT!$C$4:$E$324,3,FALSE)</f>
        <v>0950</v>
      </c>
    </row>
    <row r="46" spans="1:33">
      <c r="A46" s="82"/>
      <c r="B46" s="77"/>
      <c r="C46" s="82"/>
      <c r="D46" s="77"/>
      <c r="E46" s="114"/>
      <c r="F46" s="77"/>
      <c r="G46" s="77"/>
      <c r="H46" s="113"/>
      <c r="I46" s="113"/>
      <c r="J46" s="113"/>
      <c r="K46" s="300"/>
      <c r="L46" s="123"/>
      <c r="M46" s="123"/>
      <c r="N46" s="124"/>
      <c r="O46" s="347"/>
      <c r="P46" s="81"/>
      <c r="R46" s="73" t="str">
        <f t="shared" si="37"/>
        <v/>
      </c>
      <c r="S46" s="73" t="str">
        <f t="shared" si="38"/>
        <v/>
      </c>
      <c r="T46" s="73" t="str">
        <f t="shared" si="39"/>
        <v/>
      </c>
      <c r="X46" s="73">
        <v>3434</v>
      </c>
      <c r="Y46" s="73" t="s">
        <v>67</v>
      </c>
      <c r="AA46" s="73" t="str">
        <f t="shared" si="40"/>
        <v>34</v>
      </c>
      <c r="AB46" s="73" t="str">
        <f t="shared" si="41"/>
        <v>343</v>
      </c>
      <c r="AD46" s="73" t="s">
        <v>1246</v>
      </c>
      <c r="AE46" s="73" t="s">
        <v>1247</v>
      </c>
      <c r="AF46" s="73" t="str">
        <f t="shared" si="42"/>
        <v>A679071</v>
      </c>
      <c r="AG46" s="73" t="str">
        <f>VLOOKUP(AF46,AKT!$C$4:$E$324,3,FALSE)</f>
        <v>0942</v>
      </c>
    </row>
    <row r="47" spans="1:33">
      <c r="A47" s="82"/>
      <c r="B47" s="77"/>
      <c r="C47" s="82"/>
      <c r="D47" s="77"/>
      <c r="E47" s="114"/>
      <c r="F47" s="77"/>
      <c r="G47" s="77"/>
      <c r="H47" s="113"/>
      <c r="I47" s="113"/>
      <c r="J47" s="113"/>
      <c r="K47" s="300"/>
      <c r="L47" s="346"/>
      <c r="M47" s="346"/>
      <c r="N47" s="300"/>
      <c r="O47" s="300"/>
      <c r="P47" s="81"/>
      <c r="R47" s="73" t="str">
        <f t="shared" si="37"/>
        <v/>
      </c>
      <c r="S47" s="73" t="str">
        <f t="shared" si="38"/>
        <v/>
      </c>
      <c r="T47" s="73" t="str">
        <f t="shared" si="39"/>
        <v/>
      </c>
      <c r="X47" s="73">
        <v>3522</v>
      </c>
      <c r="Y47" s="73" t="s">
        <v>230</v>
      </c>
      <c r="AA47" s="73" t="str">
        <f t="shared" si="40"/>
        <v>35</v>
      </c>
      <c r="AB47" s="73" t="str">
        <f t="shared" si="41"/>
        <v>352</v>
      </c>
      <c r="AD47" s="73" t="s">
        <v>1252</v>
      </c>
      <c r="AE47" s="73" t="s">
        <v>1253</v>
      </c>
      <c r="AF47" s="73" t="str">
        <f t="shared" si="42"/>
        <v>A679071</v>
      </c>
      <c r="AG47" s="73" t="str">
        <f>VLOOKUP(AF47,AKT!$C$4:$E$324,3,FALSE)</f>
        <v>0942</v>
      </c>
    </row>
    <row r="48" spans="1:33">
      <c r="A48" s="82"/>
      <c r="B48" s="77"/>
      <c r="C48" s="82"/>
      <c r="D48" s="77"/>
      <c r="E48" s="114"/>
      <c r="F48" s="77"/>
      <c r="G48" s="77"/>
      <c r="H48" s="113"/>
      <c r="I48" s="113"/>
      <c r="J48" s="113"/>
      <c r="K48" s="300"/>
      <c r="L48" s="123"/>
      <c r="M48" s="123"/>
      <c r="N48" s="124"/>
      <c r="O48" s="347"/>
      <c r="P48" s="81"/>
      <c r="Q48" s="318"/>
      <c r="R48" s="73" t="str">
        <f t="shared" si="37"/>
        <v/>
      </c>
      <c r="S48" s="73" t="str">
        <f t="shared" si="38"/>
        <v/>
      </c>
      <c r="T48" s="73" t="str">
        <f t="shared" si="39"/>
        <v/>
      </c>
      <c r="X48" s="73">
        <v>3434</v>
      </c>
      <c r="Y48" s="73" t="s">
        <v>67</v>
      </c>
      <c r="AA48" s="73" t="str">
        <f t="shared" si="40"/>
        <v>34</v>
      </c>
      <c r="AB48" s="73" t="str">
        <f t="shared" si="41"/>
        <v>343</v>
      </c>
      <c r="AD48" s="73" t="s">
        <v>1246</v>
      </c>
      <c r="AE48" s="73" t="s">
        <v>1247</v>
      </c>
      <c r="AF48" s="73" t="str">
        <f t="shared" si="42"/>
        <v>A679071</v>
      </c>
      <c r="AG48" s="73" t="str">
        <f>VLOOKUP(AF48,AKT!$C$4:$E$324,3,FALSE)</f>
        <v>0942</v>
      </c>
    </row>
    <row r="49" spans="1:33">
      <c r="A49" s="82"/>
      <c r="B49" s="77"/>
      <c r="C49" s="82"/>
      <c r="D49" s="77"/>
      <c r="E49" s="114"/>
      <c r="F49" s="77"/>
      <c r="G49" s="77"/>
      <c r="H49" s="113"/>
      <c r="I49" s="113"/>
      <c r="J49" s="113"/>
      <c r="K49" s="300"/>
      <c r="L49" s="346"/>
      <c r="M49" s="346"/>
      <c r="N49" s="300"/>
      <c r="O49" s="300"/>
      <c r="P49" s="81"/>
      <c r="Q49" s="318"/>
      <c r="R49" s="73" t="str">
        <f t="shared" si="37"/>
        <v/>
      </c>
      <c r="S49" s="73" t="str">
        <f t="shared" si="38"/>
        <v/>
      </c>
      <c r="T49" s="73" t="str">
        <f t="shared" si="39"/>
        <v/>
      </c>
      <c r="X49" s="73">
        <v>3531</v>
      </c>
      <c r="Y49" s="73" t="s">
        <v>131</v>
      </c>
      <c r="AA49" s="73" t="str">
        <f t="shared" si="40"/>
        <v>35</v>
      </c>
      <c r="AB49" s="73" t="str">
        <f t="shared" si="41"/>
        <v>353</v>
      </c>
      <c r="AD49" s="73" t="s">
        <v>1254</v>
      </c>
      <c r="AE49" s="73" t="s">
        <v>1255</v>
      </c>
      <c r="AF49" s="73" t="str">
        <f t="shared" si="42"/>
        <v>A679071</v>
      </c>
      <c r="AG49" s="73" t="str">
        <f>VLOOKUP(AF49,AKT!$C$4:$E$324,3,FALSE)</f>
        <v>0942</v>
      </c>
    </row>
    <row r="50" spans="1:33">
      <c r="A50" s="82"/>
      <c r="B50" s="77"/>
      <c r="C50" s="82"/>
      <c r="D50" s="77"/>
      <c r="E50" s="114"/>
      <c r="F50" s="77"/>
      <c r="G50" s="77"/>
      <c r="H50" s="113"/>
      <c r="I50" s="113"/>
      <c r="J50" s="113"/>
      <c r="K50" s="300"/>
      <c r="L50" s="123"/>
      <c r="M50" s="123"/>
      <c r="N50" s="124"/>
      <c r="O50" s="347"/>
      <c r="P50" s="81"/>
      <c r="R50" s="73" t="str">
        <f t="shared" si="37"/>
        <v/>
      </c>
      <c r="S50" s="73" t="str">
        <f t="shared" si="38"/>
        <v/>
      </c>
      <c r="T50" s="73" t="str">
        <f t="shared" si="39"/>
        <v/>
      </c>
      <c r="X50" s="73">
        <v>3433</v>
      </c>
      <c r="Y50" s="73" t="s">
        <v>134</v>
      </c>
      <c r="AA50" s="73" t="str">
        <f t="shared" si="40"/>
        <v>34</v>
      </c>
      <c r="AB50" s="73" t="str">
        <f t="shared" si="41"/>
        <v>343</v>
      </c>
      <c r="AD50" s="73" t="s">
        <v>1244</v>
      </c>
      <c r="AE50" s="73" t="s">
        <v>1245</v>
      </c>
      <c r="AF50" s="73" t="str">
        <f t="shared" si="42"/>
        <v>A679071</v>
      </c>
      <c r="AG50" s="73" t="str">
        <f>VLOOKUP(AF50,AKT!$C$4:$E$324,3,FALSE)</f>
        <v>0942</v>
      </c>
    </row>
    <row r="51" spans="1:33">
      <c r="A51" s="82"/>
      <c r="B51" s="77"/>
      <c r="C51" s="82"/>
      <c r="D51" s="77"/>
      <c r="E51" s="114"/>
      <c r="F51" s="77"/>
      <c r="G51" s="77"/>
      <c r="H51" s="113"/>
      <c r="I51" s="113"/>
      <c r="J51" s="113"/>
      <c r="K51" s="300"/>
      <c r="L51" s="346"/>
      <c r="M51" s="346"/>
      <c r="N51" s="300"/>
      <c r="O51" s="300"/>
      <c r="P51" s="81"/>
      <c r="R51" s="73" t="str">
        <f t="shared" si="37"/>
        <v/>
      </c>
      <c r="S51" s="73" t="str">
        <f t="shared" si="38"/>
        <v/>
      </c>
      <c r="T51" s="73" t="str">
        <f t="shared" si="39"/>
        <v/>
      </c>
      <c r="X51" s="73">
        <v>3511</v>
      </c>
      <c r="Y51" s="73" t="s">
        <v>177</v>
      </c>
      <c r="AA51" s="73" t="str">
        <f t="shared" si="40"/>
        <v>35</v>
      </c>
      <c r="AB51" s="73" t="str">
        <f t="shared" si="41"/>
        <v>351</v>
      </c>
      <c r="AD51" s="73" t="s">
        <v>1248</v>
      </c>
      <c r="AE51" s="73" t="s">
        <v>1249</v>
      </c>
      <c r="AF51" s="73" t="str">
        <f t="shared" si="42"/>
        <v>A679071</v>
      </c>
      <c r="AG51" s="73" t="str">
        <f>VLOOKUP(AF51,AKT!$C$4:$E$324,3,FALSE)</f>
        <v>0942</v>
      </c>
    </row>
    <row r="52" spans="1:33">
      <c r="A52" s="82"/>
      <c r="B52" s="77"/>
      <c r="C52" s="82"/>
      <c r="D52" s="77"/>
      <c r="E52" s="114"/>
      <c r="F52" s="77"/>
      <c r="G52" s="77"/>
      <c r="H52" s="113"/>
      <c r="I52" s="113"/>
      <c r="J52" s="113"/>
      <c r="K52" s="124"/>
      <c r="L52" s="123"/>
      <c r="M52" s="123"/>
      <c r="N52" s="124"/>
      <c r="O52" s="300"/>
      <c r="P52" s="81"/>
      <c r="R52" s="73" t="str">
        <f t="shared" si="37"/>
        <v/>
      </c>
      <c r="S52" s="73" t="str">
        <f t="shared" si="38"/>
        <v/>
      </c>
      <c r="T52" s="73" t="str">
        <f t="shared" si="39"/>
        <v/>
      </c>
      <c r="U52" s="73">
        <v>11</v>
      </c>
      <c r="V52" s="73" t="s">
        <v>46</v>
      </c>
      <c r="X52" s="73">
        <v>3112</v>
      </c>
      <c r="Y52" s="73" t="s">
        <v>144</v>
      </c>
      <c r="AA52" s="73" t="str">
        <f t="shared" si="40"/>
        <v>31</v>
      </c>
      <c r="AB52" s="73" t="str">
        <f t="shared" si="41"/>
        <v>311</v>
      </c>
      <c r="AD52" s="73" t="s">
        <v>694</v>
      </c>
      <c r="AE52" s="73" t="s">
        <v>694</v>
      </c>
      <c r="AF52" s="73" t="s">
        <v>694</v>
      </c>
      <c r="AG52" s="73" t="s">
        <v>694</v>
      </c>
    </row>
    <row r="53" spans="1:33">
      <c r="A53" s="82"/>
      <c r="B53" s="77"/>
      <c r="C53" s="82"/>
      <c r="D53" s="77"/>
      <c r="E53" s="114"/>
      <c r="F53" s="77"/>
      <c r="G53" s="77"/>
      <c r="H53" s="113"/>
      <c r="I53" s="113"/>
      <c r="J53" s="113"/>
      <c r="K53" s="300"/>
      <c r="L53" s="123"/>
      <c r="M53" s="123"/>
      <c r="N53" s="124"/>
      <c r="O53" s="347"/>
      <c r="P53" s="81"/>
      <c r="R53" s="73" t="str">
        <f t="shared" si="37"/>
        <v/>
      </c>
      <c r="S53" s="73" t="str">
        <f t="shared" si="38"/>
        <v/>
      </c>
      <c r="T53" s="73" t="str">
        <f t="shared" si="39"/>
        <v/>
      </c>
      <c r="X53" s="73">
        <v>3433</v>
      </c>
      <c r="Y53" s="73" t="s">
        <v>134</v>
      </c>
      <c r="AA53" s="73" t="str">
        <f t="shared" si="40"/>
        <v>34</v>
      </c>
      <c r="AB53" s="73" t="str">
        <f t="shared" si="41"/>
        <v>343</v>
      </c>
      <c r="AD53" s="73" t="s">
        <v>1244</v>
      </c>
      <c r="AE53" s="73" t="s">
        <v>1245</v>
      </c>
      <c r="AF53" s="73" t="str">
        <f t="shared" ref="AF53:AF57" si="43">LEFT(AD53,7)</f>
        <v>A679071</v>
      </c>
      <c r="AG53" s="73" t="str">
        <f>VLOOKUP(AF53,AKT!$C$4:$E$324,3,FALSE)</f>
        <v>0942</v>
      </c>
    </row>
    <row r="54" spans="1:33">
      <c r="A54" s="82"/>
      <c r="B54" s="77"/>
      <c r="C54" s="82"/>
      <c r="D54" s="77"/>
      <c r="E54" s="114"/>
      <c r="F54" s="77"/>
      <c r="G54" s="77"/>
      <c r="H54" s="113"/>
      <c r="I54" s="113"/>
      <c r="J54" s="113"/>
      <c r="K54" s="300"/>
      <c r="L54" s="346"/>
      <c r="M54" s="346"/>
      <c r="N54" s="300"/>
      <c r="O54" s="300"/>
      <c r="P54" s="81"/>
      <c r="R54" s="73" t="str">
        <f t="shared" si="37"/>
        <v/>
      </c>
      <c r="S54" s="73" t="str">
        <f t="shared" si="38"/>
        <v/>
      </c>
      <c r="T54" s="73" t="str">
        <f t="shared" si="39"/>
        <v/>
      </c>
      <c r="X54" s="73">
        <v>3511</v>
      </c>
      <c r="Y54" s="73" t="s">
        <v>177</v>
      </c>
      <c r="AA54" s="73" t="str">
        <f t="shared" si="40"/>
        <v>35</v>
      </c>
      <c r="AB54" s="73" t="str">
        <f t="shared" si="41"/>
        <v>351</v>
      </c>
      <c r="AD54" s="73" t="s">
        <v>1248</v>
      </c>
      <c r="AE54" s="73" t="s">
        <v>1249</v>
      </c>
      <c r="AF54" s="73" t="str">
        <f t="shared" si="43"/>
        <v>A679071</v>
      </c>
      <c r="AG54" s="73" t="str">
        <f>VLOOKUP(AF54,AKT!$C$4:$E$324,3,FALSE)</f>
        <v>0942</v>
      </c>
    </row>
    <row r="55" spans="1:33">
      <c r="A55" s="82"/>
      <c r="B55" s="77"/>
      <c r="C55" s="82"/>
      <c r="D55" s="77"/>
      <c r="E55" s="114"/>
      <c r="F55" s="77"/>
      <c r="G55" s="77"/>
      <c r="H55" s="359"/>
      <c r="I55" s="113"/>
      <c r="J55" s="359"/>
      <c r="K55" s="124"/>
      <c r="L55" s="123"/>
      <c r="M55" s="123"/>
      <c r="N55" s="124"/>
      <c r="O55" s="300"/>
      <c r="P55" s="81"/>
      <c r="R55" s="73" t="str">
        <f t="shared" si="37"/>
        <v/>
      </c>
      <c r="S55" s="73" t="str">
        <f t="shared" si="38"/>
        <v/>
      </c>
      <c r="T55" s="73" t="str">
        <f t="shared" si="39"/>
        <v/>
      </c>
      <c r="X55" s="73">
        <v>3293</v>
      </c>
      <c r="Y55" s="73" t="s">
        <v>83</v>
      </c>
      <c r="AA55" s="73" t="str">
        <f t="shared" si="40"/>
        <v>32</v>
      </c>
      <c r="AB55" s="73" t="str">
        <f t="shared" si="41"/>
        <v>329</v>
      </c>
      <c r="AD55" s="73" t="s">
        <v>1162</v>
      </c>
      <c r="AE55" s="73" t="s">
        <v>1163</v>
      </c>
      <c r="AF55" s="73" t="str">
        <f t="shared" si="43"/>
        <v>K818050</v>
      </c>
      <c r="AG55" s="73" t="str">
        <f>VLOOKUP(AF55,AKT!$C$4:$E$324,3,FALSE)</f>
        <v>0950</v>
      </c>
    </row>
    <row r="56" spans="1:33">
      <c r="A56" s="82"/>
      <c r="B56" s="77"/>
      <c r="C56" s="82"/>
      <c r="D56" s="77"/>
      <c r="E56" s="114"/>
      <c r="F56" s="77"/>
      <c r="G56" s="77"/>
      <c r="H56" s="113"/>
      <c r="I56" s="113"/>
      <c r="J56" s="113"/>
      <c r="K56" s="124"/>
      <c r="L56" s="123"/>
      <c r="M56" s="123"/>
      <c r="N56" s="124"/>
      <c r="O56" s="300"/>
      <c r="P56" s="81"/>
      <c r="R56" s="73" t="str">
        <f t="shared" si="37"/>
        <v/>
      </c>
      <c r="S56" s="73" t="str">
        <f t="shared" si="38"/>
        <v/>
      </c>
      <c r="T56" s="73" t="str">
        <f t="shared" si="39"/>
        <v/>
      </c>
      <c r="X56" s="73">
        <v>3295</v>
      </c>
      <c r="Y56" s="73" t="s">
        <v>54</v>
      </c>
      <c r="AA56" s="73" t="str">
        <f t="shared" si="40"/>
        <v>32</v>
      </c>
      <c r="AB56" s="73" t="str">
        <f t="shared" si="41"/>
        <v>329</v>
      </c>
      <c r="AD56" s="73" t="s">
        <v>695</v>
      </c>
      <c r="AE56" s="73" t="s">
        <v>696</v>
      </c>
      <c r="AF56" s="73" t="str">
        <f t="shared" si="43"/>
        <v>A679071</v>
      </c>
      <c r="AG56" s="73" t="str">
        <f>VLOOKUP(AF56,AKT!$C$4:$E$324,3,FALSE)</f>
        <v>0942</v>
      </c>
    </row>
    <row r="57" spans="1:33">
      <c r="A57" s="82"/>
      <c r="B57" s="77"/>
      <c r="C57" s="82"/>
      <c r="D57" s="77"/>
      <c r="E57" s="114"/>
      <c r="F57" s="77"/>
      <c r="G57" s="77"/>
      <c r="H57" s="359"/>
      <c r="I57" s="113"/>
      <c r="J57" s="359"/>
      <c r="K57" s="124"/>
      <c r="L57" s="123"/>
      <c r="M57" s="123"/>
      <c r="N57" s="124"/>
      <c r="O57" s="300"/>
      <c r="P57" s="81"/>
      <c r="R57" s="73" t="str">
        <f t="shared" si="37"/>
        <v/>
      </c>
      <c r="S57" s="73" t="str">
        <f t="shared" si="38"/>
        <v/>
      </c>
      <c r="T57" s="73" t="str">
        <f t="shared" si="39"/>
        <v/>
      </c>
      <c r="X57" s="73">
        <v>3292</v>
      </c>
      <c r="Y57" s="73" t="s">
        <v>74</v>
      </c>
      <c r="AA57" s="73" t="str">
        <f t="shared" si="40"/>
        <v>32</v>
      </c>
      <c r="AB57" s="73" t="str">
        <f t="shared" si="41"/>
        <v>329</v>
      </c>
      <c r="AD57" s="73" t="s">
        <v>1160</v>
      </c>
      <c r="AE57" s="73" t="s">
        <v>1161</v>
      </c>
      <c r="AF57" s="73" t="str">
        <f t="shared" si="43"/>
        <v>K818050</v>
      </c>
      <c r="AG57" s="73" t="str">
        <f>VLOOKUP(AF57,AKT!$C$4:$E$324,3,FALSE)</f>
        <v>0950</v>
      </c>
    </row>
    <row r="58" spans="1:33">
      <c r="A58" s="82"/>
      <c r="B58" s="77"/>
      <c r="C58" s="82"/>
      <c r="D58" s="77"/>
      <c r="E58" s="114"/>
      <c r="F58" s="77"/>
      <c r="G58" s="77"/>
      <c r="H58" s="113"/>
      <c r="I58" s="113"/>
      <c r="J58" s="113"/>
      <c r="K58" s="124"/>
      <c r="L58" s="123"/>
      <c r="M58" s="123"/>
      <c r="N58" s="124"/>
      <c r="O58" s="300"/>
      <c r="P58" s="81"/>
      <c r="R58" s="73" t="str">
        <f t="shared" si="1"/>
        <v/>
      </c>
      <c r="S58" s="73" t="str">
        <f t="shared" si="2"/>
        <v/>
      </c>
      <c r="T58" s="73" t="str">
        <f t="shared" si="3"/>
        <v/>
      </c>
      <c r="X58" s="73">
        <v>3714</v>
      </c>
      <c r="Y58" s="73" t="s">
        <v>185</v>
      </c>
      <c r="AA58" s="73" t="str">
        <f t="shared" si="4"/>
        <v>37</v>
      </c>
      <c r="AB58" s="73" t="str">
        <f t="shared" si="5"/>
        <v>371</v>
      </c>
      <c r="AD58" s="73" t="s">
        <v>2027</v>
      </c>
      <c r="AE58" s="73" t="s">
        <v>2028</v>
      </c>
      <c r="AF58" s="73" t="str">
        <f t="shared" si="12"/>
        <v>A679071</v>
      </c>
      <c r="AG58" s="73" t="str">
        <f>VLOOKUP(AF58,AKT!$C$4:$E$324,3,FALSE)</f>
        <v>0942</v>
      </c>
    </row>
    <row r="59" spans="1:33">
      <c r="A59" s="82"/>
      <c r="B59" s="77"/>
      <c r="C59" s="82"/>
      <c r="D59" s="77"/>
      <c r="E59" s="114"/>
      <c r="F59" s="77"/>
      <c r="G59" s="77"/>
      <c r="H59" s="113"/>
      <c r="I59" s="113"/>
      <c r="J59" s="113"/>
      <c r="K59" s="124"/>
      <c r="L59" s="123"/>
      <c r="M59" s="123"/>
      <c r="N59" s="124"/>
      <c r="O59" s="300"/>
      <c r="P59" s="81"/>
      <c r="R59" s="73" t="str">
        <f t="shared" ref="R59:R122" si="44">LEFT(C59,3)</f>
        <v/>
      </c>
      <c r="S59" s="73" t="str">
        <f t="shared" ref="S59:S122" si="45">LEFT(C59,2)</f>
        <v/>
      </c>
      <c r="T59" s="73" t="str">
        <f t="shared" ref="T59:T122" si="46">MID(G59,2,2)</f>
        <v/>
      </c>
      <c r="X59" s="73">
        <v>3715</v>
      </c>
      <c r="Y59" s="73" t="s">
        <v>125</v>
      </c>
      <c r="AA59" s="73" t="str">
        <f t="shared" si="4"/>
        <v>37</v>
      </c>
      <c r="AB59" s="73" t="str">
        <f t="shared" si="5"/>
        <v>371</v>
      </c>
      <c r="AD59" s="73" t="s">
        <v>2029</v>
      </c>
      <c r="AE59" s="73" t="s">
        <v>2030</v>
      </c>
      <c r="AF59" s="73" t="str">
        <f t="shared" si="12"/>
        <v>A679071</v>
      </c>
      <c r="AG59" s="73" t="str">
        <f>VLOOKUP(AF59,AKT!$C$4:$E$324,3,FALSE)</f>
        <v>0942</v>
      </c>
    </row>
    <row r="60" spans="1:33">
      <c r="A60" s="82"/>
      <c r="B60" s="77"/>
      <c r="C60" s="82"/>
      <c r="D60" s="77"/>
      <c r="E60" s="114"/>
      <c r="F60" s="77"/>
      <c r="G60" s="77"/>
      <c r="H60" s="113"/>
      <c r="I60" s="113"/>
      <c r="J60" s="113"/>
      <c r="K60" s="124"/>
      <c r="L60" s="123"/>
      <c r="M60" s="123"/>
      <c r="N60" s="124"/>
      <c r="O60" s="300"/>
      <c r="P60" s="81"/>
      <c r="R60" s="73" t="str">
        <f t="shared" si="44"/>
        <v/>
      </c>
      <c r="S60" s="73" t="str">
        <f t="shared" si="45"/>
        <v/>
      </c>
      <c r="T60" s="73" t="str">
        <f t="shared" si="46"/>
        <v/>
      </c>
      <c r="X60" s="73">
        <v>3721</v>
      </c>
      <c r="Y60" s="73" t="s">
        <v>65</v>
      </c>
      <c r="AA60" s="73" t="str">
        <f t="shared" ref="AA60:AA120" si="47">LEFT(X60,2)</f>
        <v>37</v>
      </c>
      <c r="AB60" s="73" t="str">
        <f t="shared" si="5"/>
        <v>372</v>
      </c>
      <c r="AD60" s="73" t="s">
        <v>2031</v>
      </c>
      <c r="AE60" s="73" t="s">
        <v>2032</v>
      </c>
      <c r="AF60" s="73" t="str">
        <f t="shared" si="12"/>
        <v>A679071</v>
      </c>
      <c r="AG60" s="73" t="str">
        <f>VLOOKUP(AF60,AKT!$C$4:$E$324,3,FALSE)</f>
        <v>0942</v>
      </c>
    </row>
    <row r="61" spans="1:33">
      <c r="A61" s="82"/>
      <c r="B61" s="77"/>
      <c r="C61" s="82"/>
      <c r="D61" s="77"/>
      <c r="E61" s="114"/>
      <c r="F61" s="77"/>
      <c r="G61" s="77"/>
      <c r="H61" s="113"/>
      <c r="I61" s="113"/>
      <c r="J61" s="113"/>
      <c r="K61" s="124"/>
      <c r="L61" s="123"/>
      <c r="M61" s="123"/>
      <c r="N61" s="124"/>
      <c r="O61" s="300"/>
      <c r="P61" s="81"/>
      <c r="R61" s="73" t="str">
        <f t="shared" si="44"/>
        <v/>
      </c>
      <c r="S61" s="73" t="str">
        <f t="shared" si="45"/>
        <v/>
      </c>
      <c r="T61" s="73" t="str">
        <f t="shared" si="46"/>
        <v/>
      </c>
      <c r="X61" s="73">
        <v>3722</v>
      </c>
      <c r="Y61" s="73" t="s">
        <v>148</v>
      </c>
      <c r="AA61" s="73" t="str">
        <f t="shared" si="47"/>
        <v>37</v>
      </c>
      <c r="AB61" s="73" t="str">
        <f t="shared" ref="AB61:AB120" si="48">LEFT(X61,3)</f>
        <v>372</v>
      </c>
      <c r="AD61" s="73" t="s">
        <v>2033</v>
      </c>
      <c r="AE61" s="73" t="s">
        <v>2034</v>
      </c>
      <c r="AF61" s="73" t="str">
        <f t="shared" si="12"/>
        <v>A679071</v>
      </c>
      <c r="AG61" s="73" t="str">
        <f>VLOOKUP(AF61,AKT!$C$4:$E$324,3,FALSE)</f>
        <v>0942</v>
      </c>
    </row>
    <row r="62" spans="1:33">
      <c r="A62" s="82"/>
      <c r="B62" s="77"/>
      <c r="C62" s="82"/>
      <c r="D62" s="77"/>
      <c r="E62" s="114"/>
      <c r="F62" s="77"/>
      <c r="G62" s="77"/>
      <c r="H62" s="113"/>
      <c r="I62" s="113"/>
      <c r="J62" s="113"/>
      <c r="K62" s="124"/>
      <c r="L62" s="123"/>
      <c r="M62" s="123"/>
      <c r="N62" s="124"/>
      <c r="O62" s="300"/>
      <c r="P62" s="81"/>
      <c r="R62" s="73" t="str">
        <f t="shared" si="44"/>
        <v/>
      </c>
      <c r="S62" s="73" t="str">
        <f t="shared" si="45"/>
        <v/>
      </c>
      <c r="T62" s="73" t="str">
        <f t="shared" si="46"/>
        <v/>
      </c>
      <c r="X62" s="73">
        <v>3723</v>
      </c>
      <c r="Y62" s="73" t="s">
        <v>103</v>
      </c>
      <c r="AA62" s="73" t="str">
        <f t="shared" si="47"/>
        <v>37</v>
      </c>
      <c r="AB62" s="73" t="str">
        <f t="shared" si="48"/>
        <v>372</v>
      </c>
      <c r="AD62" s="73" t="s">
        <v>2035</v>
      </c>
      <c r="AE62" s="73" t="s">
        <v>2036</v>
      </c>
      <c r="AF62" s="73" t="str">
        <f t="shared" si="12"/>
        <v>A679071</v>
      </c>
      <c r="AG62" s="73" t="str">
        <f>VLOOKUP(AF62,AKT!$C$4:$E$324,3,FALSE)</f>
        <v>0942</v>
      </c>
    </row>
    <row r="63" spans="1:33">
      <c r="A63" s="82"/>
      <c r="B63" s="77"/>
      <c r="C63" s="82"/>
      <c r="D63" s="77"/>
      <c r="E63" s="114"/>
      <c r="F63" s="77"/>
      <c r="G63" s="77"/>
      <c r="H63" s="113"/>
      <c r="I63" s="113"/>
      <c r="J63" s="113"/>
      <c r="K63" s="124"/>
      <c r="L63" s="123"/>
      <c r="M63" s="123"/>
      <c r="N63" s="124"/>
      <c r="O63" s="300"/>
      <c r="P63" s="81"/>
      <c r="R63" s="73" t="str">
        <f t="shared" si="44"/>
        <v/>
      </c>
      <c r="S63" s="73" t="str">
        <f t="shared" si="45"/>
        <v/>
      </c>
      <c r="T63" s="73" t="str">
        <f t="shared" si="46"/>
        <v/>
      </c>
      <c r="X63" s="73">
        <v>3811</v>
      </c>
      <c r="Y63" s="73" t="s">
        <v>55</v>
      </c>
      <c r="AA63" s="73" t="str">
        <f t="shared" si="47"/>
        <v>38</v>
      </c>
      <c r="AB63" s="73" t="str">
        <f t="shared" si="48"/>
        <v>381</v>
      </c>
      <c r="AD63" s="73" t="s">
        <v>2037</v>
      </c>
      <c r="AE63" s="73" t="s">
        <v>2038</v>
      </c>
      <c r="AF63" s="73" t="str">
        <f t="shared" ref="AF63:AF126" si="49">LEFT(AD63,7)</f>
        <v>A679071</v>
      </c>
      <c r="AG63" s="73" t="str">
        <f>VLOOKUP(AF63,AKT!$C$4:$E$324,3,FALSE)</f>
        <v>0942</v>
      </c>
    </row>
    <row r="64" spans="1:33">
      <c r="A64" s="82"/>
      <c r="B64" s="77"/>
      <c r="C64" s="82"/>
      <c r="D64" s="77"/>
      <c r="E64" s="114"/>
      <c r="F64" s="77"/>
      <c r="G64" s="77"/>
      <c r="H64" s="113"/>
      <c r="I64" s="113"/>
      <c r="J64" s="113"/>
      <c r="K64" s="124"/>
      <c r="L64" s="123"/>
      <c r="M64" s="123"/>
      <c r="N64" s="124"/>
      <c r="O64" s="300"/>
      <c r="P64" s="81"/>
      <c r="R64" s="73" t="str">
        <f t="shared" si="44"/>
        <v/>
      </c>
      <c r="S64" s="73" t="str">
        <f t="shared" si="45"/>
        <v/>
      </c>
      <c r="T64" s="73" t="str">
        <f t="shared" si="46"/>
        <v/>
      </c>
      <c r="X64" s="73">
        <v>3812</v>
      </c>
      <c r="Y64" s="73" t="s">
        <v>149</v>
      </c>
      <c r="AA64" s="73" t="str">
        <f t="shared" si="47"/>
        <v>38</v>
      </c>
      <c r="AB64" s="73" t="str">
        <f t="shared" si="48"/>
        <v>381</v>
      </c>
      <c r="AD64" s="73" t="s">
        <v>2039</v>
      </c>
      <c r="AE64" s="73" t="s">
        <v>2040</v>
      </c>
      <c r="AF64" s="73" t="str">
        <f t="shared" si="49"/>
        <v>A679071</v>
      </c>
      <c r="AG64" s="73" t="str">
        <f>VLOOKUP(AF64,AKT!$C$4:$E$324,3,FALSE)</f>
        <v>0942</v>
      </c>
    </row>
    <row r="65" spans="1:33">
      <c r="A65" s="82"/>
      <c r="B65" s="77"/>
      <c r="C65" s="82"/>
      <c r="D65" s="77"/>
      <c r="E65" s="114"/>
      <c r="F65" s="77"/>
      <c r="G65" s="77"/>
      <c r="H65" s="113"/>
      <c r="I65" s="113"/>
      <c r="J65" s="113"/>
      <c r="K65" s="124"/>
      <c r="L65" s="123"/>
      <c r="M65" s="123"/>
      <c r="N65" s="124"/>
      <c r="O65" s="300"/>
      <c r="P65" s="81"/>
      <c r="R65" s="73" t="str">
        <f t="shared" si="44"/>
        <v/>
      </c>
      <c r="S65" s="73" t="str">
        <f t="shared" si="45"/>
        <v/>
      </c>
      <c r="T65" s="73" t="str">
        <f t="shared" si="46"/>
        <v/>
      </c>
      <c r="X65" s="73">
        <v>3813</v>
      </c>
      <c r="Y65" s="73" t="s">
        <v>93</v>
      </c>
      <c r="AA65" s="73" t="str">
        <f t="shared" si="47"/>
        <v>38</v>
      </c>
      <c r="AB65" s="73" t="str">
        <f t="shared" si="48"/>
        <v>381</v>
      </c>
      <c r="AD65" s="73" t="s">
        <v>2041</v>
      </c>
      <c r="AE65" s="73" t="s">
        <v>2042</v>
      </c>
      <c r="AF65" s="73" t="str">
        <f t="shared" si="49"/>
        <v>A679071</v>
      </c>
      <c r="AG65" s="73" t="str">
        <f>VLOOKUP(AF65,AKT!$C$4:$E$324,3,FALSE)</f>
        <v>0942</v>
      </c>
    </row>
    <row r="66" spans="1:33">
      <c r="A66" s="82"/>
      <c r="B66" s="77" t="str">
        <f t="shared" ref="B66:B98" si="50">IFERROR(VLOOKUP(A66,$U$7:$V$21,2,FALSE),"")</f>
        <v/>
      </c>
      <c r="C66" s="82"/>
      <c r="D66" s="77" t="str">
        <f t="shared" ref="D66:D98" si="51">IFERROR(VLOOKUP(C66,$X$6:$Z$120,2,FALSE),"")</f>
        <v/>
      </c>
      <c r="E66" s="114"/>
      <c r="F66" s="77" t="str">
        <f t="shared" ref="F66:F98" si="52">IFERROR(VLOOKUP(E66,$AD$7:$AE$1081,2,FALSE),"")</f>
        <v/>
      </c>
      <c r="G66" s="77" t="str">
        <f t="shared" ref="G66:G98" si="53">IFERROR(VLOOKUP(E66,$AD$7:$AG$1081,4,FALSE),"")</f>
        <v/>
      </c>
      <c r="H66" s="113"/>
      <c r="I66" s="113"/>
      <c r="J66" s="113"/>
      <c r="K66" s="124"/>
      <c r="L66" s="123"/>
      <c r="M66" s="123"/>
      <c r="N66" s="124"/>
      <c r="O66" s="300"/>
      <c r="P66" s="81"/>
      <c r="R66" s="73" t="str">
        <f t="shared" si="44"/>
        <v/>
      </c>
      <c r="S66" s="73" t="str">
        <f t="shared" si="45"/>
        <v/>
      </c>
      <c r="T66" s="73" t="str">
        <f t="shared" si="46"/>
        <v/>
      </c>
      <c r="X66" s="73">
        <v>3821</v>
      </c>
      <c r="Y66" s="73" t="s">
        <v>167</v>
      </c>
      <c r="AA66" s="73" t="str">
        <f t="shared" si="47"/>
        <v>38</v>
      </c>
      <c r="AB66" s="73" t="str">
        <f t="shared" si="48"/>
        <v>382</v>
      </c>
      <c r="AD66" s="73" t="s">
        <v>2043</v>
      </c>
      <c r="AE66" s="73" t="s">
        <v>2044</v>
      </c>
      <c r="AF66" s="73" t="str">
        <f t="shared" si="49"/>
        <v>A679071</v>
      </c>
      <c r="AG66" s="73" t="str">
        <f>VLOOKUP(AF66,AKT!$C$4:$E$324,3,FALSE)</f>
        <v>0942</v>
      </c>
    </row>
    <row r="67" spans="1:33">
      <c r="A67" s="82"/>
      <c r="B67" s="77" t="str">
        <f t="shared" si="50"/>
        <v/>
      </c>
      <c r="C67" s="82"/>
      <c r="D67" s="77" t="str">
        <f t="shared" si="51"/>
        <v/>
      </c>
      <c r="E67" s="114"/>
      <c r="F67" s="77" t="str">
        <f t="shared" si="52"/>
        <v/>
      </c>
      <c r="G67" s="77" t="str">
        <f t="shared" si="53"/>
        <v/>
      </c>
      <c r="H67" s="113"/>
      <c r="I67" s="113"/>
      <c r="J67" s="113"/>
      <c r="K67" s="124"/>
      <c r="L67" s="123"/>
      <c r="M67" s="123"/>
      <c r="N67" s="124"/>
      <c r="O67" s="300"/>
      <c r="P67" s="81"/>
      <c r="R67" s="73" t="str">
        <f t="shared" si="44"/>
        <v/>
      </c>
      <c r="S67" s="73" t="str">
        <f t="shared" si="45"/>
        <v/>
      </c>
      <c r="T67" s="73" t="str">
        <f t="shared" si="46"/>
        <v/>
      </c>
      <c r="X67" s="73">
        <v>3831</v>
      </c>
      <c r="Y67" s="73" t="s">
        <v>150</v>
      </c>
      <c r="AA67" s="73" t="str">
        <f t="shared" si="47"/>
        <v>38</v>
      </c>
      <c r="AB67" s="73" t="str">
        <f t="shared" si="48"/>
        <v>383</v>
      </c>
      <c r="AD67" s="73" t="s">
        <v>2045</v>
      </c>
      <c r="AE67" s="73" t="s">
        <v>2046</v>
      </c>
      <c r="AF67" s="73" t="str">
        <f t="shared" si="49"/>
        <v>A679071</v>
      </c>
      <c r="AG67" s="73" t="str">
        <f>VLOOKUP(AF67,AKT!$C$4:$E$324,3,FALSE)</f>
        <v>0942</v>
      </c>
    </row>
    <row r="68" spans="1:33">
      <c r="A68" s="82"/>
      <c r="B68" s="77" t="str">
        <f t="shared" si="50"/>
        <v/>
      </c>
      <c r="C68" s="82"/>
      <c r="D68" s="77" t="str">
        <f t="shared" si="51"/>
        <v/>
      </c>
      <c r="E68" s="114"/>
      <c r="F68" s="77" t="str">
        <f t="shared" si="52"/>
        <v/>
      </c>
      <c r="G68" s="77" t="str">
        <f t="shared" si="53"/>
        <v/>
      </c>
      <c r="H68" s="113"/>
      <c r="I68" s="113"/>
      <c r="J68" s="113"/>
      <c r="K68" s="124"/>
      <c r="L68" s="123"/>
      <c r="M68" s="123"/>
      <c r="N68" s="124"/>
      <c r="O68" s="300"/>
      <c r="P68" s="81"/>
      <c r="R68" s="73" t="str">
        <f t="shared" si="44"/>
        <v/>
      </c>
      <c r="S68" s="73" t="str">
        <f t="shared" si="45"/>
        <v/>
      </c>
      <c r="T68" s="73" t="str">
        <f t="shared" si="46"/>
        <v/>
      </c>
      <c r="X68" s="73">
        <v>3832</v>
      </c>
      <c r="Y68" s="73" t="s">
        <v>188</v>
      </c>
      <c r="AA68" s="73" t="str">
        <f t="shared" si="47"/>
        <v>38</v>
      </c>
      <c r="AB68" s="73" t="str">
        <f t="shared" si="48"/>
        <v>383</v>
      </c>
      <c r="AD68" s="73" t="s">
        <v>2047</v>
      </c>
      <c r="AE68" s="73" t="s">
        <v>2048</v>
      </c>
      <c r="AF68" s="73" t="str">
        <f t="shared" si="49"/>
        <v>A679071</v>
      </c>
      <c r="AG68" s="73" t="str">
        <f>VLOOKUP(AF68,AKT!$C$4:$E$324,3,FALSE)</f>
        <v>0942</v>
      </c>
    </row>
    <row r="69" spans="1:33">
      <c r="A69" s="82"/>
      <c r="B69" s="77" t="str">
        <f t="shared" si="50"/>
        <v/>
      </c>
      <c r="C69" s="82"/>
      <c r="D69" s="77" t="str">
        <f t="shared" si="51"/>
        <v/>
      </c>
      <c r="E69" s="114"/>
      <c r="F69" s="77" t="str">
        <f t="shared" si="52"/>
        <v/>
      </c>
      <c r="G69" s="77" t="str">
        <f t="shared" si="53"/>
        <v/>
      </c>
      <c r="H69" s="113"/>
      <c r="I69" s="113"/>
      <c r="J69" s="113"/>
      <c r="K69" s="124"/>
      <c r="L69" s="123"/>
      <c r="M69" s="123"/>
      <c r="N69" s="124"/>
      <c r="O69" s="300"/>
      <c r="P69" s="81"/>
      <c r="R69" s="73" t="str">
        <f t="shared" si="44"/>
        <v/>
      </c>
      <c r="S69" s="73" t="str">
        <f t="shared" si="45"/>
        <v/>
      </c>
      <c r="T69" s="73" t="str">
        <f t="shared" si="46"/>
        <v/>
      </c>
      <c r="X69" s="73">
        <v>3833</v>
      </c>
      <c r="Y69" s="73" t="s">
        <v>151</v>
      </c>
      <c r="AA69" s="73" t="str">
        <f t="shared" si="47"/>
        <v>38</v>
      </c>
      <c r="AB69" s="73" t="str">
        <f t="shared" si="48"/>
        <v>383</v>
      </c>
      <c r="AD69" s="73" t="s">
        <v>2049</v>
      </c>
      <c r="AE69" s="73" t="s">
        <v>2050</v>
      </c>
      <c r="AF69" s="73" t="str">
        <f t="shared" si="49"/>
        <v>A679071</v>
      </c>
      <c r="AG69" s="73" t="str">
        <f>VLOOKUP(AF69,AKT!$C$4:$E$324,3,FALSE)</f>
        <v>0942</v>
      </c>
    </row>
    <row r="70" spans="1:33">
      <c r="A70" s="82"/>
      <c r="B70" s="77" t="str">
        <f t="shared" si="50"/>
        <v/>
      </c>
      <c r="C70" s="82"/>
      <c r="D70" s="77" t="str">
        <f t="shared" si="51"/>
        <v/>
      </c>
      <c r="E70" s="114"/>
      <c r="F70" s="77" t="str">
        <f t="shared" si="52"/>
        <v/>
      </c>
      <c r="G70" s="77" t="str">
        <f t="shared" si="53"/>
        <v/>
      </c>
      <c r="H70" s="113"/>
      <c r="I70" s="113"/>
      <c r="J70" s="113"/>
      <c r="K70" s="124"/>
      <c r="L70" s="123"/>
      <c r="M70" s="123"/>
      <c r="N70" s="124"/>
      <c r="O70" s="300"/>
      <c r="P70" s="81"/>
      <c r="R70" s="73" t="str">
        <f t="shared" si="44"/>
        <v/>
      </c>
      <c r="S70" s="73" t="str">
        <f t="shared" si="45"/>
        <v/>
      </c>
      <c r="T70" s="73" t="str">
        <f t="shared" si="46"/>
        <v/>
      </c>
      <c r="X70" s="73">
        <v>3834</v>
      </c>
      <c r="Y70" s="73" t="s">
        <v>152</v>
      </c>
      <c r="AA70" s="73" t="str">
        <f t="shared" si="47"/>
        <v>38</v>
      </c>
      <c r="AB70" s="73" t="str">
        <f t="shared" si="48"/>
        <v>383</v>
      </c>
      <c r="AD70" s="73" t="s">
        <v>2051</v>
      </c>
      <c r="AE70" s="73" t="s">
        <v>2052</v>
      </c>
      <c r="AF70" s="73" t="str">
        <f t="shared" si="49"/>
        <v>A679071</v>
      </c>
      <c r="AG70" s="73" t="str">
        <f>VLOOKUP(AF70,AKT!$C$4:$E$324,3,FALSE)</f>
        <v>0942</v>
      </c>
    </row>
    <row r="71" spans="1:33">
      <c r="A71" s="82"/>
      <c r="B71" s="77" t="str">
        <f t="shared" si="50"/>
        <v/>
      </c>
      <c r="C71" s="82"/>
      <c r="D71" s="77" t="str">
        <f t="shared" si="51"/>
        <v/>
      </c>
      <c r="E71" s="114"/>
      <c r="F71" s="77" t="str">
        <f t="shared" si="52"/>
        <v/>
      </c>
      <c r="G71" s="77" t="str">
        <f t="shared" si="53"/>
        <v/>
      </c>
      <c r="H71" s="113"/>
      <c r="I71" s="113"/>
      <c r="J71" s="113"/>
      <c r="K71" s="124"/>
      <c r="L71" s="123"/>
      <c r="M71" s="123"/>
      <c r="N71" s="124"/>
      <c r="O71" s="300"/>
      <c r="P71" s="81"/>
      <c r="R71" s="73" t="str">
        <f t="shared" si="44"/>
        <v/>
      </c>
      <c r="S71" s="73" t="str">
        <f t="shared" si="45"/>
        <v/>
      </c>
      <c r="T71" s="73" t="str">
        <f t="shared" si="46"/>
        <v/>
      </c>
      <c r="X71" s="73">
        <v>3835</v>
      </c>
      <c r="Y71" s="73" t="s">
        <v>153</v>
      </c>
      <c r="AA71" s="73" t="str">
        <f t="shared" si="47"/>
        <v>38</v>
      </c>
      <c r="AB71" s="73" t="str">
        <f t="shared" si="48"/>
        <v>383</v>
      </c>
      <c r="AD71" s="73" t="s">
        <v>2053</v>
      </c>
      <c r="AE71" s="73" t="s">
        <v>2054</v>
      </c>
      <c r="AF71" s="73" t="str">
        <f t="shared" si="49"/>
        <v>A679071</v>
      </c>
      <c r="AG71" s="73" t="str">
        <f>VLOOKUP(AF71,AKT!$C$4:$E$324,3,FALSE)</f>
        <v>0942</v>
      </c>
    </row>
    <row r="72" spans="1:33">
      <c r="A72" s="82"/>
      <c r="B72" s="77" t="str">
        <f t="shared" si="50"/>
        <v/>
      </c>
      <c r="C72" s="82"/>
      <c r="D72" s="77" t="str">
        <f t="shared" si="51"/>
        <v/>
      </c>
      <c r="E72" s="114"/>
      <c r="F72" s="77" t="str">
        <f t="shared" si="52"/>
        <v/>
      </c>
      <c r="G72" s="77" t="str">
        <f t="shared" si="53"/>
        <v/>
      </c>
      <c r="H72" s="113"/>
      <c r="I72" s="113"/>
      <c r="J72" s="113"/>
      <c r="K72" s="124"/>
      <c r="L72" s="123"/>
      <c r="M72" s="123"/>
      <c r="N72" s="124"/>
      <c r="O72" s="300"/>
      <c r="P72" s="81"/>
      <c r="R72" s="73" t="str">
        <f t="shared" si="44"/>
        <v/>
      </c>
      <c r="S72" s="73" t="str">
        <f t="shared" si="45"/>
        <v/>
      </c>
      <c r="T72" s="73" t="str">
        <f t="shared" si="46"/>
        <v/>
      </c>
      <c r="X72" s="121">
        <v>3861</v>
      </c>
      <c r="Y72" s="122" t="s">
        <v>656</v>
      </c>
      <c r="Z72" s="121"/>
      <c r="AA72" s="121" t="str">
        <f t="shared" si="47"/>
        <v>38</v>
      </c>
      <c r="AB72" s="121" t="str">
        <f t="shared" si="48"/>
        <v>386</v>
      </c>
      <c r="AD72" s="73" t="s">
        <v>2055</v>
      </c>
      <c r="AE72" s="73" t="s">
        <v>2056</v>
      </c>
      <c r="AF72" s="73" t="str">
        <f t="shared" si="49"/>
        <v>A679071</v>
      </c>
      <c r="AG72" s="73" t="str">
        <f>VLOOKUP(AF72,AKT!$C$4:$E$324,3,FALSE)</f>
        <v>0942</v>
      </c>
    </row>
    <row r="73" spans="1:33">
      <c r="A73" s="82"/>
      <c r="B73" s="77" t="str">
        <f t="shared" si="50"/>
        <v/>
      </c>
      <c r="C73" s="82"/>
      <c r="D73" s="77" t="str">
        <f t="shared" si="51"/>
        <v/>
      </c>
      <c r="E73" s="114"/>
      <c r="F73" s="77" t="str">
        <f t="shared" si="52"/>
        <v/>
      </c>
      <c r="G73" s="77" t="str">
        <f t="shared" si="53"/>
        <v/>
      </c>
      <c r="H73" s="113"/>
      <c r="I73" s="113"/>
      <c r="J73" s="113"/>
      <c r="K73" s="124"/>
      <c r="L73" s="123"/>
      <c r="M73" s="123"/>
      <c r="N73" s="124"/>
      <c r="O73" s="300"/>
      <c r="P73" s="81"/>
      <c r="R73" s="73" t="str">
        <f t="shared" si="44"/>
        <v/>
      </c>
      <c r="S73" s="73" t="str">
        <f t="shared" si="45"/>
        <v/>
      </c>
      <c r="T73" s="73" t="str">
        <f t="shared" si="46"/>
        <v/>
      </c>
      <c r="X73" s="120">
        <v>3862</v>
      </c>
      <c r="Y73" s="73" t="s">
        <v>657</v>
      </c>
      <c r="AA73" s="73" t="str">
        <f t="shared" si="47"/>
        <v>38</v>
      </c>
      <c r="AB73" s="73" t="str">
        <f t="shared" si="48"/>
        <v>386</v>
      </c>
      <c r="AD73" s="73" t="s">
        <v>2057</v>
      </c>
      <c r="AE73" s="73" t="s">
        <v>2058</v>
      </c>
      <c r="AF73" s="73" t="str">
        <f t="shared" si="49"/>
        <v>A679071</v>
      </c>
      <c r="AG73" s="73" t="str">
        <f>VLOOKUP(AF73,AKT!$C$4:$E$324,3,FALSE)</f>
        <v>0942</v>
      </c>
    </row>
    <row r="74" spans="1:33">
      <c r="A74" s="82"/>
      <c r="B74" s="77" t="str">
        <f t="shared" si="50"/>
        <v/>
      </c>
      <c r="C74" s="82"/>
      <c r="D74" s="77" t="str">
        <f t="shared" si="51"/>
        <v/>
      </c>
      <c r="E74" s="114"/>
      <c r="F74" s="77" t="str">
        <f t="shared" si="52"/>
        <v/>
      </c>
      <c r="G74" s="77" t="str">
        <f t="shared" si="53"/>
        <v/>
      </c>
      <c r="H74" s="113"/>
      <c r="I74" s="113"/>
      <c r="J74" s="113"/>
      <c r="K74" s="124"/>
      <c r="L74" s="123"/>
      <c r="M74" s="123"/>
      <c r="N74" s="124"/>
      <c r="O74" s="300"/>
      <c r="P74" s="81"/>
      <c r="R74" s="73" t="str">
        <f t="shared" si="44"/>
        <v/>
      </c>
      <c r="S74" s="73" t="str">
        <f t="shared" si="45"/>
        <v/>
      </c>
      <c r="T74" s="73" t="str">
        <f t="shared" si="46"/>
        <v/>
      </c>
      <c r="X74" s="120">
        <v>3863</v>
      </c>
      <c r="Y74" s="73" t="s">
        <v>658</v>
      </c>
      <c r="AA74" s="73" t="str">
        <f t="shared" si="47"/>
        <v>38</v>
      </c>
      <c r="AB74" s="73" t="str">
        <f t="shared" si="48"/>
        <v>386</v>
      </c>
      <c r="AD74" s="73" t="s">
        <v>2059</v>
      </c>
      <c r="AE74" s="73" t="s">
        <v>2060</v>
      </c>
      <c r="AF74" s="73" t="str">
        <f t="shared" si="49"/>
        <v>A679071</v>
      </c>
      <c r="AG74" s="73" t="str">
        <f>VLOOKUP(AF74,AKT!$C$4:$E$324,3,FALSE)</f>
        <v>0942</v>
      </c>
    </row>
    <row r="75" spans="1:33">
      <c r="A75" s="82"/>
      <c r="B75" s="77" t="str">
        <f t="shared" si="50"/>
        <v/>
      </c>
      <c r="C75" s="82"/>
      <c r="D75" s="77" t="str">
        <f t="shared" si="51"/>
        <v/>
      </c>
      <c r="E75" s="114"/>
      <c r="F75" s="77" t="str">
        <f t="shared" si="52"/>
        <v/>
      </c>
      <c r="G75" s="77" t="str">
        <f t="shared" si="53"/>
        <v/>
      </c>
      <c r="H75" s="113"/>
      <c r="I75" s="113"/>
      <c r="J75" s="113"/>
      <c r="K75" s="124"/>
      <c r="L75" s="123"/>
      <c r="M75" s="123"/>
      <c r="N75" s="124"/>
      <c r="O75" s="300"/>
      <c r="P75" s="81"/>
      <c r="R75" s="73" t="str">
        <f t="shared" si="44"/>
        <v/>
      </c>
      <c r="S75" s="73" t="str">
        <f t="shared" si="45"/>
        <v/>
      </c>
      <c r="T75" s="73" t="str">
        <f t="shared" si="46"/>
        <v/>
      </c>
      <c r="X75" s="73">
        <v>4111</v>
      </c>
      <c r="Y75" s="73" t="s">
        <v>154</v>
      </c>
      <c r="AA75" s="73" t="str">
        <f t="shared" si="47"/>
        <v>41</v>
      </c>
      <c r="AB75" s="73" t="str">
        <f t="shared" si="48"/>
        <v>411</v>
      </c>
      <c r="AD75" s="73" t="s">
        <v>3023</v>
      </c>
      <c r="AE75" s="73" t="s">
        <v>3024</v>
      </c>
      <c r="AF75" s="73" t="str">
        <f t="shared" si="49"/>
        <v>A679071</v>
      </c>
      <c r="AG75" s="73" t="str">
        <f>VLOOKUP(AF75,AKT!$C$4:$E$324,3,FALSE)</f>
        <v>0942</v>
      </c>
    </row>
    <row r="76" spans="1:33">
      <c r="A76" s="82"/>
      <c r="B76" s="77" t="str">
        <f t="shared" si="50"/>
        <v/>
      </c>
      <c r="C76" s="82"/>
      <c r="D76" s="77" t="str">
        <f t="shared" si="51"/>
        <v/>
      </c>
      <c r="E76" s="114"/>
      <c r="F76" s="77" t="str">
        <f t="shared" si="52"/>
        <v/>
      </c>
      <c r="G76" s="77" t="str">
        <f t="shared" si="53"/>
        <v/>
      </c>
      <c r="H76" s="113"/>
      <c r="I76" s="113"/>
      <c r="J76" s="113"/>
      <c r="K76" s="124"/>
      <c r="L76" s="123"/>
      <c r="M76" s="123"/>
      <c r="N76" s="124"/>
      <c r="O76" s="300"/>
      <c r="P76" s="81"/>
      <c r="R76" s="73" t="str">
        <f t="shared" si="44"/>
        <v/>
      </c>
      <c r="S76" s="73" t="str">
        <f t="shared" si="45"/>
        <v/>
      </c>
      <c r="T76" s="73" t="str">
        <f t="shared" si="46"/>
        <v/>
      </c>
      <c r="X76" s="73">
        <v>4113</v>
      </c>
      <c r="Y76" s="73" t="s">
        <v>186</v>
      </c>
      <c r="AA76" s="73" t="str">
        <f t="shared" si="47"/>
        <v>41</v>
      </c>
      <c r="AB76" s="73" t="str">
        <f t="shared" si="48"/>
        <v>411</v>
      </c>
      <c r="AD76" s="73" t="s">
        <v>3025</v>
      </c>
      <c r="AE76" s="73" t="s">
        <v>3026</v>
      </c>
      <c r="AF76" s="73" t="str">
        <f t="shared" si="49"/>
        <v>A679071</v>
      </c>
      <c r="AG76" s="73" t="str">
        <f>VLOOKUP(AF76,AKT!$C$4:$E$324,3,FALSE)</f>
        <v>0942</v>
      </c>
    </row>
    <row r="77" spans="1:33">
      <c r="A77" s="82"/>
      <c r="B77" s="77" t="str">
        <f t="shared" si="50"/>
        <v/>
      </c>
      <c r="C77" s="82"/>
      <c r="D77" s="77" t="str">
        <f t="shared" si="51"/>
        <v/>
      </c>
      <c r="E77" s="114"/>
      <c r="F77" s="77" t="str">
        <f t="shared" si="52"/>
        <v/>
      </c>
      <c r="G77" s="77" t="str">
        <f t="shared" si="53"/>
        <v/>
      </c>
      <c r="H77" s="113"/>
      <c r="I77" s="113"/>
      <c r="J77" s="113"/>
      <c r="K77" s="124"/>
      <c r="L77" s="123"/>
      <c r="M77" s="123"/>
      <c r="N77" s="124"/>
      <c r="O77" s="300"/>
      <c r="P77" s="81"/>
      <c r="R77" s="73" t="str">
        <f t="shared" si="44"/>
        <v/>
      </c>
      <c r="S77" s="73" t="str">
        <f t="shared" si="45"/>
        <v/>
      </c>
      <c r="T77" s="73" t="str">
        <f t="shared" si="46"/>
        <v/>
      </c>
      <c r="X77" s="73">
        <v>4122</v>
      </c>
      <c r="Y77" s="73" t="s">
        <v>155</v>
      </c>
      <c r="AA77" s="73" t="str">
        <f t="shared" si="47"/>
        <v>41</v>
      </c>
      <c r="AB77" s="73" t="str">
        <f t="shared" si="48"/>
        <v>412</v>
      </c>
      <c r="AD77" s="73" t="s">
        <v>3027</v>
      </c>
      <c r="AE77" s="73" t="s">
        <v>3028</v>
      </c>
      <c r="AF77" s="73" t="str">
        <f t="shared" si="49"/>
        <v>A679071</v>
      </c>
      <c r="AG77" s="73" t="str">
        <f>VLOOKUP(AF77,AKT!$C$4:$E$324,3,FALSE)</f>
        <v>0942</v>
      </c>
    </row>
    <row r="78" spans="1:33">
      <c r="A78" s="82"/>
      <c r="B78" s="77" t="str">
        <f t="shared" si="50"/>
        <v/>
      </c>
      <c r="C78" s="82"/>
      <c r="D78" s="77" t="str">
        <f t="shared" si="51"/>
        <v/>
      </c>
      <c r="E78" s="114"/>
      <c r="F78" s="77" t="str">
        <f t="shared" si="52"/>
        <v/>
      </c>
      <c r="G78" s="77" t="str">
        <f t="shared" si="53"/>
        <v/>
      </c>
      <c r="H78" s="113"/>
      <c r="I78" s="113"/>
      <c r="J78" s="113"/>
      <c r="K78" s="124"/>
      <c r="L78" s="123"/>
      <c r="M78" s="123"/>
      <c r="N78" s="124"/>
      <c r="O78" s="300"/>
      <c r="P78" s="81"/>
      <c r="R78" s="73" t="str">
        <f t="shared" si="44"/>
        <v/>
      </c>
      <c r="S78" s="73" t="str">
        <f t="shared" si="45"/>
        <v/>
      </c>
      <c r="T78" s="73" t="str">
        <f t="shared" si="46"/>
        <v/>
      </c>
      <c r="X78" s="73">
        <v>4123</v>
      </c>
      <c r="Y78" s="73" t="s">
        <v>126</v>
      </c>
      <c r="AA78" s="73" t="str">
        <f t="shared" si="47"/>
        <v>41</v>
      </c>
      <c r="AB78" s="73" t="str">
        <f t="shared" si="48"/>
        <v>412</v>
      </c>
      <c r="AD78" s="73" t="s">
        <v>3029</v>
      </c>
      <c r="AE78" s="73" t="s">
        <v>3030</v>
      </c>
      <c r="AF78" s="73" t="str">
        <f t="shared" si="49"/>
        <v>A679071</v>
      </c>
      <c r="AG78" s="73" t="str">
        <f>VLOOKUP(AF78,AKT!$C$4:$E$324,3,FALSE)</f>
        <v>0942</v>
      </c>
    </row>
    <row r="79" spans="1:33">
      <c r="A79" s="82"/>
      <c r="B79" s="77" t="str">
        <f t="shared" si="50"/>
        <v/>
      </c>
      <c r="C79" s="82"/>
      <c r="D79" s="77" t="str">
        <f t="shared" si="51"/>
        <v/>
      </c>
      <c r="E79" s="114"/>
      <c r="F79" s="77" t="str">
        <f t="shared" si="52"/>
        <v/>
      </c>
      <c r="G79" s="77" t="str">
        <f t="shared" si="53"/>
        <v/>
      </c>
      <c r="H79" s="113"/>
      <c r="I79" s="113"/>
      <c r="J79" s="113"/>
      <c r="K79" s="124"/>
      <c r="L79" s="123"/>
      <c r="M79" s="123"/>
      <c r="N79" s="124"/>
      <c r="O79" s="300"/>
      <c r="P79" s="81"/>
      <c r="R79" s="73" t="str">
        <f t="shared" si="44"/>
        <v/>
      </c>
      <c r="S79" s="73" t="str">
        <f t="shared" si="45"/>
        <v/>
      </c>
      <c r="T79" s="73" t="str">
        <f t="shared" si="46"/>
        <v/>
      </c>
      <c r="X79" s="73">
        <v>4124</v>
      </c>
      <c r="Y79" s="73" t="s">
        <v>112</v>
      </c>
      <c r="AA79" s="73" t="str">
        <f t="shared" si="47"/>
        <v>41</v>
      </c>
      <c r="AB79" s="73" t="str">
        <f t="shared" si="48"/>
        <v>412</v>
      </c>
      <c r="AD79" s="73" t="s">
        <v>3031</v>
      </c>
      <c r="AE79" s="73" t="s">
        <v>3032</v>
      </c>
      <c r="AF79" s="73" t="str">
        <f t="shared" si="49"/>
        <v>A679071</v>
      </c>
      <c r="AG79" s="73" t="str">
        <f>VLOOKUP(AF79,AKT!$C$4:$E$324,3,FALSE)</f>
        <v>0942</v>
      </c>
    </row>
    <row r="80" spans="1:33">
      <c r="A80" s="82"/>
      <c r="B80" s="77" t="str">
        <f t="shared" si="50"/>
        <v/>
      </c>
      <c r="C80" s="82"/>
      <c r="D80" s="77" t="str">
        <f t="shared" si="51"/>
        <v/>
      </c>
      <c r="E80" s="114"/>
      <c r="F80" s="77" t="str">
        <f t="shared" si="52"/>
        <v/>
      </c>
      <c r="G80" s="77" t="str">
        <f t="shared" si="53"/>
        <v/>
      </c>
      <c r="H80" s="113"/>
      <c r="I80" s="113"/>
      <c r="J80" s="113"/>
      <c r="K80" s="124"/>
      <c r="L80" s="123"/>
      <c r="M80" s="123"/>
      <c r="N80" s="124"/>
      <c r="O80" s="300"/>
      <c r="P80" s="81"/>
      <c r="R80" s="73" t="str">
        <f t="shared" si="44"/>
        <v/>
      </c>
      <c r="S80" s="73" t="str">
        <f t="shared" si="45"/>
        <v/>
      </c>
      <c r="T80" s="73" t="str">
        <f t="shared" si="46"/>
        <v/>
      </c>
      <c r="X80" s="73">
        <v>4126</v>
      </c>
      <c r="Y80" s="73" t="s">
        <v>156</v>
      </c>
      <c r="AA80" s="73" t="str">
        <f t="shared" si="47"/>
        <v>41</v>
      </c>
      <c r="AB80" s="73" t="str">
        <f t="shared" si="48"/>
        <v>412</v>
      </c>
      <c r="AD80" s="73" t="s">
        <v>3033</v>
      </c>
      <c r="AE80" s="73" t="s">
        <v>3034</v>
      </c>
      <c r="AF80" s="73" t="str">
        <f t="shared" si="49"/>
        <v>A679071</v>
      </c>
      <c r="AG80" s="73" t="str">
        <f>VLOOKUP(AF80,AKT!$C$4:$E$324,3,FALSE)</f>
        <v>0942</v>
      </c>
    </row>
    <row r="81" spans="1:33">
      <c r="A81" s="82"/>
      <c r="B81" s="77" t="str">
        <f t="shared" si="50"/>
        <v/>
      </c>
      <c r="C81" s="82"/>
      <c r="D81" s="77" t="str">
        <f t="shared" si="51"/>
        <v/>
      </c>
      <c r="E81" s="114"/>
      <c r="F81" s="77" t="str">
        <f t="shared" si="52"/>
        <v/>
      </c>
      <c r="G81" s="77" t="str">
        <f t="shared" si="53"/>
        <v/>
      </c>
      <c r="H81" s="113"/>
      <c r="I81" s="113"/>
      <c r="J81" s="113"/>
      <c r="K81" s="124"/>
      <c r="L81" s="123"/>
      <c r="M81" s="123"/>
      <c r="N81" s="124"/>
      <c r="O81" s="300"/>
      <c r="P81" s="81"/>
      <c r="R81" s="73" t="str">
        <f t="shared" si="44"/>
        <v/>
      </c>
      <c r="S81" s="73" t="str">
        <f t="shared" si="45"/>
        <v/>
      </c>
      <c r="T81" s="73" t="str">
        <f t="shared" si="46"/>
        <v/>
      </c>
      <c r="X81" s="73">
        <v>4211</v>
      </c>
      <c r="Y81" s="73" t="s">
        <v>170</v>
      </c>
      <c r="AA81" s="73" t="str">
        <f t="shared" si="47"/>
        <v>42</v>
      </c>
      <c r="AB81" s="73" t="str">
        <f t="shared" si="48"/>
        <v>421</v>
      </c>
      <c r="AD81" s="73" t="s">
        <v>3035</v>
      </c>
      <c r="AE81" s="73" t="s">
        <v>3036</v>
      </c>
      <c r="AF81" s="73" t="str">
        <f t="shared" si="49"/>
        <v>A679071</v>
      </c>
      <c r="AG81" s="73" t="str">
        <f>VLOOKUP(AF81,AKT!$C$4:$E$324,3,FALSE)</f>
        <v>0942</v>
      </c>
    </row>
    <row r="82" spans="1:33">
      <c r="A82" s="82"/>
      <c r="B82" s="77" t="str">
        <f t="shared" si="50"/>
        <v/>
      </c>
      <c r="C82" s="82"/>
      <c r="D82" s="77" t="str">
        <f t="shared" si="51"/>
        <v/>
      </c>
      <c r="E82" s="114"/>
      <c r="F82" s="77" t="str">
        <f t="shared" si="52"/>
        <v/>
      </c>
      <c r="G82" s="77" t="str">
        <f t="shared" si="53"/>
        <v/>
      </c>
      <c r="H82" s="113"/>
      <c r="I82" s="113"/>
      <c r="J82" s="113"/>
      <c r="K82" s="124"/>
      <c r="L82" s="123"/>
      <c r="M82" s="123"/>
      <c r="N82" s="124"/>
      <c r="O82" s="300"/>
      <c r="P82" s="81"/>
      <c r="R82" s="73" t="str">
        <f t="shared" si="44"/>
        <v/>
      </c>
      <c r="S82" s="73" t="str">
        <f t="shared" si="45"/>
        <v/>
      </c>
      <c r="T82" s="73" t="str">
        <f t="shared" si="46"/>
        <v/>
      </c>
      <c r="X82" s="73">
        <v>4212</v>
      </c>
      <c r="Y82" s="73" t="s">
        <v>60</v>
      </c>
      <c r="AA82" s="73" t="str">
        <f t="shared" si="47"/>
        <v>42</v>
      </c>
      <c r="AB82" s="73" t="str">
        <f t="shared" si="48"/>
        <v>421</v>
      </c>
      <c r="AD82" s="73" t="s">
        <v>3037</v>
      </c>
      <c r="AE82" s="73" t="s">
        <v>3038</v>
      </c>
      <c r="AF82" s="73" t="str">
        <f t="shared" si="49"/>
        <v>A679071</v>
      </c>
      <c r="AG82" s="73" t="str">
        <f>VLOOKUP(AF82,AKT!$C$4:$E$324,3,FALSE)</f>
        <v>0942</v>
      </c>
    </row>
    <row r="83" spans="1:33">
      <c r="A83" s="82"/>
      <c r="B83" s="77" t="str">
        <f t="shared" si="50"/>
        <v/>
      </c>
      <c r="C83" s="82"/>
      <c r="D83" s="77" t="str">
        <f t="shared" si="51"/>
        <v/>
      </c>
      <c r="E83" s="114"/>
      <c r="F83" s="77" t="str">
        <f t="shared" si="52"/>
        <v/>
      </c>
      <c r="G83" s="77" t="str">
        <f t="shared" si="53"/>
        <v/>
      </c>
      <c r="H83" s="113"/>
      <c r="I83" s="113"/>
      <c r="J83" s="113"/>
      <c r="K83" s="124"/>
      <c r="L83" s="123"/>
      <c r="M83" s="123"/>
      <c r="N83" s="124"/>
      <c r="O83" s="300"/>
      <c r="P83" s="81"/>
      <c r="R83" s="73" t="str">
        <f t="shared" si="44"/>
        <v/>
      </c>
      <c r="S83" s="73" t="str">
        <f t="shared" si="45"/>
        <v/>
      </c>
      <c r="T83" s="73" t="str">
        <f t="shared" si="46"/>
        <v/>
      </c>
      <c r="X83" s="73">
        <v>4213</v>
      </c>
      <c r="Y83" s="73" t="s">
        <v>157</v>
      </c>
      <c r="AA83" s="73" t="str">
        <f t="shared" si="47"/>
        <v>42</v>
      </c>
      <c r="AB83" s="73" t="str">
        <f t="shared" si="48"/>
        <v>421</v>
      </c>
      <c r="AD83" s="73" t="s">
        <v>3039</v>
      </c>
      <c r="AE83" s="73" t="s">
        <v>1167</v>
      </c>
      <c r="AF83" s="73" t="str">
        <f t="shared" si="49"/>
        <v>A679071</v>
      </c>
      <c r="AG83" s="73" t="str">
        <f>VLOOKUP(AF83,AKT!$C$4:$E$324,3,FALSE)</f>
        <v>0942</v>
      </c>
    </row>
    <row r="84" spans="1:33">
      <c r="A84" s="82"/>
      <c r="B84" s="77" t="str">
        <f t="shared" si="50"/>
        <v/>
      </c>
      <c r="C84" s="82"/>
      <c r="D84" s="77" t="str">
        <f t="shared" si="51"/>
        <v/>
      </c>
      <c r="E84" s="114"/>
      <c r="F84" s="77" t="str">
        <f t="shared" si="52"/>
        <v/>
      </c>
      <c r="G84" s="77" t="str">
        <f t="shared" si="53"/>
        <v/>
      </c>
      <c r="H84" s="113"/>
      <c r="I84" s="113"/>
      <c r="J84" s="113"/>
      <c r="K84" s="124"/>
      <c r="L84" s="123"/>
      <c r="M84" s="123"/>
      <c r="N84" s="124"/>
      <c r="O84" s="300"/>
      <c r="P84" s="81"/>
      <c r="R84" s="73" t="str">
        <f t="shared" si="44"/>
        <v/>
      </c>
      <c r="S84" s="73" t="str">
        <f t="shared" si="45"/>
        <v/>
      </c>
      <c r="T84" s="73" t="str">
        <f t="shared" si="46"/>
        <v/>
      </c>
      <c r="X84" s="73">
        <v>4214</v>
      </c>
      <c r="Y84" s="73" t="s">
        <v>158</v>
      </c>
      <c r="AA84" s="73" t="str">
        <f t="shared" si="47"/>
        <v>42</v>
      </c>
      <c r="AB84" s="73" t="str">
        <f t="shared" si="48"/>
        <v>421</v>
      </c>
      <c r="AD84" s="73" t="s">
        <v>707</v>
      </c>
      <c r="AE84" s="73" t="s">
        <v>708</v>
      </c>
      <c r="AF84" s="73" t="str">
        <f t="shared" si="49"/>
        <v>A679072</v>
      </c>
      <c r="AG84" s="73" t="str">
        <f>VLOOKUP(AF84,AKT!$C$4:$E$324,3,FALSE)</f>
        <v>0942</v>
      </c>
    </row>
    <row r="85" spans="1:33">
      <c r="A85" s="82"/>
      <c r="B85" s="77" t="str">
        <f t="shared" si="50"/>
        <v/>
      </c>
      <c r="C85" s="82"/>
      <c r="D85" s="77" t="str">
        <f t="shared" si="51"/>
        <v/>
      </c>
      <c r="E85" s="114"/>
      <c r="F85" s="77" t="str">
        <f t="shared" si="52"/>
        <v/>
      </c>
      <c r="G85" s="77" t="str">
        <f t="shared" si="53"/>
        <v/>
      </c>
      <c r="H85" s="113"/>
      <c r="I85" s="113"/>
      <c r="J85" s="113"/>
      <c r="K85" s="124"/>
      <c r="L85" s="123"/>
      <c r="M85" s="123"/>
      <c r="N85" s="124"/>
      <c r="O85" s="300"/>
      <c r="P85" s="81"/>
      <c r="R85" s="73" t="str">
        <f t="shared" si="44"/>
        <v/>
      </c>
      <c r="S85" s="73" t="str">
        <f t="shared" si="45"/>
        <v/>
      </c>
      <c r="T85" s="73" t="str">
        <f t="shared" si="46"/>
        <v/>
      </c>
      <c r="X85" s="73">
        <v>4221</v>
      </c>
      <c r="Y85" s="73" t="s">
        <v>94</v>
      </c>
      <c r="AA85" s="73" t="str">
        <f t="shared" si="47"/>
        <v>42</v>
      </c>
      <c r="AB85" s="73" t="str">
        <f t="shared" si="48"/>
        <v>422</v>
      </c>
      <c r="AD85" s="73" t="s">
        <v>709</v>
      </c>
      <c r="AE85" s="73" t="s">
        <v>710</v>
      </c>
      <c r="AF85" s="73" t="str">
        <f t="shared" si="49"/>
        <v>A679072</v>
      </c>
      <c r="AG85" s="73" t="str">
        <f>VLOOKUP(AF85,AKT!$C$4:$E$324,3,FALSE)</f>
        <v>0942</v>
      </c>
    </row>
    <row r="86" spans="1:33">
      <c r="A86" s="82"/>
      <c r="B86" s="77" t="str">
        <f t="shared" si="50"/>
        <v/>
      </c>
      <c r="C86" s="82"/>
      <c r="D86" s="77" t="str">
        <f t="shared" si="51"/>
        <v/>
      </c>
      <c r="E86" s="114"/>
      <c r="F86" s="77" t="str">
        <f t="shared" si="52"/>
        <v/>
      </c>
      <c r="G86" s="77" t="str">
        <f t="shared" si="53"/>
        <v/>
      </c>
      <c r="H86" s="113"/>
      <c r="I86" s="113"/>
      <c r="J86" s="113"/>
      <c r="K86" s="124"/>
      <c r="L86" s="123"/>
      <c r="M86" s="123"/>
      <c r="N86" s="124"/>
      <c r="O86" s="300"/>
      <c r="P86" s="81"/>
      <c r="R86" s="73" t="str">
        <f t="shared" si="44"/>
        <v/>
      </c>
      <c r="S86" s="73" t="str">
        <f t="shared" si="45"/>
        <v/>
      </c>
      <c r="T86" s="73" t="str">
        <f t="shared" si="46"/>
        <v/>
      </c>
      <c r="X86" s="73">
        <v>4222</v>
      </c>
      <c r="Y86" s="73" t="s">
        <v>104</v>
      </c>
      <c r="AA86" s="73" t="str">
        <f t="shared" si="47"/>
        <v>42</v>
      </c>
      <c r="AB86" s="73" t="str">
        <f t="shared" si="48"/>
        <v>422</v>
      </c>
      <c r="AD86" s="73" t="s">
        <v>3040</v>
      </c>
      <c r="AE86" s="73" t="s">
        <v>3041</v>
      </c>
      <c r="AF86" s="73" t="str">
        <f t="shared" si="49"/>
        <v>A679072</v>
      </c>
      <c r="AG86" s="73" t="str">
        <f>VLOOKUP(AF86,AKT!$C$4:$E$324,3,FALSE)</f>
        <v>0942</v>
      </c>
    </row>
    <row r="87" spans="1:33">
      <c r="A87" s="82"/>
      <c r="B87" s="77" t="str">
        <f t="shared" si="50"/>
        <v/>
      </c>
      <c r="C87" s="82"/>
      <c r="D87" s="77" t="str">
        <f t="shared" si="51"/>
        <v/>
      </c>
      <c r="E87" s="114"/>
      <c r="F87" s="77" t="str">
        <f t="shared" si="52"/>
        <v/>
      </c>
      <c r="G87" s="77" t="str">
        <f t="shared" si="53"/>
        <v/>
      </c>
      <c r="H87" s="113"/>
      <c r="I87" s="113"/>
      <c r="J87" s="113"/>
      <c r="K87" s="124"/>
      <c r="L87" s="123"/>
      <c r="M87" s="123"/>
      <c r="N87" s="124"/>
      <c r="O87" s="300"/>
      <c r="P87" s="81"/>
      <c r="R87" s="73" t="str">
        <f t="shared" si="44"/>
        <v/>
      </c>
      <c r="S87" s="73" t="str">
        <f t="shared" si="45"/>
        <v/>
      </c>
      <c r="T87" s="73" t="str">
        <f t="shared" si="46"/>
        <v/>
      </c>
      <c r="X87" s="73">
        <v>4223</v>
      </c>
      <c r="Y87" s="73" t="s">
        <v>117</v>
      </c>
      <c r="AA87" s="73" t="str">
        <f t="shared" si="47"/>
        <v>42</v>
      </c>
      <c r="AB87" s="73" t="str">
        <f t="shared" si="48"/>
        <v>422</v>
      </c>
      <c r="AD87" s="73" t="s">
        <v>3042</v>
      </c>
      <c r="AE87" s="73" t="s">
        <v>3043</v>
      </c>
      <c r="AF87" s="73" t="str">
        <f t="shared" si="49"/>
        <v>A679072</v>
      </c>
      <c r="AG87" s="73" t="str">
        <f>VLOOKUP(AF87,AKT!$C$4:$E$324,3,FALSE)</f>
        <v>0942</v>
      </c>
    </row>
    <row r="88" spans="1:33">
      <c r="A88" s="82"/>
      <c r="B88" s="77" t="str">
        <f t="shared" si="50"/>
        <v/>
      </c>
      <c r="C88" s="82"/>
      <c r="D88" s="77" t="str">
        <f t="shared" si="51"/>
        <v/>
      </c>
      <c r="E88" s="114"/>
      <c r="F88" s="77" t="str">
        <f t="shared" si="52"/>
        <v/>
      </c>
      <c r="G88" s="77" t="str">
        <f t="shared" si="53"/>
        <v/>
      </c>
      <c r="H88" s="113"/>
      <c r="I88" s="113"/>
      <c r="J88" s="113"/>
      <c r="K88" s="124"/>
      <c r="L88" s="123"/>
      <c r="M88" s="123"/>
      <c r="N88" s="124"/>
      <c r="O88" s="300"/>
      <c r="P88" s="81"/>
      <c r="R88" s="73" t="str">
        <f t="shared" si="44"/>
        <v/>
      </c>
      <c r="S88" s="73" t="str">
        <f t="shared" si="45"/>
        <v/>
      </c>
      <c r="T88" s="73" t="str">
        <f t="shared" si="46"/>
        <v/>
      </c>
      <c r="X88" s="73">
        <v>4224</v>
      </c>
      <c r="Y88" s="73" t="s">
        <v>110</v>
      </c>
      <c r="AA88" s="73" t="str">
        <f t="shared" si="47"/>
        <v>42</v>
      </c>
      <c r="AB88" s="73" t="str">
        <f t="shared" si="48"/>
        <v>422</v>
      </c>
      <c r="AD88" s="73" t="s">
        <v>3044</v>
      </c>
      <c r="AE88" s="73" t="s">
        <v>3045</v>
      </c>
      <c r="AF88" s="73" t="str">
        <f t="shared" si="49"/>
        <v>A679072</v>
      </c>
      <c r="AG88" s="73" t="str">
        <f>VLOOKUP(AF88,AKT!$C$4:$E$324,3,FALSE)</f>
        <v>0942</v>
      </c>
    </row>
    <row r="89" spans="1:33">
      <c r="A89" s="82"/>
      <c r="B89" s="77" t="str">
        <f t="shared" si="50"/>
        <v/>
      </c>
      <c r="C89" s="82"/>
      <c r="D89" s="77" t="str">
        <f t="shared" si="51"/>
        <v/>
      </c>
      <c r="E89" s="114"/>
      <c r="F89" s="77" t="str">
        <f t="shared" si="52"/>
        <v/>
      </c>
      <c r="G89" s="77" t="str">
        <f t="shared" si="53"/>
        <v/>
      </c>
      <c r="H89" s="113"/>
      <c r="I89" s="113"/>
      <c r="J89" s="113"/>
      <c r="K89" s="124"/>
      <c r="L89" s="123"/>
      <c r="M89" s="123"/>
      <c r="N89" s="124"/>
      <c r="O89" s="300"/>
      <c r="P89" s="81"/>
      <c r="R89" s="73" t="str">
        <f t="shared" si="44"/>
        <v/>
      </c>
      <c r="S89" s="73" t="str">
        <f t="shared" si="45"/>
        <v/>
      </c>
      <c r="T89" s="73" t="str">
        <f t="shared" si="46"/>
        <v/>
      </c>
      <c r="X89" s="73">
        <v>4225</v>
      </c>
      <c r="Y89" s="73" t="s">
        <v>114</v>
      </c>
      <c r="AA89" s="73" t="str">
        <f t="shared" si="47"/>
        <v>42</v>
      </c>
      <c r="AB89" s="73" t="str">
        <f t="shared" si="48"/>
        <v>422</v>
      </c>
      <c r="AD89" s="73" t="s">
        <v>3046</v>
      </c>
      <c r="AE89" s="73" t="s">
        <v>3047</v>
      </c>
      <c r="AF89" s="73" t="str">
        <f t="shared" si="49"/>
        <v>A679072</v>
      </c>
      <c r="AG89" s="73" t="str">
        <f>VLOOKUP(AF89,AKT!$C$4:$E$324,3,FALSE)</f>
        <v>0942</v>
      </c>
    </row>
    <row r="90" spans="1:33">
      <c r="A90" s="82"/>
      <c r="B90" s="77" t="str">
        <f t="shared" si="50"/>
        <v/>
      </c>
      <c r="C90" s="82"/>
      <c r="D90" s="77" t="str">
        <f t="shared" si="51"/>
        <v/>
      </c>
      <c r="E90" s="114"/>
      <c r="F90" s="77" t="str">
        <f t="shared" si="52"/>
        <v/>
      </c>
      <c r="G90" s="77" t="str">
        <f t="shared" si="53"/>
        <v/>
      </c>
      <c r="H90" s="113"/>
      <c r="I90" s="113"/>
      <c r="J90" s="113"/>
      <c r="K90" s="124"/>
      <c r="L90" s="123"/>
      <c r="M90" s="123"/>
      <c r="N90" s="124"/>
      <c r="O90" s="300"/>
      <c r="P90" s="81"/>
      <c r="R90" s="73" t="str">
        <f t="shared" si="44"/>
        <v/>
      </c>
      <c r="S90" s="73" t="str">
        <f t="shared" si="45"/>
        <v/>
      </c>
      <c r="T90" s="73" t="str">
        <f t="shared" si="46"/>
        <v/>
      </c>
      <c r="X90" s="73">
        <v>4226</v>
      </c>
      <c r="Y90" s="73" t="s">
        <v>159</v>
      </c>
      <c r="AA90" s="73" t="str">
        <f t="shared" si="47"/>
        <v>42</v>
      </c>
      <c r="AB90" s="73" t="str">
        <f t="shared" si="48"/>
        <v>422</v>
      </c>
      <c r="AD90" s="73" t="s">
        <v>711</v>
      </c>
      <c r="AE90" s="73" t="s">
        <v>712</v>
      </c>
      <c r="AF90" s="73" t="str">
        <f t="shared" si="49"/>
        <v>A679072</v>
      </c>
      <c r="AG90" s="73" t="str">
        <f>VLOOKUP(AF90,AKT!$C$4:$E$324,3,FALSE)</f>
        <v>0942</v>
      </c>
    </row>
    <row r="91" spans="1:33">
      <c r="A91" s="82"/>
      <c r="B91" s="77" t="str">
        <f t="shared" si="50"/>
        <v/>
      </c>
      <c r="C91" s="82"/>
      <c r="D91" s="77" t="str">
        <f t="shared" si="51"/>
        <v/>
      </c>
      <c r="E91" s="114"/>
      <c r="F91" s="77" t="str">
        <f t="shared" si="52"/>
        <v/>
      </c>
      <c r="G91" s="77" t="str">
        <f t="shared" si="53"/>
        <v/>
      </c>
      <c r="H91" s="113"/>
      <c r="I91" s="113"/>
      <c r="J91" s="113"/>
      <c r="K91" s="124"/>
      <c r="L91" s="123"/>
      <c r="M91" s="123"/>
      <c r="N91" s="124"/>
      <c r="O91" s="300"/>
      <c r="P91" s="81"/>
      <c r="R91" s="73" t="str">
        <f t="shared" si="44"/>
        <v/>
      </c>
      <c r="S91" s="73" t="str">
        <f t="shared" si="45"/>
        <v/>
      </c>
      <c r="T91" s="73" t="str">
        <f t="shared" si="46"/>
        <v/>
      </c>
      <c r="X91" s="73">
        <v>4227</v>
      </c>
      <c r="Y91" s="73" t="s">
        <v>127</v>
      </c>
      <c r="AA91" s="73" t="str">
        <f t="shared" si="47"/>
        <v>42</v>
      </c>
      <c r="AB91" s="73" t="str">
        <f t="shared" si="48"/>
        <v>422</v>
      </c>
      <c r="AD91" s="73" t="s">
        <v>713</v>
      </c>
      <c r="AE91" s="73" t="s">
        <v>714</v>
      </c>
      <c r="AF91" s="73" t="str">
        <f t="shared" si="49"/>
        <v>A679072</v>
      </c>
      <c r="AG91" s="73" t="str">
        <f>VLOOKUP(AF91,AKT!$C$4:$E$324,3,FALSE)</f>
        <v>0942</v>
      </c>
    </row>
    <row r="92" spans="1:33">
      <c r="A92" s="82"/>
      <c r="B92" s="77" t="str">
        <f t="shared" si="50"/>
        <v/>
      </c>
      <c r="C92" s="82"/>
      <c r="D92" s="77" t="str">
        <f t="shared" si="51"/>
        <v/>
      </c>
      <c r="E92" s="114"/>
      <c r="F92" s="77" t="str">
        <f t="shared" si="52"/>
        <v/>
      </c>
      <c r="G92" s="77" t="str">
        <f t="shared" si="53"/>
        <v/>
      </c>
      <c r="H92" s="113"/>
      <c r="I92" s="113"/>
      <c r="J92" s="113"/>
      <c r="K92" s="124"/>
      <c r="L92" s="123"/>
      <c r="M92" s="123"/>
      <c r="N92" s="124"/>
      <c r="O92" s="300"/>
      <c r="P92" s="81"/>
      <c r="R92" s="73" t="str">
        <f t="shared" si="44"/>
        <v/>
      </c>
      <c r="S92" s="73" t="str">
        <f t="shared" si="45"/>
        <v/>
      </c>
      <c r="T92" s="73" t="str">
        <f t="shared" si="46"/>
        <v/>
      </c>
      <c r="X92" s="73">
        <v>4231</v>
      </c>
      <c r="Y92" s="73" t="s">
        <v>160</v>
      </c>
      <c r="AA92" s="73" t="str">
        <f t="shared" si="47"/>
        <v>42</v>
      </c>
      <c r="AB92" s="73" t="str">
        <f t="shared" si="48"/>
        <v>423</v>
      </c>
      <c r="AD92" s="73" t="s">
        <v>715</v>
      </c>
      <c r="AE92" s="73" t="s">
        <v>716</v>
      </c>
      <c r="AF92" s="73" t="str">
        <f t="shared" si="49"/>
        <v>A679072</v>
      </c>
      <c r="AG92" s="73" t="str">
        <f>VLOOKUP(AF92,AKT!$C$4:$E$324,3,FALSE)</f>
        <v>0942</v>
      </c>
    </row>
    <row r="93" spans="1:33">
      <c r="A93" s="82"/>
      <c r="B93" s="77" t="str">
        <f t="shared" si="50"/>
        <v/>
      </c>
      <c r="C93" s="82"/>
      <c r="D93" s="77" t="str">
        <f t="shared" si="51"/>
        <v/>
      </c>
      <c r="E93" s="114"/>
      <c r="F93" s="77" t="str">
        <f t="shared" si="52"/>
        <v/>
      </c>
      <c r="G93" s="77" t="str">
        <f t="shared" si="53"/>
        <v/>
      </c>
      <c r="H93" s="113"/>
      <c r="I93" s="113"/>
      <c r="J93" s="113"/>
      <c r="K93" s="124"/>
      <c r="L93" s="123"/>
      <c r="M93" s="123"/>
      <c r="N93" s="124"/>
      <c r="O93" s="300"/>
      <c r="P93" s="81"/>
      <c r="R93" s="73" t="str">
        <f t="shared" si="44"/>
        <v/>
      </c>
      <c r="S93" s="73" t="str">
        <f t="shared" si="45"/>
        <v/>
      </c>
      <c r="T93" s="73" t="str">
        <f t="shared" si="46"/>
        <v/>
      </c>
      <c r="X93" s="73">
        <v>4233</v>
      </c>
      <c r="Y93" s="73" t="s">
        <v>168</v>
      </c>
      <c r="AA93" s="73" t="str">
        <f t="shared" si="47"/>
        <v>42</v>
      </c>
      <c r="AB93" s="73" t="str">
        <f t="shared" si="48"/>
        <v>423</v>
      </c>
      <c r="AD93" s="73" t="s">
        <v>717</v>
      </c>
      <c r="AE93" s="73" t="s">
        <v>718</v>
      </c>
      <c r="AF93" s="73" t="str">
        <f t="shared" si="49"/>
        <v>A679072</v>
      </c>
      <c r="AG93" s="73" t="str">
        <f>VLOOKUP(AF93,AKT!$C$4:$E$324,3,FALSE)</f>
        <v>0942</v>
      </c>
    </row>
    <row r="94" spans="1:33">
      <c r="A94" s="82"/>
      <c r="B94" s="77" t="str">
        <f t="shared" si="50"/>
        <v/>
      </c>
      <c r="C94" s="82"/>
      <c r="D94" s="77" t="str">
        <f t="shared" si="51"/>
        <v/>
      </c>
      <c r="E94" s="114"/>
      <c r="F94" s="77" t="str">
        <f t="shared" si="52"/>
        <v/>
      </c>
      <c r="G94" s="77" t="str">
        <f t="shared" si="53"/>
        <v/>
      </c>
      <c r="H94" s="113"/>
      <c r="I94" s="113"/>
      <c r="J94" s="113"/>
      <c r="K94" s="124"/>
      <c r="L94" s="123"/>
      <c r="M94" s="123"/>
      <c r="N94" s="124"/>
      <c r="O94" s="300"/>
      <c r="P94" s="81"/>
      <c r="R94" s="73" t="str">
        <f t="shared" si="44"/>
        <v/>
      </c>
      <c r="S94" s="73" t="str">
        <f t="shared" si="45"/>
        <v/>
      </c>
      <c r="T94" s="73" t="str">
        <f t="shared" si="46"/>
        <v/>
      </c>
      <c r="X94" s="73">
        <v>4241</v>
      </c>
      <c r="Y94" s="73" t="s">
        <v>105</v>
      </c>
      <c r="AA94" s="73" t="str">
        <f t="shared" si="47"/>
        <v>42</v>
      </c>
      <c r="AB94" s="73" t="str">
        <f t="shared" si="48"/>
        <v>424</v>
      </c>
      <c r="AD94" s="73" t="s">
        <v>719</v>
      </c>
      <c r="AE94" s="73" t="s">
        <v>720</v>
      </c>
      <c r="AF94" s="73" t="str">
        <f t="shared" si="49"/>
        <v>A679072</v>
      </c>
      <c r="AG94" s="73" t="str">
        <f>VLOOKUP(AF94,AKT!$C$4:$E$324,3,FALSE)</f>
        <v>0942</v>
      </c>
    </row>
    <row r="95" spans="1:33">
      <c r="A95" s="82"/>
      <c r="B95" s="77" t="str">
        <f t="shared" si="50"/>
        <v/>
      </c>
      <c r="C95" s="82"/>
      <c r="D95" s="77" t="str">
        <f t="shared" si="51"/>
        <v/>
      </c>
      <c r="E95" s="114"/>
      <c r="F95" s="77" t="str">
        <f t="shared" si="52"/>
        <v/>
      </c>
      <c r="G95" s="77" t="str">
        <f t="shared" si="53"/>
        <v/>
      </c>
      <c r="H95" s="113"/>
      <c r="I95" s="113"/>
      <c r="J95" s="113"/>
      <c r="K95" s="124"/>
      <c r="L95" s="123"/>
      <c r="M95" s="123"/>
      <c r="N95" s="124"/>
      <c r="O95" s="300"/>
      <c r="P95" s="81"/>
      <c r="R95" s="73" t="str">
        <f t="shared" si="44"/>
        <v/>
      </c>
      <c r="S95" s="73" t="str">
        <f t="shared" si="45"/>
        <v/>
      </c>
      <c r="T95" s="73" t="str">
        <f t="shared" si="46"/>
        <v/>
      </c>
      <c r="X95" s="73">
        <v>4242</v>
      </c>
      <c r="Y95" s="73" t="s">
        <v>137</v>
      </c>
      <c r="AA95" s="73" t="str">
        <f t="shared" si="47"/>
        <v>42</v>
      </c>
      <c r="AB95" s="73" t="str">
        <f t="shared" si="48"/>
        <v>424</v>
      </c>
      <c r="AD95" s="73" t="s">
        <v>721</v>
      </c>
      <c r="AE95" s="73" t="s">
        <v>722</v>
      </c>
      <c r="AF95" s="73" t="str">
        <f t="shared" si="49"/>
        <v>A679072</v>
      </c>
      <c r="AG95" s="73" t="str">
        <f>VLOOKUP(AF95,AKT!$C$4:$E$324,3,FALSE)</f>
        <v>0942</v>
      </c>
    </row>
    <row r="96" spans="1:33">
      <c r="A96" s="82"/>
      <c r="B96" s="77" t="str">
        <f t="shared" si="50"/>
        <v/>
      </c>
      <c r="C96" s="82"/>
      <c r="D96" s="77" t="str">
        <f t="shared" si="51"/>
        <v/>
      </c>
      <c r="E96" s="114"/>
      <c r="F96" s="77" t="str">
        <f t="shared" si="52"/>
        <v/>
      </c>
      <c r="G96" s="77" t="str">
        <f t="shared" si="53"/>
        <v/>
      </c>
      <c r="H96" s="113"/>
      <c r="I96" s="113"/>
      <c r="J96" s="113"/>
      <c r="K96" s="124"/>
      <c r="L96" s="123"/>
      <c r="M96" s="123"/>
      <c r="N96" s="124"/>
      <c r="O96" s="300"/>
      <c r="P96" s="81"/>
      <c r="R96" s="73" t="str">
        <f t="shared" si="44"/>
        <v/>
      </c>
      <c r="S96" s="73" t="str">
        <f t="shared" si="45"/>
        <v/>
      </c>
      <c r="T96" s="73" t="str">
        <f t="shared" si="46"/>
        <v/>
      </c>
      <c r="X96" s="73">
        <v>4244</v>
      </c>
      <c r="Y96" s="73" t="s">
        <v>169</v>
      </c>
      <c r="AA96" s="73" t="str">
        <f t="shared" si="47"/>
        <v>42</v>
      </c>
      <c r="AB96" s="73" t="str">
        <f t="shared" si="48"/>
        <v>424</v>
      </c>
      <c r="AD96" s="73" t="s">
        <v>723</v>
      </c>
      <c r="AE96" s="73" t="s">
        <v>724</v>
      </c>
      <c r="AF96" s="73" t="str">
        <f t="shared" si="49"/>
        <v>A679072</v>
      </c>
      <c r="AG96" s="73" t="str">
        <f>VLOOKUP(AF96,AKT!$C$4:$E$324,3,FALSE)</f>
        <v>0942</v>
      </c>
    </row>
    <row r="97" spans="1:33">
      <c r="A97" s="82"/>
      <c r="B97" s="77" t="str">
        <f t="shared" si="50"/>
        <v/>
      </c>
      <c r="C97" s="82"/>
      <c r="D97" s="77" t="str">
        <f t="shared" si="51"/>
        <v/>
      </c>
      <c r="E97" s="114"/>
      <c r="F97" s="77" t="str">
        <f t="shared" si="52"/>
        <v/>
      </c>
      <c r="G97" s="77" t="str">
        <f t="shared" si="53"/>
        <v/>
      </c>
      <c r="H97" s="113"/>
      <c r="I97" s="113"/>
      <c r="J97" s="113"/>
      <c r="K97" s="124"/>
      <c r="L97" s="123"/>
      <c r="M97" s="123"/>
      <c r="N97" s="124"/>
      <c r="O97" s="300"/>
      <c r="P97" s="81"/>
      <c r="R97" s="73" t="str">
        <f t="shared" si="44"/>
        <v/>
      </c>
      <c r="S97" s="73" t="str">
        <f t="shared" si="45"/>
        <v/>
      </c>
      <c r="T97" s="73" t="str">
        <f t="shared" si="46"/>
        <v/>
      </c>
      <c r="X97" s="73">
        <v>4251</v>
      </c>
      <c r="Y97" s="73" t="s">
        <v>161</v>
      </c>
      <c r="AA97" s="73" t="str">
        <f t="shared" si="47"/>
        <v>42</v>
      </c>
      <c r="AB97" s="73" t="str">
        <f t="shared" si="48"/>
        <v>425</v>
      </c>
      <c r="AD97" s="73" t="s">
        <v>725</v>
      </c>
      <c r="AE97" s="73" t="s">
        <v>726</v>
      </c>
      <c r="AF97" s="73" t="str">
        <f t="shared" si="49"/>
        <v>A679072</v>
      </c>
      <c r="AG97" s="73" t="str">
        <f>VLOOKUP(AF97,AKT!$C$4:$E$324,3,FALSE)</f>
        <v>0942</v>
      </c>
    </row>
    <row r="98" spans="1:33">
      <c r="A98" s="82"/>
      <c r="B98" s="77" t="str">
        <f t="shared" si="50"/>
        <v/>
      </c>
      <c r="C98" s="82"/>
      <c r="D98" s="77" t="str">
        <f t="shared" si="51"/>
        <v/>
      </c>
      <c r="E98" s="114"/>
      <c r="F98" s="77" t="str">
        <f t="shared" si="52"/>
        <v/>
      </c>
      <c r="G98" s="77" t="str">
        <f t="shared" si="53"/>
        <v/>
      </c>
      <c r="H98" s="113"/>
      <c r="I98" s="113"/>
      <c r="J98" s="113"/>
      <c r="K98" s="124"/>
      <c r="L98" s="123"/>
      <c r="M98" s="123"/>
      <c r="N98" s="124"/>
      <c r="O98" s="300"/>
      <c r="P98" s="81"/>
      <c r="R98" s="73" t="str">
        <f t="shared" si="44"/>
        <v/>
      </c>
      <c r="S98" s="73" t="str">
        <f t="shared" si="45"/>
        <v/>
      </c>
      <c r="T98" s="73" t="str">
        <f t="shared" si="46"/>
        <v/>
      </c>
      <c r="X98" s="73">
        <v>4252</v>
      </c>
      <c r="Y98" s="73" t="s">
        <v>162</v>
      </c>
      <c r="AA98" s="73" t="str">
        <f t="shared" si="47"/>
        <v>42</v>
      </c>
      <c r="AB98" s="73" t="str">
        <f t="shared" si="48"/>
        <v>425</v>
      </c>
      <c r="AD98" s="73" t="s">
        <v>727</v>
      </c>
      <c r="AE98" s="73" t="s">
        <v>728</v>
      </c>
      <c r="AF98" s="73" t="str">
        <f t="shared" si="49"/>
        <v>A679072</v>
      </c>
      <c r="AG98" s="73" t="str">
        <f>VLOOKUP(AF98,AKT!$C$4:$E$324,3,FALSE)</f>
        <v>0942</v>
      </c>
    </row>
    <row r="99" spans="1:33">
      <c r="A99" s="82"/>
      <c r="B99" s="77" t="str">
        <f t="shared" ref="B99:B162" si="54">IFERROR(VLOOKUP(A99,$U$7:$V$21,2,FALSE),"")</f>
        <v/>
      </c>
      <c r="C99" s="82"/>
      <c r="D99" s="77" t="str">
        <f t="shared" ref="D99:D162" si="55">IFERROR(VLOOKUP(C99,$X$6:$Z$120,2,FALSE),"")</f>
        <v/>
      </c>
      <c r="E99" s="114"/>
      <c r="F99" s="77" t="str">
        <f t="shared" ref="F99:F162" si="56">IFERROR(VLOOKUP(E99,$AD$7:$AE$1081,2,FALSE),"")</f>
        <v/>
      </c>
      <c r="G99" s="77" t="str">
        <f t="shared" ref="G99:G162" si="57">IFERROR(VLOOKUP(E99,$AD$7:$AG$1081,4,FALSE),"")</f>
        <v/>
      </c>
      <c r="H99" s="113"/>
      <c r="I99" s="113"/>
      <c r="J99" s="113"/>
      <c r="K99" s="124"/>
      <c r="L99" s="123"/>
      <c r="M99" s="123"/>
      <c r="N99" s="124"/>
      <c r="O99" s="300"/>
      <c r="P99" s="81"/>
      <c r="R99" s="73" t="str">
        <f t="shared" si="44"/>
        <v/>
      </c>
      <c r="S99" s="73" t="str">
        <f t="shared" si="45"/>
        <v/>
      </c>
      <c r="T99" s="73" t="str">
        <f t="shared" si="46"/>
        <v/>
      </c>
      <c r="X99" s="73">
        <v>4262</v>
      </c>
      <c r="Y99" s="73" t="s">
        <v>106</v>
      </c>
      <c r="AA99" s="73" t="str">
        <f t="shared" si="47"/>
        <v>42</v>
      </c>
      <c r="AB99" s="73" t="str">
        <f t="shared" si="48"/>
        <v>426</v>
      </c>
      <c r="AD99" s="73" t="s">
        <v>729</v>
      </c>
      <c r="AE99" s="73" t="s">
        <v>730</v>
      </c>
      <c r="AF99" s="73" t="str">
        <f t="shared" si="49"/>
        <v>A679072</v>
      </c>
      <c r="AG99" s="73" t="str">
        <f>VLOOKUP(AF99,AKT!$C$4:$E$324,3,FALSE)</f>
        <v>0942</v>
      </c>
    </row>
    <row r="100" spans="1:33">
      <c r="A100" s="82"/>
      <c r="B100" s="77" t="str">
        <f t="shared" si="54"/>
        <v/>
      </c>
      <c r="C100" s="82"/>
      <c r="D100" s="77" t="str">
        <f t="shared" si="55"/>
        <v/>
      </c>
      <c r="E100" s="114"/>
      <c r="F100" s="77" t="str">
        <f t="shared" si="56"/>
        <v/>
      </c>
      <c r="G100" s="77" t="str">
        <f t="shared" si="57"/>
        <v/>
      </c>
      <c r="H100" s="113"/>
      <c r="I100" s="113"/>
      <c r="J100" s="113"/>
      <c r="K100" s="124"/>
      <c r="L100" s="123"/>
      <c r="M100" s="123"/>
      <c r="N100" s="124"/>
      <c r="O100" s="300"/>
      <c r="P100" s="81"/>
      <c r="R100" s="73" t="str">
        <f t="shared" si="44"/>
        <v/>
      </c>
      <c r="S100" s="73" t="str">
        <f t="shared" si="45"/>
        <v/>
      </c>
      <c r="T100" s="73" t="str">
        <f t="shared" si="46"/>
        <v/>
      </c>
      <c r="X100" s="73">
        <v>4263</v>
      </c>
      <c r="Y100" s="73" t="s">
        <v>163</v>
      </c>
      <c r="AA100" s="73" t="str">
        <f t="shared" si="47"/>
        <v>42</v>
      </c>
      <c r="AB100" s="73" t="str">
        <f t="shared" si="48"/>
        <v>426</v>
      </c>
      <c r="AD100" s="73" t="s">
        <v>731</v>
      </c>
      <c r="AE100" s="73" t="s">
        <v>732</v>
      </c>
      <c r="AF100" s="73" t="str">
        <f t="shared" si="49"/>
        <v>A679072</v>
      </c>
      <c r="AG100" s="73" t="str">
        <f>VLOOKUP(AF100,AKT!$C$4:$E$324,3,FALSE)</f>
        <v>0942</v>
      </c>
    </row>
    <row r="101" spans="1:33">
      <c r="A101" s="82"/>
      <c r="B101" s="77" t="str">
        <f t="shared" si="54"/>
        <v/>
      </c>
      <c r="C101" s="82"/>
      <c r="D101" s="77" t="str">
        <f t="shared" si="55"/>
        <v/>
      </c>
      <c r="E101" s="114"/>
      <c r="F101" s="77" t="str">
        <f t="shared" si="56"/>
        <v/>
      </c>
      <c r="G101" s="77" t="str">
        <f t="shared" si="57"/>
        <v/>
      </c>
      <c r="H101" s="113"/>
      <c r="I101" s="113"/>
      <c r="J101" s="113"/>
      <c r="K101" s="124"/>
      <c r="L101" s="123"/>
      <c r="M101" s="123"/>
      <c r="N101" s="124"/>
      <c r="O101" s="300"/>
      <c r="P101" s="81"/>
      <c r="R101" s="73" t="str">
        <f t="shared" si="44"/>
        <v/>
      </c>
      <c r="S101" s="73" t="str">
        <f t="shared" si="45"/>
        <v/>
      </c>
      <c r="T101" s="73" t="str">
        <f t="shared" si="46"/>
        <v/>
      </c>
      <c r="X101" s="73">
        <v>4264</v>
      </c>
      <c r="Y101" s="73" t="s">
        <v>118</v>
      </c>
      <c r="AA101" s="73" t="str">
        <f t="shared" si="47"/>
        <v>42</v>
      </c>
      <c r="AB101" s="73" t="str">
        <f t="shared" si="48"/>
        <v>426</v>
      </c>
      <c r="AD101" s="73" t="s">
        <v>1266</v>
      </c>
      <c r="AE101" s="73" t="s">
        <v>1267</v>
      </c>
      <c r="AF101" s="73" t="str">
        <f t="shared" si="49"/>
        <v>A679072</v>
      </c>
      <c r="AG101" s="73" t="str">
        <f>VLOOKUP(AF101,AKT!$C$4:$E$324,3,FALSE)</f>
        <v>0942</v>
      </c>
    </row>
    <row r="102" spans="1:33">
      <c r="A102" s="82"/>
      <c r="B102" s="77" t="str">
        <f t="shared" si="54"/>
        <v/>
      </c>
      <c r="C102" s="82"/>
      <c r="D102" s="77" t="str">
        <f t="shared" si="55"/>
        <v/>
      </c>
      <c r="E102" s="114"/>
      <c r="F102" s="77" t="str">
        <f t="shared" si="56"/>
        <v/>
      </c>
      <c r="G102" s="77" t="str">
        <f t="shared" si="57"/>
        <v/>
      </c>
      <c r="H102" s="113"/>
      <c r="I102" s="113"/>
      <c r="J102" s="113"/>
      <c r="K102" s="124"/>
      <c r="L102" s="123"/>
      <c r="M102" s="123"/>
      <c r="N102" s="124"/>
      <c r="O102" s="300"/>
      <c r="P102" s="81"/>
      <c r="R102" s="73" t="str">
        <f t="shared" si="44"/>
        <v/>
      </c>
      <c r="S102" s="73" t="str">
        <f t="shared" si="45"/>
        <v/>
      </c>
      <c r="T102" s="73" t="str">
        <f t="shared" si="46"/>
        <v/>
      </c>
      <c r="X102" s="73">
        <v>4312</v>
      </c>
      <c r="Y102" s="73" t="s">
        <v>120</v>
      </c>
      <c r="AA102" s="73" t="str">
        <f t="shared" si="47"/>
        <v>43</v>
      </c>
      <c r="AB102" s="73" t="str">
        <f t="shared" si="48"/>
        <v>431</v>
      </c>
      <c r="AD102" s="73" t="s">
        <v>1268</v>
      </c>
      <c r="AE102" s="73" t="s">
        <v>1269</v>
      </c>
      <c r="AF102" s="73" t="str">
        <f t="shared" si="49"/>
        <v>A679072</v>
      </c>
      <c r="AG102" s="73" t="str">
        <f>VLOOKUP(AF102,AKT!$C$4:$E$324,3,FALSE)</f>
        <v>0942</v>
      </c>
    </row>
    <row r="103" spans="1:33">
      <c r="A103" s="82"/>
      <c r="B103" s="77" t="str">
        <f t="shared" si="54"/>
        <v/>
      </c>
      <c r="C103" s="82"/>
      <c r="D103" s="77" t="str">
        <f t="shared" si="55"/>
        <v/>
      </c>
      <c r="E103" s="114"/>
      <c r="F103" s="77" t="str">
        <f t="shared" si="56"/>
        <v/>
      </c>
      <c r="G103" s="77" t="str">
        <f t="shared" si="57"/>
        <v/>
      </c>
      <c r="H103" s="113"/>
      <c r="I103" s="113"/>
      <c r="J103" s="113"/>
      <c r="K103" s="124"/>
      <c r="L103" s="123"/>
      <c r="M103" s="123"/>
      <c r="N103" s="124"/>
      <c r="O103" s="300"/>
      <c r="P103" s="81"/>
      <c r="R103" s="73" t="str">
        <f t="shared" si="44"/>
        <v/>
      </c>
      <c r="S103" s="73" t="str">
        <f t="shared" si="45"/>
        <v/>
      </c>
      <c r="T103" s="73" t="str">
        <f t="shared" si="46"/>
        <v/>
      </c>
      <c r="X103" s="73">
        <v>4411</v>
      </c>
      <c r="Y103" s="73" t="s">
        <v>164</v>
      </c>
      <c r="AA103" s="73" t="str">
        <f t="shared" si="47"/>
        <v>44</v>
      </c>
      <c r="AB103" s="73" t="str">
        <f t="shared" si="48"/>
        <v>441</v>
      </c>
      <c r="AD103" s="73" t="s">
        <v>1270</v>
      </c>
      <c r="AE103" s="73" t="s">
        <v>1271</v>
      </c>
      <c r="AF103" s="73" t="str">
        <f t="shared" si="49"/>
        <v>A679072</v>
      </c>
      <c r="AG103" s="73" t="str">
        <f>VLOOKUP(AF103,AKT!$C$4:$E$324,3,FALSE)</f>
        <v>0942</v>
      </c>
    </row>
    <row r="104" spans="1:33">
      <c r="A104" s="299"/>
      <c r="B104" s="77" t="str">
        <f t="shared" si="54"/>
        <v/>
      </c>
      <c r="C104" s="82"/>
      <c r="D104" s="77" t="str">
        <f t="shared" si="55"/>
        <v/>
      </c>
      <c r="E104" s="114"/>
      <c r="F104" s="77" t="str">
        <f t="shared" si="56"/>
        <v/>
      </c>
      <c r="G104" s="77" t="str">
        <f t="shared" si="57"/>
        <v/>
      </c>
      <c r="H104" s="113"/>
      <c r="I104" s="113"/>
      <c r="J104" s="113"/>
      <c r="K104" s="124"/>
      <c r="L104" s="123"/>
      <c r="M104" s="123"/>
      <c r="N104" s="124"/>
      <c r="O104" s="300"/>
      <c r="P104" s="81"/>
      <c r="R104" s="73" t="str">
        <f t="shared" si="44"/>
        <v/>
      </c>
      <c r="S104" s="73" t="str">
        <f t="shared" si="45"/>
        <v/>
      </c>
      <c r="T104" s="73" t="str">
        <f t="shared" si="46"/>
        <v/>
      </c>
      <c r="X104" s="73">
        <v>4511</v>
      </c>
      <c r="Y104" s="73" t="s">
        <v>119</v>
      </c>
      <c r="AA104" s="73" t="str">
        <f t="shared" si="47"/>
        <v>45</v>
      </c>
      <c r="AB104" s="73" t="str">
        <f t="shared" si="48"/>
        <v>451</v>
      </c>
      <c r="AD104" s="73" t="s">
        <v>1272</v>
      </c>
      <c r="AE104" s="73" t="s">
        <v>1273</v>
      </c>
      <c r="AF104" s="73" t="str">
        <f t="shared" si="49"/>
        <v>A679072</v>
      </c>
      <c r="AG104" s="73" t="str">
        <f>VLOOKUP(AF104,AKT!$C$4:$E$324,3,FALSE)</f>
        <v>0942</v>
      </c>
    </row>
    <row r="105" spans="1:33">
      <c r="A105" s="299"/>
      <c r="B105" s="77" t="str">
        <f t="shared" si="54"/>
        <v/>
      </c>
      <c r="C105" s="82"/>
      <c r="D105" s="77" t="str">
        <f t="shared" si="55"/>
        <v/>
      </c>
      <c r="E105" s="114"/>
      <c r="F105" s="77" t="str">
        <f t="shared" si="56"/>
        <v/>
      </c>
      <c r="G105" s="77" t="str">
        <f t="shared" si="57"/>
        <v/>
      </c>
      <c r="H105" s="113"/>
      <c r="I105" s="113"/>
      <c r="J105" s="113"/>
      <c r="K105" s="124"/>
      <c r="L105" s="123"/>
      <c r="M105" s="123"/>
      <c r="N105" s="124"/>
      <c r="O105" s="300"/>
      <c r="P105" s="81"/>
      <c r="R105" s="73" t="str">
        <f t="shared" si="44"/>
        <v/>
      </c>
      <c r="S105" s="73" t="str">
        <f t="shared" si="45"/>
        <v/>
      </c>
      <c r="T105" s="73" t="str">
        <f t="shared" si="46"/>
        <v/>
      </c>
      <c r="X105" s="73">
        <v>4521</v>
      </c>
      <c r="Y105" s="73" t="s">
        <v>138</v>
      </c>
      <c r="AA105" s="73" t="str">
        <f t="shared" si="47"/>
        <v>45</v>
      </c>
      <c r="AB105" s="73" t="str">
        <f t="shared" si="48"/>
        <v>452</v>
      </c>
      <c r="AD105" s="73" t="s">
        <v>1274</v>
      </c>
      <c r="AE105" s="73" t="s">
        <v>1275</v>
      </c>
      <c r="AF105" s="73" t="str">
        <f t="shared" si="49"/>
        <v>A679072</v>
      </c>
      <c r="AG105" s="73" t="str">
        <f>VLOOKUP(AF105,AKT!$C$4:$E$324,3,FALSE)</f>
        <v>0942</v>
      </c>
    </row>
    <row r="106" spans="1:33">
      <c r="A106" s="82"/>
      <c r="B106" s="77" t="str">
        <f t="shared" si="54"/>
        <v/>
      </c>
      <c r="C106" s="82"/>
      <c r="D106" s="77" t="str">
        <f t="shared" si="55"/>
        <v/>
      </c>
      <c r="E106" s="114"/>
      <c r="F106" s="77" t="str">
        <f t="shared" si="56"/>
        <v/>
      </c>
      <c r="G106" s="77" t="str">
        <f t="shared" si="57"/>
        <v/>
      </c>
      <c r="H106" s="113"/>
      <c r="I106" s="113"/>
      <c r="J106" s="113"/>
      <c r="K106" s="124"/>
      <c r="L106" s="123"/>
      <c r="M106" s="123"/>
      <c r="N106" s="124"/>
      <c r="O106" s="300"/>
      <c r="P106" s="81"/>
      <c r="R106" s="73" t="str">
        <f t="shared" si="44"/>
        <v/>
      </c>
      <c r="S106" s="73" t="str">
        <f t="shared" si="45"/>
        <v/>
      </c>
      <c r="T106" s="73" t="str">
        <f t="shared" si="46"/>
        <v/>
      </c>
      <c r="X106" s="73">
        <v>4531</v>
      </c>
      <c r="Y106" s="73" t="s">
        <v>180</v>
      </c>
      <c r="AA106" s="73" t="str">
        <f t="shared" si="47"/>
        <v>45</v>
      </c>
      <c r="AB106" s="73" t="str">
        <f t="shared" si="48"/>
        <v>453</v>
      </c>
      <c r="AD106" s="73" t="s">
        <v>1276</v>
      </c>
      <c r="AE106" s="73" t="s">
        <v>1277</v>
      </c>
      <c r="AF106" s="73" t="str">
        <f t="shared" si="49"/>
        <v>A679072</v>
      </c>
      <c r="AG106" s="73" t="str">
        <f>VLOOKUP(AF106,AKT!$C$4:$E$324,3,FALSE)</f>
        <v>0942</v>
      </c>
    </row>
    <row r="107" spans="1:33">
      <c r="A107" s="82"/>
      <c r="B107" s="77" t="str">
        <f t="shared" si="54"/>
        <v/>
      </c>
      <c r="C107" s="82"/>
      <c r="D107" s="77" t="str">
        <f t="shared" si="55"/>
        <v/>
      </c>
      <c r="E107" s="114"/>
      <c r="F107" s="77" t="str">
        <f t="shared" si="56"/>
        <v/>
      </c>
      <c r="G107" s="77" t="str">
        <f t="shared" si="57"/>
        <v/>
      </c>
      <c r="H107" s="113"/>
      <c r="I107" s="113"/>
      <c r="J107" s="113"/>
      <c r="K107" s="124"/>
      <c r="L107" s="123"/>
      <c r="M107" s="123"/>
      <c r="N107" s="124"/>
      <c r="O107" s="300"/>
      <c r="P107" s="81"/>
      <c r="R107" s="73" t="str">
        <f t="shared" si="44"/>
        <v/>
      </c>
      <c r="S107" s="73" t="str">
        <f t="shared" si="45"/>
        <v/>
      </c>
      <c r="T107" s="73" t="str">
        <f t="shared" si="46"/>
        <v/>
      </c>
      <c r="X107" s="73">
        <v>4541</v>
      </c>
      <c r="Y107" s="73" t="s">
        <v>133</v>
      </c>
      <c r="AA107" s="73" t="str">
        <f t="shared" si="47"/>
        <v>45</v>
      </c>
      <c r="AB107" s="73" t="str">
        <f t="shared" si="48"/>
        <v>454</v>
      </c>
      <c r="AD107" s="73" t="s">
        <v>1278</v>
      </c>
      <c r="AE107" s="73" t="s">
        <v>1279</v>
      </c>
      <c r="AF107" s="73" t="str">
        <f t="shared" si="49"/>
        <v>A679072</v>
      </c>
      <c r="AG107" s="73" t="str">
        <f>VLOOKUP(AF107,AKT!$C$4:$E$324,3,FALSE)</f>
        <v>0942</v>
      </c>
    </row>
    <row r="108" spans="1:33">
      <c r="A108" s="82"/>
      <c r="B108" s="77" t="str">
        <f t="shared" si="54"/>
        <v/>
      </c>
      <c r="C108" s="82"/>
      <c r="D108" s="77" t="str">
        <f t="shared" si="55"/>
        <v/>
      </c>
      <c r="E108" s="114"/>
      <c r="F108" s="77" t="str">
        <f t="shared" si="56"/>
        <v/>
      </c>
      <c r="G108" s="77" t="str">
        <f t="shared" si="57"/>
        <v/>
      </c>
      <c r="H108" s="113"/>
      <c r="I108" s="113"/>
      <c r="J108" s="113"/>
      <c r="K108" s="124"/>
      <c r="L108" s="123"/>
      <c r="M108" s="123"/>
      <c r="N108" s="124"/>
      <c r="O108" s="300"/>
      <c r="P108" s="81"/>
      <c r="R108" s="73" t="str">
        <f t="shared" si="44"/>
        <v/>
      </c>
      <c r="S108" s="73" t="str">
        <f t="shared" si="45"/>
        <v/>
      </c>
      <c r="T108" s="73" t="str">
        <f t="shared" si="46"/>
        <v/>
      </c>
      <c r="X108" s="73">
        <v>5121</v>
      </c>
      <c r="Y108" s="73" t="s">
        <v>187</v>
      </c>
      <c r="AA108" s="73" t="str">
        <f t="shared" si="47"/>
        <v>51</v>
      </c>
      <c r="AB108" s="73" t="str">
        <f t="shared" si="48"/>
        <v>512</v>
      </c>
      <c r="AD108" s="73" t="s">
        <v>1280</v>
      </c>
      <c r="AE108" s="73" t="s">
        <v>1281</v>
      </c>
      <c r="AF108" s="73" t="str">
        <f t="shared" si="49"/>
        <v>A679072</v>
      </c>
      <c r="AG108" s="73" t="str">
        <f>VLOOKUP(AF108,AKT!$C$4:$E$324,3,FALSE)</f>
        <v>0942</v>
      </c>
    </row>
    <row r="109" spans="1:33">
      <c r="A109" s="82"/>
      <c r="B109" s="77" t="str">
        <f t="shared" si="54"/>
        <v/>
      </c>
      <c r="C109" s="82"/>
      <c r="D109" s="77" t="str">
        <f t="shared" si="55"/>
        <v/>
      </c>
      <c r="E109" s="114"/>
      <c r="F109" s="77" t="str">
        <f t="shared" si="56"/>
        <v/>
      </c>
      <c r="G109" s="77" t="str">
        <f t="shared" si="57"/>
        <v/>
      </c>
      <c r="H109" s="113"/>
      <c r="I109" s="113"/>
      <c r="J109" s="113"/>
      <c r="K109" s="124"/>
      <c r="L109" s="123"/>
      <c r="M109" s="123"/>
      <c r="N109" s="124"/>
      <c r="O109" s="300"/>
      <c r="P109" s="81"/>
      <c r="R109" s="73" t="str">
        <f t="shared" si="44"/>
        <v/>
      </c>
      <c r="S109" s="73" t="str">
        <f t="shared" si="45"/>
        <v/>
      </c>
      <c r="T109" s="73" t="str">
        <f t="shared" si="46"/>
        <v/>
      </c>
      <c r="X109" s="73">
        <v>5443</v>
      </c>
      <c r="Y109" s="73" t="s">
        <v>165</v>
      </c>
      <c r="AA109" s="73" t="str">
        <f t="shared" si="47"/>
        <v>54</v>
      </c>
      <c r="AB109" s="73" t="str">
        <f t="shared" si="48"/>
        <v>544</v>
      </c>
      <c r="AD109" s="73" t="s">
        <v>1282</v>
      </c>
      <c r="AE109" s="73" t="s">
        <v>1283</v>
      </c>
      <c r="AF109" s="73" t="str">
        <f t="shared" si="49"/>
        <v>A679072</v>
      </c>
      <c r="AG109" s="73" t="str">
        <f>VLOOKUP(AF109,AKT!$C$4:$E$324,3,FALSE)</f>
        <v>0942</v>
      </c>
    </row>
    <row r="110" spans="1:33">
      <c r="A110" s="82"/>
      <c r="B110" s="77" t="str">
        <f t="shared" si="54"/>
        <v/>
      </c>
      <c r="C110" s="82"/>
      <c r="D110" s="77" t="str">
        <f t="shared" si="55"/>
        <v/>
      </c>
      <c r="E110" s="114"/>
      <c r="F110" s="77" t="str">
        <f t="shared" si="56"/>
        <v/>
      </c>
      <c r="G110" s="77" t="str">
        <f t="shared" si="57"/>
        <v/>
      </c>
      <c r="H110" s="113"/>
      <c r="I110" s="113"/>
      <c r="J110" s="113"/>
      <c r="K110" s="124"/>
      <c r="L110" s="123"/>
      <c r="M110" s="123"/>
      <c r="N110" s="124"/>
      <c r="O110" s="300"/>
      <c r="P110" s="81"/>
      <c r="R110" s="73" t="str">
        <f t="shared" si="44"/>
        <v/>
      </c>
      <c r="S110" s="73" t="str">
        <f t="shared" si="45"/>
        <v/>
      </c>
      <c r="T110" s="73" t="str">
        <f t="shared" si="46"/>
        <v/>
      </c>
      <c r="X110" s="73">
        <v>5121</v>
      </c>
      <c r="Y110" s="73" t="s">
        <v>635</v>
      </c>
      <c r="AA110" s="73" t="str">
        <f t="shared" si="47"/>
        <v>51</v>
      </c>
      <c r="AB110" s="73" t="str">
        <f t="shared" si="48"/>
        <v>512</v>
      </c>
      <c r="AD110" s="73" t="s">
        <v>1284</v>
      </c>
      <c r="AE110" s="73" t="s">
        <v>1285</v>
      </c>
      <c r="AF110" s="73" t="str">
        <f t="shared" si="49"/>
        <v>A679072</v>
      </c>
      <c r="AG110" s="73" t="str">
        <f>VLOOKUP(AF110,AKT!$C$4:$E$324,3,FALSE)</f>
        <v>0942</v>
      </c>
    </row>
    <row r="111" spans="1:33">
      <c r="A111" s="82"/>
      <c r="B111" s="77" t="str">
        <f t="shared" si="54"/>
        <v/>
      </c>
      <c r="C111" s="82"/>
      <c r="D111" s="77" t="str">
        <f t="shared" si="55"/>
        <v/>
      </c>
      <c r="E111" s="114"/>
      <c r="F111" s="77" t="str">
        <f t="shared" si="56"/>
        <v/>
      </c>
      <c r="G111" s="77" t="str">
        <f t="shared" si="57"/>
        <v/>
      </c>
      <c r="H111" s="113"/>
      <c r="I111" s="113"/>
      <c r="J111" s="113"/>
      <c r="K111" s="124"/>
      <c r="L111" s="123"/>
      <c r="M111" s="123"/>
      <c r="N111" s="124"/>
      <c r="O111" s="300"/>
      <c r="P111" s="81"/>
      <c r="R111" s="73" t="str">
        <f t="shared" si="44"/>
        <v/>
      </c>
      <c r="S111" s="73" t="str">
        <f t="shared" si="45"/>
        <v/>
      </c>
      <c r="T111" s="73" t="str">
        <f t="shared" si="46"/>
        <v/>
      </c>
      <c r="X111" s="73">
        <v>5122</v>
      </c>
      <c r="Y111" s="73" t="s">
        <v>636</v>
      </c>
      <c r="AA111" s="73" t="str">
        <f t="shared" si="47"/>
        <v>51</v>
      </c>
      <c r="AB111" s="73" t="str">
        <f t="shared" si="48"/>
        <v>512</v>
      </c>
      <c r="AD111" s="73" t="s">
        <v>1286</v>
      </c>
      <c r="AE111" s="73" t="s">
        <v>1287</v>
      </c>
      <c r="AF111" s="73" t="str">
        <f t="shared" si="49"/>
        <v>A679072</v>
      </c>
      <c r="AG111" s="73" t="str">
        <f>VLOOKUP(AF111,AKT!$C$4:$E$324,3,FALSE)</f>
        <v>0942</v>
      </c>
    </row>
    <row r="112" spans="1:33">
      <c r="A112" s="82"/>
      <c r="B112" s="77" t="str">
        <f t="shared" si="54"/>
        <v/>
      </c>
      <c r="C112" s="82"/>
      <c r="D112" s="77" t="str">
        <f t="shared" si="55"/>
        <v/>
      </c>
      <c r="E112" s="114"/>
      <c r="F112" s="77" t="str">
        <f t="shared" si="56"/>
        <v/>
      </c>
      <c r="G112" s="77" t="str">
        <f t="shared" si="57"/>
        <v/>
      </c>
      <c r="H112" s="113"/>
      <c r="I112" s="113"/>
      <c r="J112" s="113"/>
      <c r="K112" s="124"/>
      <c r="L112" s="123"/>
      <c r="M112" s="123"/>
      <c r="N112" s="124"/>
      <c r="O112" s="300"/>
      <c r="P112" s="81"/>
      <c r="R112" s="73" t="str">
        <f t="shared" si="44"/>
        <v/>
      </c>
      <c r="S112" s="73" t="str">
        <f t="shared" si="45"/>
        <v/>
      </c>
      <c r="T112" s="73" t="str">
        <f t="shared" si="46"/>
        <v/>
      </c>
      <c r="X112" s="73">
        <v>5141</v>
      </c>
      <c r="Y112" s="73" t="s">
        <v>637</v>
      </c>
      <c r="AA112" s="73" t="str">
        <f t="shared" si="47"/>
        <v>51</v>
      </c>
      <c r="AB112" s="73" t="str">
        <f t="shared" si="48"/>
        <v>514</v>
      </c>
      <c r="AD112" s="73" t="s">
        <v>1288</v>
      </c>
      <c r="AE112" s="73" t="s">
        <v>1289</v>
      </c>
      <c r="AF112" s="73" t="str">
        <f t="shared" si="49"/>
        <v>A679072</v>
      </c>
      <c r="AG112" s="73" t="str">
        <f>VLOOKUP(AF112,AKT!$C$4:$E$324,3,FALSE)</f>
        <v>0942</v>
      </c>
    </row>
    <row r="113" spans="1:33">
      <c r="A113" s="82"/>
      <c r="B113" s="77" t="str">
        <f t="shared" si="54"/>
        <v/>
      </c>
      <c r="C113" s="82"/>
      <c r="D113" s="77" t="str">
        <f t="shared" si="55"/>
        <v/>
      </c>
      <c r="E113" s="114"/>
      <c r="F113" s="77" t="str">
        <f t="shared" si="56"/>
        <v/>
      </c>
      <c r="G113" s="77" t="str">
        <f t="shared" si="57"/>
        <v/>
      </c>
      <c r="H113" s="113"/>
      <c r="I113" s="113"/>
      <c r="J113" s="113"/>
      <c r="K113" s="124"/>
      <c r="L113" s="123"/>
      <c r="M113" s="123"/>
      <c r="N113" s="124"/>
      <c r="O113" s="300"/>
      <c r="P113" s="81"/>
      <c r="R113" s="73" t="str">
        <f t="shared" si="44"/>
        <v/>
      </c>
      <c r="S113" s="73" t="str">
        <f t="shared" si="45"/>
        <v/>
      </c>
      <c r="T113" s="73" t="str">
        <f t="shared" si="46"/>
        <v/>
      </c>
      <c r="X113" s="73">
        <v>5181</v>
      </c>
      <c r="Y113" s="73" t="s">
        <v>638</v>
      </c>
      <c r="AA113" s="73" t="str">
        <f t="shared" si="47"/>
        <v>51</v>
      </c>
      <c r="AB113" s="73" t="str">
        <f t="shared" si="48"/>
        <v>518</v>
      </c>
      <c r="AD113" s="73" t="s">
        <v>1290</v>
      </c>
      <c r="AE113" s="73" t="s">
        <v>1291</v>
      </c>
      <c r="AF113" s="73" t="str">
        <f t="shared" si="49"/>
        <v>A679072</v>
      </c>
      <c r="AG113" s="73" t="str">
        <f>VLOOKUP(AF113,AKT!$C$4:$E$324,3,FALSE)</f>
        <v>0942</v>
      </c>
    </row>
    <row r="114" spans="1:33">
      <c r="A114" s="82"/>
      <c r="B114" s="77" t="str">
        <f t="shared" si="54"/>
        <v/>
      </c>
      <c r="C114" s="82"/>
      <c r="D114" s="77" t="str">
        <f t="shared" si="55"/>
        <v/>
      </c>
      <c r="E114" s="114"/>
      <c r="F114" s="77" t="str">
        <f t="shared" si="56"/>
        <v/>
      </c>
      <c r="G114" s="77" t="str">
        <f t="shared" si="57"/>
        <v/>
      </c>
      <c r="H114" s="113"/>
      <c r="I114" s="113"/>
      <c r="J114" s="113"/>
      <c r="K114" s="124"/>
      <c r="L114" s="123"/>
      <c r="M114" s="123"/>
      <c r="N114" s="124"/>
      <c r="O114" s="300"/>
      <c r="P114" s="81"/>
      <c r="R114" s="73" t="str">
        <f t="shared" si="44"/>
        <v/>
      </c>
      <c r="S114" s="73" t="str">
        <f t="shared" si="45"/>
        <v/>
      </c>
      <c r="T114" s="73" t="str">
        <f t="shared" si="46"/>
        <v/>
      </c>
      <c r="X114" s="73">
        <v>5183</v>
      </c>
      <c r="Y114" s="73" t="s">
        <v>639</v>
      </c>
      <c r="AA114" s="73" t="str">
        <f t="shared" si="47"/>
        <v>51</v>
      </c>
      <c r="AB114" s="73" t="str">
        <f t="shared" si="48"/>
        <v>518</v>
      </c>
      <c r="AD114" s="73" t="s">
        <v>1292</v>
      </c>
      <c r="AE114" s="73" t="s">
        <v>1293</v>
      </c>
      <c r="AF114" s="73" t="str">
        <f t="shared" si="49"/>
        <v>A679072</v>
      </c>
      <c r="AG114" s="73" t="str">
        <f>VLOOKUP(AF114,AKT!$C$4:$E$324,3,FALSE)</f>
        <v>0942</v>
      </c>
    </row>
    <row r="115" spans="1:33">
      <c r="A115" s="82"/>
      <c r="B115" s="77" t="str">
        <f t="shared" si="54"/>
        <v/>
      </c>
      <c r="C115" s="82"/>
      <c r="D115" s="77" t="str">
        <f t="shared" si="55"/>
        <v/>
      </c>
      <c r="E115" s="114"/>
      <c r="F115" s="77" t="str">
        <f t="shared" si="56"/>
        <v/>
      </c>
      <c r="G115" s="77" t="str">
        <f t="shared" si="57"/>
        <v/>
      </c>
      <c r="H115" s="113"/>
      <c r="I115" s="113"/>
      <c r="J115" s="113"/>
      <c r="K115" s="124"/>
      <c r="L115" s="123"/>
      <c r="M115" s="123"/>
      <c r="N115" s="124"/>
      <c r="O115" s="300"/>
      <c r="P115" s="81"/>
      <c r="R115" s="73" t="str">
        <f t="shared" si="44"/>
        <v/>
      </c>
      <c r="S115" s="73" t="str">
        <f t="shared" si="45"/>
        <v/>
      </c>
      <c r="T115" s="73" t="str">
        <f t="shared" si="46"/>
        <v/>
      </c>
      <c r="X115" s="73">
        <v>5422</v>
      </c>
      <c r="Y115" s="73" t="s">
        <v>640</v>
      </c>
      <c r="AA115" s="73" t="str">
        <f t="shared" si="47"/>
        <v>54</v>
      </c>
      <c r="AB115" s="73" t="str">
        <f t="shared" si="48"/>
        <v>542</v>
      </c>
      <c r="AD115" s="73" t="s">
        <v>1294</v>
      </c>
      <c r="AE115" s="73" t="s">
        <v>1295</v>
      </c>
      <c r="AF115" s="73" t="str">
        <f t="shared" si="49"/>
        <v>A679072</v>
      </c>
      <c r="AG115" s="73" t="str">
        <f>VLOOKUP(AF115,AKT!$C$4:$E$324,3,FALSE)</f>
        <v>0942</v>
      </c>
    </row>
    <row r="116" spans="1:33">
      <c r="A116" s="82"/>
      <c r="B116" s="77" t="str">
        <f t="shared" si="54"/>
        <v/>
      </c>
      <c r="C116" s="82"/>
      <c r="D116" s="77" t="str">
        <f t="shared" si="55"/>
        <v/>
      </c>
      <c r="E116" s="114"/>
      <c r="F116" s="77" t="str">
        <f t="shared" si="56"/>
        <v/>
      </c>
      <c r="G116" s="77" t="str">
        <f t="shared" si="57"/>
        <v/>
      </c>
      <c r="H116" s="113"/>
      <c r="I116" s="113"/>
      <c r="J116" s="113"/>
      <c r="K116" s="124"/>
      <c r="L116" s="123"/>
      <c r="M116" s="123"/>
      <c r="N116" s="124"/>
      <c r="O116" s="300"/>
      <c r="P116" s="81"/>
      <c r="R116" s="73" t="str">
        <f t="shared" si="44"/>
        <v/>
      </c>
      <c r="S116" s="73" t="str">
        <f t="shared" si="45"/>
        <v/>
      </c>
      <c r="T116" s="73" t="str">
        <f t="shared" si="46"/>
        <v/>
      </c>
      <c r="X116" s="73">
        <v>5431</v>
      </c>
      <c r="Y116" s="73" t="s">
        <v>260</v>
      </c>
      <c r="AA116" s="73" t="str">
        <f t="shared" si="47"/>
        <v>54</v>
      </c>
      <c r="AB116" s="73" t="str">
        <f t="shared" si="48"/>
        <v>543</v>
      </c>
      <c r="AD116" s="73" t="s">
        <v>1296</v>
      </c>
      <c r="AE116" s="73" t="s">
        <v>1297</v>
      </c>
      <c r="AF116" s="73" t="str">
        <f t="shared" si="49"/>
        <v>A679072</v>
      </c>
      <c r="AG116" s="73" t="str">
        <f>VLOOKUP(AF116,AKT!$C$4:$E$324,3,FALSE)</f>
        <v>0942</v>
      </c>
    </row>
    <row r="117" spans="1:33">
      <c r="A117" s="82"/>
      <c r="B117" s="77" t="str">
        <f t="shared" si="54"/>
        <v/>
      </c>
      <c r="C117" s="82"/>
      <c r="D117" s="77" t="str">
        <f t="shared" si="55"/>
        <v/>
      </c>
      <c r="E117" s="114"/>
      <c r="F117" s="77" t="str">
        <f t="shared" si="56"/>
        <v/>
      </c>
      <c r="G117" s="77" t="str">
        <f t="shared" si="57"/>
        <v/>
      </c>
      <c r="H117" s="113"/>
      <c r="I117" s="113"/>
      <c r="J117" s="113"/>
      <c r="K117" s="124"/>
      <c r="L117" s="123"/>
      <c r="M117" s="123"/>
      <c r="N117" s="124"/>
      <c r="O117" s="300"/>
      <c r="P117" s="81"/>
      <c r="R117" s="73" t="str">
        <f t="shared" si="44"/>
        <v/>
      </c>
      <c r="S117" s="73" t="str">
        <f t="shared" si="45"/>
        <v/>
      </c>
      <c r="T117" s="73" t="str">
        <f t="shared" si="46"/>
        <v/>
      </c>
      <c r="X117" s="73">
        <v>5443</v>
      </c>
      <c r="Y117" s="73" t="s">
        <v>641</v>
      </c>
      <c r="AA117" s="73" t="str">
        <f t="shared" si="47"/>
        <v>54</v>
      </c>
      <c r="AB117" s="73" t="str">
        <f t="shared" si="48"/>
        <v>544</v>
      </c>
      <c r="AD117" s="73" t="s">
        <v>1298</v>
      </c>
      <c r="AE117" s="73" t="s">
        <v>1299</v>
      </c>
      <c r="AF117" s="73" t="str">
        <f t="shared" si="49"/>
        <v>A679072</v>
      </c>
      <c r="AG117" s="73" t="str">
        <f>VLOOKUP(AF117,AKT!$C$4:$E$324,3,FALSE)</f>
        <v>0942</v>
      </c>
    </row>
    <row r="118" spans="1:33">
      <c r="A118" s="82"/>
      <c r="B118" s="77" t="str">
        <f t="shared" si="54"/>
        <v/>
      </c>
      <c r="C118" s="82"/>
      <c r="D118" s="77" t="str">
        <f t="shared" si="55"/>
        <v/>
      </c>
      <c r="E118" s="114"/>
      <c r="F118" s="77" t="str">
        <f t="shared" si="56"/>
        <v/>
      </c>
      <c r="G118" s="77" t="str">
        <f t="shared" si="57"/>
        <v/>
      </c>
      <c r="H118" s="113"/>
      <c r="I118" s="113"/>
      <c r="J118" s="113"/>
      <c r="K118" s="124"/>
      <c r="L118" s="123"/>
      <c r="M118" s="123"/>
      <c r="N118" s="124"/>
      <c r="O118" s="300"/>
      <c r="P118" s="81"/>
      <c r="R118" s="73" t="str">
        <f t="shared" si="44"/>
        <v/>
      </c>
      <c r="S118" s="73" t="str">
        <f t="shared" si="45"/>
        <v/>
      </c>
      <c r="T118" s="73" t="str">
        <f t="shared" si="46"/>
        <v/>
      </c>
      <c r="X118" s="73">
        <v>5445</v>
      </c>
      <c r="Y118" s="73" t="s">
        <v>642</v>
      </c>
      <c r="AA118" s="73" t="str">
        <f t="shared" si="47"/>
        <v>54</v>
      </c>
      <c r="AB118" s="73" t="str">
        <f t="shared" si="48"/>
        <v>544</v>
      </c>
      <c r="AD118" s="73" t="s">
        <v>1300</v>
      </c>
      <c r="AE118" s="73" t="s">
        <v>1301</v>
      </c>
      <c r="AF118" s="73" t="str">
        <f t="shared" si="49"/>
        <v>A679072</v>
      </c>
      <c r="AG118" s="73" t="str">
        <f>VLOOKUP(AF118,AKT!$C$4:$E$324,3,FALSE)</f>
        <v>0942</v>
      </c>
    </row>
    <row r="119" spans="1:33">
      <c r="A119" s="82"/>
      <c r="B119" s="77" t="str">
        <f t="shared" si="54"/>
        <v/>
      </c>
      <c r="C119" s="82"/>
      <c r="D119" s="77" t="str">
        <f t="shared" si="55"/>
        <v/>
      </c>
      <c r="E119" s="114"/>
      <c r="F119" s="77" t="str">
        <f t="shared" si="56"/>
        <v/>
      </c>
      <c r="G119" s="77" t="str">
        <f t="shared" si="57"/>
        <v/>
      </c>
      <c r="H119" s="113"/>
      <c r="I119" s="113"/>
      <c r="J119" s="113"/>
      <c r="K119" s="124"/>
      <c r="L119" s="123"/>
      <c r="M119" s="123"/>
      <c r="N119" s="124"/>
      <c r="O119" s="300"/>
      <c r="P119" s="81"/>
      <c r="R119" s="73" t="str">
        <f t="shared" si="44"/>
        <v/>
      </c>
      <c r="S119" s="73" t="str">
        <f t="shared" si="45"/>
        <v/>
      </c>
      <c r="T119" s="73" t="str">
        <f t="shared" si="46"/>
        <v/>
      </c>
      <c r="X119" s="73">
        <v>5453</v>
      </c>
      <c r="Y119" s="73" t="s">
        <v>643</v>
      </c>
      <c r="AA119" s="73" t="str">
        <f t="shared" si="47"/>
        <v>54</v>
      </c>
      <c r="AB119" s="73" t="str">
        <f t="shared" si="48"/>
        <v>545</v>
      </c>
      <c r="AD119" s="73" t="s">
        <v>1302</v>
      </c>
      <c r="AE119" s="73" t="s">
        <v>1303</v>
      </c>
      <c r="AF119" s="73" t="str">
        <f t="shared" si="49"/>
        <v>A679072</v>
      </c>
      <c r="AG119" s="73" t="str">
        <f>VLOOKUP(AF119,AKT!$C$4:$E$324,3,FALSE)</f>
        <v>0942</v>
      </c>
    </row>
    <row r="120" spans="1:33">
      <c r="A120" s="82"/>
      <c r="B120" s="77" t="str">
        <f t="shared" si="54"/>
        <v/>
      </c>
      <c r="C120" s="82"/>
      <c r="D120" s="77" t="str">
        <f t="shared" si="55"/>
        <v/>
      </c>
      <c r="E120" s="114"/>
      <c r="F120" s="77" t="str">
        <f t="shared" si="56"/>
        <v/>
      </c>
      <c r="G120" s="77" t="str">
        <f t="shared" si="57"/>
        <v/>
      </c>
      <c r="H120" s="113"/>
      <c r="I120" s="113"/>
      <c r="J120" s="113"/>
      <c r="K120" s="124"/>
      <c r="L120" s="123"/>
      <c r="M120" s="123"/>
      <c r="N120" s="124"/>
      <c r="O120" s="300"/>
      <c r="P120" s="81"/>
      <c r="R120" s="73" t="str">
        <f t="shared" si="44"/>
        <v/>
      </c>
      <c r="S120" s="73" t="str">
        <f t="shared" si="45"/>
        <v/>
      </c>
      <c r="T120" s="73" t="str">
        <f t="shared" si="46"/>
        <v/>
      </c>
      <c r="X120" s="73">
        <v>5472</v>
      </c>
      <c r="Y120" s="73" t="s">
        <v>644</v>
      </c>
      <c r="AA120" s="73" t="str">
        <f t="shared" si="47"/>
        <v>54</v>
      </c>
      <c r="AB120" s="73" t="str">
        <f t="shared" si="48"/>
        <v>547</v>
      </c>
      <c r="AD120" s="73" t="s">
        <v>1304</v>
      </c>
      <c r="AE120" s="73" t="s">
        <v>1305</v>
      </c>
      <c r="AF120" s="73" t="str">
        <f t="shared" si="49"/>
        <v>A679072</v>
      </c>
      <c r="AG120" s="73" t="str">
        <f>VLOOKUP(AF120,AKT!$C$4:$E$324,3,FALSE)</f>
        <v>0942</v>
      </c>
    </row>
    <row r="121" spans="1:33">
      <c r="A121" s="82"/>
      <c r="B121" s="77" t="str">
        <f t="shared" si="54"/>
        <v/>
      </c>
      <c r="C121" s="82"/>
      <c r="D121" s="77" t="str">
        <f t="shared" si="55"/>
        <v/>
      </c>
      <c r="E121" s="114"/>
      <c r="F121" s="77" t="str">
        <f t="shared" si="56"/>
        <v/>
      </c>
      <c r="G121" s="77" t="str">
        <f t="shared" si="57"/>
        <v/>
      </c>
      <c r="H121" s="113"/>
      <c r="I121" s="113"/>
      <c r="J121" s="113"/>
      <c r="K121" s="124"/>
      <c r="L121" s="123"/>
      <c r="M121" s="123"/>
      <c r="N121" s="124"/>
      <c r="O121" s="300"/>
      <c r="P121" s="81"/>
      <c r="R121" s="73" t="str">
        <f t="shared" si="44"/>
        <v/>
      </c>
      <c r="S121" s="73" t="str">
        <f t="shared" si="45"/>
        <v/>
      </c>
      <c r="T121" s="73" t="str">
        <f t="shared" si="46"/>
        <v/>
      </c>
      <c r="AD121" s="73" t="s">
        <v>1306</v>
      </c>
      <c r="AE121" s="73" t="s">
        <v>1307</v>
      </c>
      <c r="AF121" s="73" t="str">
        <f t="shared" si="49"/>
        <v>A679072</v>
      </c>
      <c r="AG121" s="73" t="str">
        <f>VLOOKUP(AF121,AKT!$C$4:$E$324,3,FALSE)</f>
        <v>0942</v>
      </c>
    </row>
    <row r="122" spans="1:33">
      <c r="A122" s="82"/>
      <c r="B122" s="77" t="str">
        <f t="shared" si="54"/>
        <v/>
      </c>
      <c r="C122" s="82"/>
      <c r="D122" s="77" t="str">
        <f t="shared" si="55"/>
        <v/>
      </c>
      <c r="E122" s="114"/>
      <c r="F122" s="77" t="str">
        <f t="shared" si="56"/>
        <v/>
      </c>
      <c r="G122" s="77" t="str">
        <f t="shared" si="57"/>
        <v/>
      </c>
      <c r="H122" s="113"/>
      <c r="I122" s="113"/>
      <c r="J122" s="113"/>
      <c r="K122" s="124"/>
      <c r="L122" s="123"/>
      <c r="M122" s="123"/>
      <c r="N122" s="124"/>
      <c r="O122" s="300"/>
      <c r="P122" s="81"/>
      <c r="R122" s="73" t="str">
        <f t="shared" si="44"/>
        <v/>
      </c>
      <c r="S122" s="73" t="str">
        <f t="shared" si="45"/>
        <v/>
      </c>
      <c r="T122" s="73" t="str">
        <f t="shared" si="46"/>
        <v/>
      </c>
      <c r="AD122" s="73" t="s">
        <v>1308</v>
      </c>
      <c r="AE122" s="73" t="s">
        <v>1309</v>
      </c>
      <c r="AF122" s="73" t="str">
        <f t="shared" si="49"/>
        <v>A679072</v>
      </c>
      <c r="AG122" s="73" t="str">
        <f>VLOOKUP(AF122,AKT!$C$4:$E$324,3,FALSE)</f>
        <v>0942</v>
      </c>
    </row>
    <row r="123" spans="1:33">
      <c r="A123" s="82"/>
      <c r="B123" s="77" t="str">
        <f t="shared" si="54"/>
        <v/>
      </c>
      <c r="C123" s="82"/>
      <c r="D123" s="77" t="str">
        <f t="shared" si="55"/>
        <v/>
      </c>
      <c r="E123" s="114"/>
      <c r="F123" s="77" t="str">
        <f t="shared" si="56"/>
        <v/>
      </c>
      <c r="G123" s="77" t="str">
        <f t="shared" si="57"/>
        <v/>
      </c>
      <c r="H123" s="113"/>
      <c r="I123" s="113"/>
      <c r="J123" s="113"/>
      <c r="K123" s="124"/>
      <c r="L123" s="123"/>
      <c r="M123" s="123"/>
      <c r="N123" s="124"/>
      <c r="O123" s="300"/>
      <c r="P123" s="81"/>
      <c r="R123" s="73" t="str">
        <f t="shared" ref="R123:R186" si="58">LEFT(C123,3)</f>
        <v/>
      </c>
      <c r="S123" s="73" t="str">
        <f t="shared" ref="S123:S186" si="59">LEFT(C123,2)</f>
        <v/>
      </c>
      <c r="T123" s="73" t="str">
        <f t="shared" ref="T123:T186" si="60">MID(G123,2,2)</f>
        <v/>
      </c>
      <c r="AD123" s="73" t="s">
        <v>1310</v>
      </c>
      <c r="AE123" s="73" t="s">
        <v>1311</v>
      </c>
      <c r="AF123" s="73" t="str">
        <f t="shared" si="49"/>
        <v>A679072</v>
      </c>
      <c r="AG123" s="73" t="str">
        <f>VLOOKUP(AF123,AKT!$C$4:$E$324,3,FALSE)</f>
        <v>0942</v>
      </c>
    </row>
    <row r="124" spans="1:33">
      <c r="A124" s="82"/>
      <c r="B124" s="77" t="str">
        <f t="shared" si="54"/>
        <v/>
      </c>
      <c r="C124" s="82"/>
      <c r="D124" s="77" t="str">
        <f t="shared" si="55"/>
        <v/>
      </c>
      <c r="E124" s="114"/>
      <c r="F124" s="77" t="str">
        <f t="shared" si="56"/>
        <v/>
      </c>
      <c r="G124" s="77" t="str">
        <f t="shared" si="57"/>
        <v/>
      </c>
      <c r="H124" s="113"/>
      <c r="I124" s="113"/>
      <c r="J124" s="113"/>
      <c r="K124" s="124"/>
      <c r="L124" s="123"/>
      <c r="M124" s="123"/>
      <c r="N124" s="124"/>
      <c r="O124" s="300"/>
      <c r="P124" s="81"/>
      <c r="R124" s="73" t="str">
        <f t="shared" si="58"/>
        <v/>
      </c>
      <c r="S124" s="73" t="str">
        <f t="shared" si="59"/>
        <v/>
      </c>
      <c r="T124" s="73" t="str">
        <f t="shared" si="60"/>
        <v/>
      </c>
      <c r="AD124" s="73" t="s">
        <v>1312</v>
      </c>
      <c r="AE124" s="73" t="s">
        <v>1313</v>
      </c>
      <c r="AF124" s="73" t="str">
        <f t="shared" si="49"/>
        <v>A679072</v>
      </c>
      <c r="AG124" s="73" t="str">
        <f>VLOOKUP(AF124,AKT!$C$4:$E$324,3,FALSE)</f>
        <v>0942</v>
      </c>
    </row>
    <row r="125" spans="1:33">
      <c r="A125" s="82"/>
      <c r="B125" s="77" t="str">
        <f t="shared" si="54"/>
        <v/>
      </c>
      <c r="C125" s="82"/>
      <c r="D125" s="77" t="str">
        <f t="shared" si="55"/>
        <v/>
      </c>
      <c r="E125" s="114"/>
      <c r="F125" s="77" t="str">
        <f t="shared" si="56"/>
        <v/>
      </c>
      <c r="G125" s="77" t="str">
        <f t="shared" si="57"/>
        <v/>
      </c>
      <c r="H125" s="113"/>
      <c r="I125" s="113"/>
      <c r="J125" s="113"/>
      <c r="K125" s="124"/>
      <c r="L125" s="123"/>
      <c r="M125" s="123"/>
      <c r="N125" s="124"/>
      <c r="O125" s="300"/>
      <c r="P125" s="81"/>
      <c r="R125" s="73" t="str">
        <f t="shared" si="58"/>
        <v/>
      </c>
      <c r="S125" s="73" t="str">
        <f t="shared" si="59"/>
        <v/>
      </c>
      <c r="T125" s="73" t="str">
        <f t="shared" si="60"/>
        <v/>
      </c>
      <c r="AD125" s="73" t="s">
        <v>1314</v>
      </c>
      <c r="AE125" s="73" t="s">
        <v>1315</v>
      </c>
      <c r="AF125" s="73" t="str">
        <f t="shared" si="49"/>
        <v>A679072</v>
      </c>
      <c r="AG125" s="73" t="str">
        <f>VLOOKUP(AF125,AKT!$C$4:$E$324,3,FALSE)</f>
        <v>0942</v>
      </c>
    </row>
    <row r="126" spans="1:33">
      <c r="A126" s="82"/>
      <c r="B126" s="77" t="str">
        <f t="shared" si="54"/>
        <v/>
      </c>
      <c r="C126" s="82"/>
      <c r="D126" s="77" t="str">
        <f t="shared" si="55"/>
        <v/>
      </c>
      <c r="E126" s="114"/>
      <c r="F126" s="77" t="str">
        <f t="shared" si="56"/>
        <v/>
      </c>
      <c r="G126" s="77" t="str">
        <f t="shared" si="57"/>
        <v/>
      </c>
      <c r="H126" s="113"/>
      <c r="I126" s="113"/>
      <c r="J126" s="113"/>
      <c r="K126" s="124"/>
      <c r="L126" s="123"/>
      <c r="M126" s="123"/>
      <c r="N126" s="124"/>
      <c r="O126" s="300"/>
      <c r="P126" s="81"/>
      <c r="R126" s="73" t="str">
        <f t="shared" si="58"/>
        <v/>
      </c>
      <c r="S126" s="73" t="str">
        <f t="shared" si="59"/>
        <v/>
      </c>
      <c r="T126" s="73" t="str">
        <f t="shared" si="60"/>
        <v/>
      </c>
      <c r="AD126" s="73" t="s">
        <v>1316</v>
      </c>
      <c r="AE126" s="73" t="s">
        <v>1317</v>
      </c>
      <c r="AF126" s="73" t="str">
        <f t="shared" si="49"/>
        <v>A679072</v>
      </c>
      <c r="AG126" s="73" t="str">
        <f>VLOOKUP(AF126,AKT!$C$4:$E$324,3,FALSE)</f>
        <v>0942</v>
      </c>
    </row>
    <row r="127" spans="1:33">
      <c r="A127" s="82"/>
      <c r="B127" s="77" t="str">
        <f t="shared" si="54"/>
        <v/>
      </c>
      <c r="C127" s="82"/>
      <c r="D127" s="77" t="str">
        <f t="shared" si="55"/>
        <v/>
      </c>
      <c r="E127" s="114"/>
      <c r="F127" s="77" t="str">
        <f t="shared" si="56"/>
        <v/>
      </c>
      <c r="G127" s="77" t="str">
        <f t="shared" si="57"/>
        <v/>
      </c>
      <c r="H127" s="113"/>
      <c r="I127" s="113"/>
      <c r="J127" s="113"/>
      <c r="K127" s="124"/>
      <c r="L127" s="123"/>
      <c r="M127" s="123"/>
      <c r="N127" s="124"/>
      <c r="O127" s="300"/>
      <c r="P127" s="81"/>
      <c r="R127" s="73" t="str">
        <f t="shared" si="58"/>
        <v/>
      </c>
      <c r="S127" s="73" t="str">
        <f t="shared" si="59"/>
        <v/>
      </c>
      <c r="T127" s="73" t="str">
        <f t="shared" si="60"/>
        <v/>
      </c>
      <c r="AD127" s="73" t="s">
        <v>1318</v>
      </c>
      <c r="AE127" s="73" t="s">
        <v>1319</v>
      </c>
      <c r="AF127" s="73" t="str">
        <f t="shared" ref="AF127:AF190" si="61">LEFT(AD127,7)</f>
        <v>A679072</v>
      </c>
      <c r="AG127" s="73" t="str">
        <f>VLOOKUP(AF127,AKT!$C$4:$E$324,3,FALSE)</f>
        <v>0942</v>
      </c>
    </row>
    <row r="128" spans="1:33">
      <c r="A128" s="82"/>
      <c r="B128" s="77" t="str">
        <f t="shared" si="54"/>
        <v/>
      </c>
      <c r="C128" s="82"/>
      <c r="D128" s="77" t="str">
        <f t="shared" si="55"/>
        <v/>
      </c>
      <c r="E128" s="114"/>
      <c r="F128" s="77" t="str">
        <f t="shared" si="56"/>
        <v/>
      </c>
      <c r="G128" s="77" t="str">
        <f t="shared" si="57"/>
        <v/>
      </c>
      <c r="H128" s="113"/>
      <c r="I128" s="113"/>
      <c r="J128" s="113"/>
      <c r="K128" s="124"/>
      <c r="L128" s="123"/>
      <c r="M128" s="123"/>
      <c r="N128" s="124"/>
      <c r="O128" s="300"/>
      <c r="P128" s="81"/>
      <c r="R128" s="73" t="str">
        <f t="shared" si="58"/>
        <v/>
      </c>
      <c r="S128" s="73" t="str">
        <f t="shared" si="59"/>
        <v/>
      </c>
      <c r="T128" s="73" t="str">
        <f t="shared" si="60"/>
        <v/>
      </c>
      <c r="AD128" s="73" t="s">
        <v>1320</v>
      </c>
      <c r="AE128" s="73" t="s">
        <v>1321</v>
      </c>
      <c r="AF128" s="73" t="str">
        <f t="shared" si="61"/>
        <v>A679072</v>
      </c>
      <c r="AG128" s="73" t="str">
        <f>VLOOKUP(AF128,AKT!$C$4:$E$324,3,FALSE)</f>
        <v>0942</v>
      </c>
    </row>
    <row r="129" spans="1:33">
      <c r="A129" s="82"/>
      <c r="B129" s="77" t="str">
        <f t="shared" si="54"/>
        <v/>
      </c>
      <c r="C129" s="82"/>
      <c r="D129" s="77" t="str">
        <f t="shared" si="55"/>
        <v/>
      </c>
      <c r="E129" s="114"/>
      <c r="F129" s="77" t="str">
        <f t="shared" si="56"/>
        <v/>
      </c>
      <c r="G129" s="77" t="str">
        <f t="shared" si="57"/>
        <v/>
      </c>
      <c r="H129" s="113"/>
      <c r="I129" s="113"/>
      <c r="J129" s="113"/>
      <c r="K129" s="124"/>
      <c r="L129" s="123"/>
      <c r="M129" s="123"/>
      <c r="N129" s="124"/>
      <c r="O129" s="300"/>
      <c r="P129" s="81"/>
      <c r="R129" s="73" t="str">
        <f t="shared" si="58"/>
        <v/>
      </c>
      <c r="S129" s="73" t="str">
        <f t="shared" si="59"/>
        <v/>
      </c>
      <c r="T129" s="73" t="str">
        <f t="shared" si="60"/>
        <v/>
      </c>
      <c r="AD129" s="73" t="s">
        <v>1322</v>
      </c>
      <c r="AE129" s="73" t="s">
        <v>1323</v>
      </c>
      <c r="AF129" s="73" t="str">
        <f t="shared" si="61"/>
        <v>A679072</v>
      </c>
      <c r="AG129" s="73" t="str">
        <f>VLOOKUP(AF129,AKT!$C$4:$E$324,3,FALSE)</f>
        <v>0942</v>
      </c>
    </row>
    <row r="130" spans="1:33">
      <c r="A130" s="82"/>
      <c r="B130" s="77" t="str">
        <f t="shared" si="54"/>
        <v/>
      </c>
      <c r="C130" s="82"/>
      <c r="D130" s="77" t="str">
        <f t="shared" si="55"/>
        <v/>
      </c>
      <c r="E130" s="114"/>
      <c r="F130" s="77" t="str">
        <f t="shared" si="56"/>
        <v/>
      </c>
      <c r="G130" s="77" t="str">
        <f t="shared" si="57"/>
        <v/>
      </c>
      <c r="H130" s="113"/>
      <c r="I130" s="113"/>
      <c r="J130" s="113"/>
      <c r="K130" s="124"/>
      <c r="L130" s="123"/>
      <c r="M130" s="123"/>
      <c r="N130" s="124"/>
      <c r="O130" s="300"/>
      <c r="P130" s="81"/>
      <c r="R130" s="73" t="str">
        <f t="shared" si="58"/>
        <v/>
      </c>
      <c r="S130" s="73" t="str">
        <f t="shared" si="59"/>
        <v/>
      </c>
      <c r="T130" s="73" t="str">
        <f t="shared" si="60"/>
        <v/>
      </c>
      <c r="AD130" s="73" t="s">
        <v>1324</v>
      </c>
      <c r="AE130" s="73" t="s">
        <v>1325</v>
      </c>
      <c r="AF130" s="73" t="str">
        <f t="shared" si="61"/>
        <v>A679072</v>
      </c>
      <c r="AG130" s="73" t="str">
        <f>VLOOKUP(AF130,AKT!$C$4:$E$324,3,FALSE)</f>
        <v>0942</v>
      </c>
    </row>
    <row r="131" spans="1:33">
      <c r="A131" s="82"/>
      <c r="B131" s="77" t="str">
        <f t="shared" si="54"/>
        <v/>
      </c>
      <c r="C131" s="82"/>
      <c r="D131" s="77" t="str">
        <f t="shared" si="55"/>
        <v/>
      </c>
      <c r="E131" s="114"/>
      <c r="F131" s="77" t="str">
        <f t="shared" si="56"/>
        <v/>
      </c>
      <c r="G131" s="77" t="str">
        <f t="shared" si="57"/>
        <v/>
      </c>
      <c r="H131" s="113"/>
      <c r="I131" s="113"/>
      <c r="J131" s="113"/>
      <c r="K131" s="124"/>
      <c r="L131" s="123"/>
      <c r="M131" s="123"/>
      <c r="N131" s="124"/>
      <c r="O131" s="300"/>
      <c r="P131" s="81"/>
      <c r="R131" s="73" t="str">
        <f t="shared" si="58"/>
        <v/>
      </c>
      <c r="S131" s="73" t="str">
        <f t="shared" si="59"/>
        <v/>
      </c>
      <c r="T131" s="73" t="str">
        <f t="shared" si="60"/>
        <v/>
      </c>
      <c r="AD131" s="73" t="s">
        <v>1326</v>
      </c>
      <c r="AE131" s="73" t="s">
        <v>1327</v>
      </c>
      <c r="AF131" s="73" t="str">
        <f t="shared" si="61"/>
        <v>A679072</v>
      </c>
      <c r="AG131" s="73" t="str">
        <f>VLOOKUP(AF131,AKT!$C$4:$E$324,3,FALSE)</f>
        <v>0942</v>
      </c>
    </row>
    <row r="132" spans="1:33">
      <c r="A132" s="82"/>
      <c r="B132" s="77" t="str">
        <f t="shared" si="54"/>
        <v/>
      </c>
      <c r="C132" s="82"/>
      <c r="D132" s="77" t="str">
        <f t="shared" si="55"/>
        <v/>
      </c>
      <c r="E132" s="114"/>
      <c r="F132" s="77" t="str">
        <f t="shared" si="56"/>
        <v/>
      </c>
      <c r="G132" s="77" t="str">
        <f t="shared" si="57"/>
        <v/>
      </c>
      <c r="H132" s="113"/>
      <c r="I132" s="113"/>
      <c r="J132" s="113"/>
      <c r="K132" s="124"/>
      <c r="L132" s="123"/>
      <c r="M132" s="123"/>
      <c r="N132" s="124"/>
      <c r="O132" s="300"/>
      <c r="P132" s="81"/>
      <c r="R132" s="73" t="str">
        <f t="shared" si="58"/>
        <v/>
      </c>
      <c r="S132" s="73" t="str">
        <f t="shared" si="59"/>
        <v/>
      </c>
      <c r="T132" s="73" t="str">
        <f t="shared" si="60"/>
        <v/>
      </c>
      <c r="AD132" s="73" t="s">
        <v>1328</v>
      </c>
      <c r="AE132" s="73" t="s">
        <v>1329</v>
      </c>
      <c r="AF132" s="73" t="str">
        <f t="shared" si="61"/>
        <v>A679072</v>
      </c>
      <c r="AG132" s="73" t="str">
        <f>VLOOKUP(AF132,AKT!$C$4:$E$324,3,FALSE)</f>
        <v>0942</v>
      </c>
    </row>
    <row r="133" spans="1:33">
      <c r="A133" s="82"/>
      <c r="B133" s="77" t="str">
        <f t="shared" si="54"/>
        <v/>
      </c>
      <c r="C133" s="82"/>
      <c r="D133" s="77" t="str">
        <f t="shared" si="55"/>
        <v/>
      </c>
      <c r="E133" s="114"/>
      <c r="F133" s="77" t="str">
        <f t="shared" si="56"/>
        <v/>
      </c>
      <c r="G133" s="77" t="str">
        <f t="shared" si="57"/>
        <v/>
      </c>
      <c r="H133" s="113"/>
      <c r="I133" s="113"/>
      <c r="J133" s="113"/>
      <c r="K133" s="124"/>
      <c r="L133" s="123"/>
      <c r="M133" s="123"/>
      <c r="N133" s="124"/>
      <c r="O133" s="300"/>
      <c r="P133" s="81"/>
      <c r="R133" s="73" t="str">
        <f t="shared" si="58"/>
        <v/>
      </c>
      <c r="S133" s="73" t="str">
        <f t="shared" si="59"/>
        <v/>
      </c>
      <c r="T133" s="73" t="str">
        <f t="shared" si="60"/>
        <v/>
      </c>
      <c r="AD133" s="73" t="s">
        <v>1330</v>
      </c>
      <c r="AE133" s="73" t="s">
        <v>1331</v>
      </c>
      <c r="AF133" s="73" t="str">
        <f t="shared" si="61"/>
        <v>A679072</v>
      </c>
      <c r="AG133" s="73" t="str">
        <f>VLOOKUP(AF133,AKT!$C$4:$E$324,3,FALSE)</f>
        <v>0942</v>
      </c>
    </row>
    <row r="134" spans="1:33">
      <c r="A134" s="82"/>
      <c r="B134" s="77" t="str">
        <f t="shared" si="54"/>
        <v/>
      </c>
      <c r="C134" s="82"/>
      <c r="D134" s="77" t="str">
        <f t="shared" si="55"/>
        <v/>
      </c>
      <c r="E134" s="114"/>
      <c r="F134" s="77" t="str">
        <f t="shared" si="56"/>
        <v/>
      </c>
      <c r="G134" s="77" t="str">
        <f t="shared" si="57"/>
        <v/>
      </c>
      <c r="H134" s="113"/>
      <c r="I134" s="113"/>
      <c r="J134" s="113"/>
      <c r="K134" s="124"/>
      <c r="L134" s="123"/>
      <c r="M134" s="123"/>
      <c r="N134" s="124"/>
      <c r="O134" s="300"/>
      <c r="P134" s="81"/>
      <c r="R134" s="73" t="str">
        <f t="shared" si="58"/>
        <v/>
      </c>
      <c r="S134" s="73" t="str">
        <f t="shared" si="59"/>
        <v/>
      </c>
      <c r="T134" s="73" t="str">
        <f t="shared" si="60"/>
        <v/>
      </c>
      <c r="AD134" s="73" t="s">
        <v>1332</v>
      </c>
      <c r="AE134" s="73" t="s">
        <v>1333</v>
      </c>
      <c r="AF134" s="73" t="str">
        <f t="shared" si="61"/>
        <v>A679072</v>
      </c>
      <c r="AG134" s="73" t="str">
        <f>VLOOKUP(AF134,AKT!$C$4:$E$324,3,FALSE)</f>
        <v>0942</v>
      </c>
    </row>
    <row r="135" spans="1:33">
      <c r="A135" s="82"/>
      <c r="B135" s="77" t="str">
        <f t="shared" si="54"/>
        <v/>
      </c>
      <c r="C135" s="82"/>
      <c r="D135" s="77" t="str">
        <f t="shared" si="55"/>
        <v/>
      </c>
      <c r="E135" s="114"/>
      <c r="F135" s="77" t="str">
        <f t="shared" si="56"/>
        <v/>
      </c>
      <c r="G135" s="77" t="str">
        <f t="shared" si="57"/>
        <v/>
      </c>
      <c r="H135" s="113"/>
      <c r="I135" s="113"/>
      <c r="J135" s="113"/>
      <c r="K135" s="124"/>
      <c r="L135" s="123"/>
      <c r="M135" s="123"/>
      <c r="N135" s="124"/>
      <c r="O135" s="300"/>
      <c r="P135" s="81"/>
      <c r="R135" s="73" t="str">
        <f t="shared" si="58"/>
        <v/>
      </c>
      <c r="S135" s="73" t="str">
        <f t="shared" si="59"/>
        <v/>
      </c>
      <c r="T135" s="73" t="str">
        <f t="shared" si="60"/>
        <v/>
      </c>
      <c r="AD135" s="73" t="s">
        <v>2061</v>
      </c>
      <c r="AE135" s="73" t="s">
        <v>2062</v>
      </c>
      <c r="AF135" s="73" t="str">
        <f t="shared" si="61"/>
        <v>A679072</v>
      </c>
      <c r="AG135" s="73" t="str">
        <f>VLOOKUP(AF135,AKT!$C$4:$E$324,3,FALSE)</f>
        <v>0942</v>
      </c>
    </row>
    <row r="136" spans="1:33">
      <c r="A136" s="82"/>
      <c r="B136" s="77" t="str">
        <f t="shared" si="54"/>
        <v/>
      </c>
      <c r="C136" s="82"/>
      <c r="D136" s="77" t="str">
        <f t="shared" si="55"/>
        <v/>
      </c>
      <c r="E136" s="114"/>
      <c r="F136" s="77" t="str">
        <f t="shared" si="56"/>
        <v/>
      </c>
      <c r="G136" s="77" t="str">
        <f t="shared" si="57"/>
        <v/>
      </c>
      <c r="H136" s="113"/>
      <c r="I136" s="113"/>
      <c r="J136" s="113"/>
      <c r="K136" s="124"/>
      <c r="L136" s="123"/>
      <c r="M136" s="123"/>
      <c r="N136" s="124"/>
      <c r="O136" s="300"/>
      <c r="P136" s="81"/>
      <c r="R136" s="73" t="str">
        <f t="shared" si="58"/>
        <v/>
      </c>
      <c r="S136" s="73" t="str">
        <f t="shared" si="59"/>
        <v/>
      </c>
      <c r="T136" s="73" t="str">
        <f t="shared" si="60"/>
        <v/>
      </c>
      <c r="AD136" s="73" t="s">
        <v>2063</v>
      </c>
      <c r="AE136" s="73" t="s">
        <v>2064</v>
      </c>
      <c r="AF136" s="73" t="str">
        <f t="shared" si="61"/>
        <v>A679072</v>
      </c>
      <c r="AG136" s="73" t="str">
        <f>VLOOKUP(AF136,AKT!$C$4:$E$324,3,FALSE)</f>
        <v>0942</v>
      </c>
    </row>
    <row r="137" spans="1:33">
      <c r="A137" s="82"/>
      <c r="B137" s="77" t="str">
        <f t="shared" si="54"/>
        <v/>
      </c>
      <c r="C137" s="82"/>
      <c r="D137" s="77" t="str">
        <f t="shared" si="55"/>
        <v/>
      </c>
      <c r="E137" s="114"/>
      <c r="F137" s="77" t="str">
        <f t="shared" si="56"/>
        <v/>
      </c>
      <c r="G137" s="77" t="str">
        <f t="shared" si="57"/>
        <v/>
      </c>
      <c r="H137" s="113"/>
      <c r="I137" s="113"/>
      <c r="J137" s="113"/>
      <c r="K137" s="124"/>
      <c r="L137" s="123"/>
      <c r="M137" s="123"/>
      <c r="N137" s="124"/>
      <c r="O137" s="300"/>
      <c r="P137" s="81"/>
      <c r="R137" s="73" t="str">
        <f t="shared" si="58"/>
        <v/>
      </c>
      <c r="S137" s="73" t="str">
        <f t="shared" si="59"/>
        <v/>
      </c>
      <c r="T137" s="73" t="str">
        <f t="shared" si="60"/>
        <v/>
      </c>
      <c r="AD137" s="73" t="s">
        <v>2065</v>
      </c>
      <c r="AE137" s="73" t="s">
        <v>2066</v>
      </c>
      <c r="AF137" s="73" t="str">
        <f t="shared" si="61"/>
        <v>A679072</v>
      </c>
      <c r="AG137" s="73" t="str">
        <f>VLOOKUP(AF137,AKT!$C$4:$E$324,3,FALSE)</f>
        <v>0942</v>
      </c>
    </row>
    <row r="138" spans="1:33">
      <c r="A138" s="82"/>
      <c r="B138" s="77" t="str">
        <f t="shared" si="54"/>
        <v/>
      </c>
      <c r="C138" s="82"/>
      <c r="D138" s="77" t="str">
        <f t="shared" si="55"/>
        <v/>
      </c>
      <c r="E138" s="114"/>
      <c r="F138" s="77" t="str">
        <f t="shared" si="56"/>
        <v/>
      </c>
      <c r="G138" s="77" t="str">
        <f t="shared" si="57"/>
        <v/>
      </c>
      <c r="H138" s="113"/>
      <c r="I138" s="113"/>
      <c r="J138" s="113"/>
      <c r="K138" s="124"/>
      <c r="L138" s="123"/>
      <c r="M138" s="123"/>
      <c r="N138" s="124"/>
      <c r="O138" s="300"/>
      <c r="P138" s="81"/>
      <c r="R138" s="73" t="str">
        <f t="shared" si="58"/>
        <v/>
      </c>
      <c r="S138" s="73" t="str">
        <f t="shared" si="59"/>
        <v/>
      </c>
      <c r="T138" s="73" t="str">
        <f t="shared" si="60"/>
        <v/>
      </c>
      <c r="AD138" s="73" t="s">
        <v>2067</v>
      </c>
      <c r="AE138" s="73" t="s">
        <v>2068</v>
      </c>
      <c r="AF138" s="73" t="str">
        <f t="shared" si="61"/>
        <v>A679072</v>
      </c>
      <c r="AG138" s="73" t="str">
        <f>VLOOKUP(AF138,AKT!$C$4:$E$324,3,FALSE)</f>
        <v>0942</v>
      </c>
    </row>
    <row r="139" spans="1:33">
      <c r="A139" s="82"/>
      <c r="B139" s="77" t="str">
        <f t="shared" si="54"/>
        <v/>
      </c>
      <c r="C139" s="82"/>
      <c r="D139" s="77" t="str">
        <f t="shared" si="55"/>
        <v/>
      </c>
      <c r="E139" s="114"/>
      <c r="F139" s="77" t="str">
        <f t="shared" si="56"/>
        <v/>
      </c>
      <c r="G139" s="77" t="str">
        <f t="shared" si="57"/>
        <v/>
      </c>
      <c r="H139" s="113"/>
      <c r="I139" s="113"/>
      <c r="J139" s="113"/>
      <c r="K139" s="124"/>
      <c r="L139" s="123"/>
      <c r="M139" s="123"/>
      <c r="N139" s="124"/>
      <c r="O139" s="300"/>
      <c r="P139" s="81"/>
      <c r="R139" s="73" t="str">
        <f t="shared" si="58"/>
        <v/>
      </c>
      <c r="S139" s="73" t="str">
        <f t="shared" si="59"/>
        <v/>
      </c>
      <c r="T139" s="73" t="str">
        <f t="shared" si="60"/>
        <v/>
      </c>
      <c r="AD139" s="73" t="s">
        <v>2069</v>
      </c>
      <c r="AE139" s="73" t="s">
        <v>2070</v>
      </c>
      <c r="AF139" s="73" t="str">
        <f t="shared" si="61"/>
        <v>A679072</v>
      </c>
      <c r="AG139" s="73" t="str">
        <f>VLOOKUP(AF139,AKT!$C$4:$E$324,3,FALSE)</f>
        <v>0942</v>
      </c>
    </row>
    <row r="140" spans="1:33">
      <c r="A140" s="82"/>
      <c r="B140" s="77" t="str">
        <f t="shared" si="54"/>
        <v/>
      </c>
      <c r="C140" s="82"/>
      <c r="D140" s="77" t="str">
        <f t="shared" si="55"/>
        <v/>
      </c>
      <c r="E140" s="114"/>
      <c r="F140" s="77" t="str">
        <f t="shared" si="56"/>
        <v/>
      </c>
      <c r="G140" s="77" t="str">
        <f t="shared" si="57"/>
        <v/>
      </c>
      <c r="H140" s="113"/>
      <c r="I140" s="113"/>
      <c r="J140" s="113"/>
      <c r="K140" s="124"/>
      <c r="L140" s="123"/>
      <c r="M140" s="123"/>
      <c r="N140" s="124"/>
      <c r="O140" s="300"/>
      <c r="P140" s="81"/>
      <c r="R140" s="73" t="str">
        <f t="shared" si="58"/>
        <v/>
      </c>
      <c r="S140" s="73" t="str">
        <f t="shared" si="59"/>
        <v/>
      </c>
      <c r="T140" s="73" t="str">
        <f t="shared" si="60"/>
        <v/>
      </c>
      <c r="AD140" s="73" t="s">
        <v>2071</v>
      </c>
      <c r="AE140" s="73" t="s">
        <v>2072</v>
      </c>
      <c r="AF140" s="73" t="str">
        <f t="shared" si="61"/>
        <v>A679072</v>
      </c>
      <c r="AG140" s="73" t="str">
        <f>VLOOKUP(AF140,AKT!$C$4:$E$324,3,FALSE)</f>
        <v>0942</v>
      </c>
    </row>
    <row r="141" spans="1:33">
      <c r="A141" s="82"/>
      <c r="B141" s="77" t="str">
        <f t="shared" si="54"/>
        <v/>
      </c>
      <c r="C141" s="82"/>
      <c r="D141" s="77" t="str">
        <f t="shared" si="55"/>
        <v/>
      </c>
      <c r="E141" s="114"/>
      <c r="F141" s="77" t="str">
        <f t="shared" si="56"/>
        <v/>
      </c>
      <c r="G141" s="77" t="str">
        <f t="shared" si="57"/>
        <v/>
      </c>
      <c r="H141" s="113"/>
      <c r="I141" s="113"/>
      <c r="J141" s="113"/>
      <c r="K141" s="124"/>
      <c r="L141" s="123"/>
      <c r="M141" s="123"/>
      <c r="N141" s="124"/>
      <c r="O141" s="300"/>
      <c r="P141" s="81"/>
      <c r="R141" s="73" t="str">
        <f t="shared" si="58"/>
        <v/>
      </c>
      <c r="S141" s="73" t="str">
        <f t="shared" si="59"/>
        <v/>
      </c>
      <c r="T141" s="73" t="str">
        <f t="shared" si="60"/>
        <v/>
      </c>
      <c r="AD141" s="73" t="s">
        <v>2073</v>
      </c>
      <c r="AE141" s="73" t="s">
        <v>2074</v>
      </c>
      <c r="AF141" s="73" t="str">
        <f t="shared" si="61"/>
        <v>A679072</v>
      </c>
      <c r="AG141" s="73" t="str">
        <f>VLOOKUP(AF141,AKT!$C$4:$E$324,3,FALSE)</f>
        <v>0942</v>
      </c>
    </row>
    <row r="142" spans="1:33">
      <c r="A142" s="82"/>
      <c r="B142" s="77" t="str">
        <f t="shared" si="54"/>
        <v/>
      </c>
      <c r="C142" s="82"/>
      <c r="D142" s="77" t="str">
        <f t="shared" si="55"/>
        <v/>
      </c>
      <c r="E142" s="114"/>
      <c r="F142" s="77" t="str">
        <f t="shared" si="56"/>
        <v/>
      </c>
      <c r="G142" s="77" t="str">
        <f t="shared" si="57"/>
        <v/>
      </c>
      <c r="H142" s="113"/>
      <c r="I142" s="113"/>
      <c r="J142" s="113"/>
      <c r="K142" s="124"/>
      <c r="L142" s="123"/>
      <c r="M142" s="123"/>
      <c r="N142" s="124"/>
      <c r="O142" s="300"/>
      <c r="P142" s="81"/>
      <c r="R142" s="73" t="str">
        <f t="shared" si="58"/>
        <v/>
      </c>
      <c r="S142" s="73" t="str">
        <f t="shared" si="59"/>
        <v/>
      </c>
      <c r="T142" s="73" t="str">
        <f t="shared" si="60"/>
        <v/>
      </c>
      <c r="AD142" s="73" t="s">
        <v>2075</v>
      </c>
      <c r="AE142" s="73" t="s">
        <v>2076</v>
      </c>
      <c r="AF142" s="73" t="str">
        <f t="shared" si="61"/>
        <v>A679072</v>
      </c>
      <c r="AG142" s="73" t="str">
        <f>VLOOKUP(AF142,AKT!$C$4:$E$324,3,FALSE)</f>
        <v>0942</v>
      </c>
    </row>
    <row r="143" spans="1:33">
      <c r="A143" s="82"/>
      <c r="B143" s="77" t="str">
        <f t="shared" si="54"/>
        <v/>
      </c>
      <c r="C143" s="82"/>
      <c r="D143" s="77" t="str">
        <f t="shared" si="55"/>
        <v/>
      </c>
      <c r="E143" s="114"/>
      <c r="F143" s="77" t="str">
        <f t="shared" si="56"/>
        <v/>
      </c>
      <c r="G143" s="77" t="str">
        <f t="shared" si="57"/>
        <v/>
      </c>
      <c r="H143" s="113"/>
      <c r="I143" s="113"/>
      <c r="J143" s="113"/>
      <c r="K143" s="124"/>
      <c r="L143" s="123"/>
      <c r="M143" s="123"/>
      <c r="N143" s="124"/>
      <c r="O143" s="300"/>
      <c r="P143" s="81"/>
      <c r="R143" s="73" t="str">
        <f t="shared" si="58"/>
        <v/>
      </c>
      <c r="S143" s="73" t="str">
        <f t="shared" si="59"/>
        <v/>
      </c>
      <c r="T143" s="73" t="str">
        <f t="shared" si="60"/>
        <v/>
      </c>
      <c r="AD143" s="73" t="s">
        <v>2077</v>
      </c>
      <c r="AE143" s="73" t="s">
        <v>2078</v>
      </c>
      <c r="AF143" s="73" t="str">
        <f t="shared" si="61"/>
        <v>A679072</v>
      </c>
      <c r="AG143" s="73" t="str">
        <f>VLOOKUP(AF143,AKT!$C$4:$E$324,3,FALSE)</f>
        <v>0942</v>
      </c>
    </row>
    <row r="144" spans="1:33">
      <c r="A144" s="82"/>
      <c r="B144" s="77" t="str">
        <f t="shared" si="54"/>
        <v/>
      </c>
      <c r="C144" s="82"/>
      <c r="D144" s="77" t="str">
        <f t="shared" si="55"/>
        <v/>
      </c>
      <c r="E144" s="114"/>
      <c r="F144" s="77" t="str">
        <f t="shared" si="56"/>
        <v/>
      </c>
      <c r="G144" s="77" t="str">
        <f t="shared" si="57"/>
        <v/>
      </c>
      <c r="H144" s="113"/>
      <c r="I144" s="113"/>
      <c r="J144" s="113"/>
      <c r="K144" s="124"/>
      <c r="L144" s="123"/>
      <c r="M144" s="123"/>
      <c r="N144" s="124"/>
      <c r="O144" s="300"/>
      <c r="P144" s="81"/>
      <c r="R144" s="73" t="str">
        <f t="shared" si="58"/>
        <v/>
      </c>
      <c r="S144" s="73" t="str">
        <f t="shared" si="59"/>
        <v/>
      </c>
      <c r="T144" s="73" t="str">
        <f t="shared" si="60"/>
        <v/>
      </c>
      <c r="AD144" s="73" t="s">
        <v>2079</v>
      </c>
      <c r="AE144" s="73" t="s">
        <v>2080</v>
      </c>
      <c r="AF144" s="73" t="str">
        <f t="shared" si="61"/>
        <v>A679072</v>
      </c>
      <c r="AG144" s="73" t="str">
        <f>VLOOKUP(AF144,AKT!$C$4:$E$324,3,FALSE)</f>
        <v>0942</v>
      </c>
    </row>
    <row r="145" spans="1:33">
      <c r="A145" s="82"/>
      <c r="B145" s="77" t="str">
        <f t="shared" si="54"/>
        <v/>
      </c>
      <c r="C145" s="82"/>
      <c r="D145" s="77" t="str">
        <f t="shared" si="55"/>
        <v/>
      </c>
      <c r="E145" s="114"/>
      <c r="F145" s="77" t="str">
        <f t="shared" si="56"/>
        <v/>
      </c>
      <c r="G145" s="77" t="str">
        <f t="shared" si="57"/>
        <v/>
      </c>
      <c r="H145" s="113"/>
      <c r="I145" s="113"/>
      <c r="J145" s="113"/>
      <c r="K145" s="124"/>
      <c r="L145" s="123"/>
      <c r="M145" s="123"/>
      <c r="N145" s="124"/>
      <c r="O145" s="300"/>
      <c r="P145" s="81"/>
      <c r="R145" s="73" t="str">
        <f t="shared" si="58"/>
        <v/>
      </c>
      <c r="S145" s="73" t="str">
        <f t="shared" si="59"/>
        <v/>
      </c>
      <c r="T145" s="73" t="str">
        <f t="shared" si="60"/>
        <v/>
      </c>
      <c r="AD145" s="73" t="s">
        <v>2081</v>
      </c>
      <c r="AE145" s="73" t="s">
        <v>2024</v>
      </c>
      <c r="AF145" s="73" t="str">
        <f t="shared" si="61"/>
        <v>A679072</v>
      </c>
      <c r="AG145" s="73" t="str">
        <f>VLOOKUP(AF145,AKT!$C$4:$E$324,3,FALSE)</f>
        <v>0942</v>
      </c>
    </row>
    <row r="146" spans="1:33">
      <c r="A146" s="82"/>
      <c r="B146" s="77" t="str">
        <f t="shared" si="54"/>
        <v/>
      </c>
      <c r="C146" s="82"/>
      <c r="D146" s="77" t="str">
        <f t="shared" si="55"/>
        <v/>
      </c>
      <c r="E146" s="114"/>
      <c r="F146" s="77" t="str">
        <f t="shared" si="56"/>
        <v/>
      </c>
      <c r="G146" s="77" t="str">
        <f t="shared" si="57"/>
        <v/>
      </c>
      <c r="H146" s="113"/>
      <c r="I146" s="113"/>
      <c r="J146" s="113"/>
      <c r="K146" s="124"/>
      <c r="L146" s="123"/>
      <c r="M146" s="123"/>
      <c r="N146" s="124"/>
      <c r="O146" s="300"/>
      <c r="P146" s="81"/>
      <c r="R146" s="73" t="str">
        <f t="shared" si="58"/>
        <v/>
      </c>
      <c r="S146" s="73" t="str">
        <f t="shared" si="59"/>
        <v/>
      </c>
      <c r="T146" s="73" t="str">
        <f t="shared" si="60"/>
        <v/>
      </c>
      <c r="AD146" s="73" t="s">
        <v>2082</v>
      </c>
      <c r="AE146" s="73" t="s">
        <v>2083</v>
      </c>
      <c r="AF146" s="73" t="str">
        <f t="shared" si="61"/>
        <v>A679072</v>
      </c>
      <c r="AG146" s="73" t="str">
        <f>VLOOKUP(AF146,AKT!$C$4:$E$324,3,FALSE)</f>
        <v>0942</v>
      </c>
    </row>
    <row r="147" spans="1:33">
      <c r="A147" s="82"/>
      <c r="B147" s="77" t="str">
        <f t="shared" si="54"/>
        <v/>
      </c>
      <c r="C147" s="82"/>
      <c r="D147" s="77" t="str">
        <f t="shared" si="55"/>
        <v/>
      </c>
      <c r="E147" s="114"/>
      <c r="F147" s="77" t="str">
        <f t="shared" si="56"/>
        <v/>
      </c>
      <c r="G147" s="77" t="str">
        <f t="shared" si="57"/>
        <v/>
      </c>
      <c r="H147" s="113"/>
      <c r="I147" s="113"/>
      <c r="J147" s="113"/>
      <c r="K147" s="124"/>
      <c r="L147" s="123"/>
      <c r="M147" s="123"/>
      <c r="N147" s="124"/>
      <c r="O147" s="300"/>
      <c r="P147" s="81"/>
      <c r="R147" s="73" t="str">
        <f t="shared" si="58"/>
        <v/>
      </c>
      <c r="S147" s="73" t="str">
        <f t="shared" si="59"/>
        <v/>
      </c>
      <c r="T147" s="73" t="str">
        <f t="shared" si="60"/>
        <v/>
      </c>
      <c r="AD147" s="73" t="s">
        <v>2084</v>
      </c>
      <c r="AE147" s="73" t="s">
        <v>2085</v>
      </c>
      <c r="AF147" s="73" t="str">
        <f t="shared" si="61"/>
        <v>A679072</v>
      </c>
      <c r="AG147" s="73" t="str">
        <f>VLOOKUP(AF147,AKT!$C$4:$E$324,3,FALSE)</f>
        <v>0942</v>
      </c>
    </row>
    <row r="148" spans="1:33">
      <c r="A148" s="82"/>
      <c r="B148" s="77" t="str">
        <f t="shared" si="54"/>
        <v/>
      </c>
      <c r="C148" s="82"/>
      <c r="D148" s="77" t="str">
        <f t="shared" si="55"/>
        <v/>
      </c>
      <c r="E148" s="114"/>
      <c r="F148" s="77" t="str">
        <f t="shared" si="56"/>
        <v/>
      </c>
      <c r="G148" s="77" t="str">
        <f t="shared" si="57"/>
        <v/>
      </c>
      <c r="H148" s="113"/>
      <c r="I148" s="113"/>
      <c r="J148" s="113"/>
      <c r="K148" s="124"/>
      <c r="L148" s="123"/>
      <c r="M148" s="123"/>
      <c r="N148" s="124"/>
      <c r="O148" s="300"/>
      <c r="P148" s="81"/>
      <c r="R148" s="73" t="str">
        <f t="shared" si="58"/>
        <v/>
      </c>
      <c r="S148" s="73" t="str">
        <f t="shared" si="59"/>
        <v/>
      </c>
      <c r="T148" s="73" t="str">
        <f t="shared" si="60"/>
        <v/>
      </c>
      <c r="AD148" s="73" t="s">
        <v>2086</v>
      </c>
      <c r="AE148" s="73" t="s">
        <v>2087</v>
      </c>
      <c r="AF148" s="73" t="str">
        <f t="shared" si="61"/>
        <v>A679072</v>
      </c>
      <c r="AG148" s="73" t="str">
        <f>VLOOKUP(AF148,AKT!$C$4:$E$324,3,FALSE)</f>
        <v>0942</v>
      </c>
    </row>
    <row r="149" spans="1:33">
      <c r="A149" s="82"/>
      <c r="B149" s="77" t="str">
        <f t="shared" si="54"/>
        <v/>
      </c>
      <c r="C149" s="82"/>
      <c r="D149" s="77" t="str">
        <f t="shared" si="55"/>
        <v/>
      </c>
      <c r="E149" s="114"/>
      <c r="F149" s="77" t="str">
        <f t="shared" si="56"/>
        <v/>
      </c>
      <c r="G149" s="77" t="str">
        <f t="shared" si="57"/>
        <v/>
      </c>
      <c r="H149" s="113"/>
      <c r="I149" s="113"/>
      <c r="J149" s="113"/>
      <c r="K149" s="124"/>
      <c r="L149" s="123"/>
      <c r="M149" s="123"/>
      <c r="N149" s="124"/>
      <c r="O149" s="300"/>
      <c r="P149" s="81"/>
      <c r="R149" s="73" t="str">
        <f t="shared" si="58"/>
        <v/>
      </c>
      <c r="S149" s="73" t="str">
        <f t="shared" si="59"/>
        <v/>
      </c>
      <c r="T149" s="73" t="str">
        <f t="shared" si="60"/>
        <v/>
      </c>
      <c r="AD149" s="73" t="s">
        <v>2088</v>
      </c>
      <c r="AE149" s="73" t="s">
        <v>2089</v>
      </c>
      <c r="AF149" s="73" t="str">
        <f t="shared" si="61"/>
        <v>A679072</v>
      </c>
      <c r="AG149" s="73" t="str">
        <f>VLOOKUP(AF149,AKT!$C$4:$E$324,3,FALSE)</f>
        <v>0942</v>
      </c>
    </row>
    <row r="150" spans="1:33">
      <c r="A150" s="82"/>
      <c r="B150" s="77" t="str">
        <f t="shared" si="54"/>
        <v/>
      </c>
      <c r="C150" s="82"/>
      <c r="D150" s="77" t="str">
        <f t="shared" si="55"/>
        <v/>
      </c>
      <c r="E150" s="114"/>
      <c r="F150" s="77" t="str">
        <f t="shared" si="56"/>
        <v/>
      </c>
      <c r="G150" s="77" t="str">
        <f t="shared" si="57"/>
        <v/>
      </c>
      <c r="H150" s="113"/>
      <c r="I150" s="113"/>
      <c r="J150" s="113"/>
      <c r="K150" s="124"/>
      <c r="L150" s="123"/>
      <c r="M150" s="123"/>
      <c r="N150" s="124"/>
      <c r="O150" s="300"/>
      <c r="P150" s="81"/>
      <c r="R150" s="73" t="str">
        <f t="shared" si="58"/>
        <v/>
      </c>
      <c r="S150" s="73" t="str">
        <f t="shared" si="59"/>
        <v/>
      </c>
      <c r="T150" s="73" t="str">
        <f t="shared" si="60"/>
        <v/>
      </c>
      <c r="AD150" s="73" t="s">
        <v>2090</v>
      </c>
      <c r="AE150" s="73" t="s">
        <v>2091</v>
      </c>
      <c r="AF150" s="73" t="str">
        <f t="shared" si="61"/>
        <v>A679072</v>
      </c>
      <c r="AG150" s="73" t="str">
        <f>VLOOKUP(AF150,AKT!$C$4:$E$324,3,FALSE)</f>
        <v>0942</v>
      </c>
    </row>
    <row r="151" spans="1:33">
      <c r="A151" s="82"/>
      <c r="B151" s="77" t="str">
        <f t="shared" si="54"/>
        <v/>
      </c>
      <c r="C151" s="82"/>
      <c r="D151" s="77" t="str">
        <f t="shared" si="55"/>
        <v/>
      </c>
      <c r="E151" s="114"/>
      <c r="F151" s="77" t="str">
        <f t="shared" si="56"/>
        <v/>
      </c>
      <c r="G151" s="77" t="str">
        <f t="shared" si="57"/>
        <v/>
      </c>
      <c r="H151" s="113"/>
      <c r="I151" s="113"/>
      <c r="J151" s="113"/>
      <c r="K151" s="124"/>
      <c r="L151" s="123"/>
      <c r="M151" s="123"/>
      <c r="N151" s="124"/>
      <c r="O151" s="300"/>
      <c r="P151" s="81"/>
      <c r="R151" s="73" t="str">
        <f t="shared" si="58"/>
        <v/>
      </c>
      <c r="S151" s="73" t="str">
        <f t="shared" si="59"/>
        <v/>
      </c>
      <c r="T151" s="73" t="str">
        <f t="shared" si="60"/>
        <v/>
      </c>
      <c r="AD151" s="73" t="s">
        <v>2092</v>
      </c>
      <c r="AE151" s="73" t="s">
        <v>2093</v>
      </c>
      <c r="AF151" s="73" t="str">
        <f t="shared" si="61"/>
        <v>A679072</v>
      </c>
      <c r="AG151" s="73" t="str">
        <f>VLOOKUP(AF151,AKT!$C$4:$E$324,3,FALSE)</f>
        <v>0942</v>
      </c>
    </row>
    <row r="152" spans="1:33">
      <c r="A152" s="82"/>
      <c r="B152" s="77" t="str">
        <f t="shared" si="54"/>
        <v/>
      </c>
      <c r="C152" s="82"/>
      <c r="D152" s="77" t="str">
        <f t="shared" si="55"/>
        <v/>
      </c>
      <c r="E152" s="114"/>
      <c r="F152" s="77" t="str">
        <f t="shared" si="56"/>
        <v/>
      </c>
      <c r="G152" s="77" t="str">
        <f t="shared" si="57"/>
        <v/>
      </c>
      <c r="H152" s="113"/>
      <c r="I152" s="113"/>
      <c r="J152" s="113"/>
      <c r="K152" s="124"/>
      <c r="L152" s="123"/>
      <c r="M152" s="123"/>
      <c r="N152" s="124"/>
      <c r="O152" s="300"/>
      <c r="P152" s="81"/>
      <c r="R152" s="73" t="str">
        <f t="shared" si="58"/>
        <v/>
      </c>
      <c r="S152" s="73" t="str">
        <f t="shared" si="59"/>
        <v/>
      </c>
      <c r="T152" s="73" t="str">
        <f t="shared" si="60"/>
        <v/>
      </c>
      <c r="AD152" s="73" t="s">
        <v>2094</v>
      </c>
      <c r="AE152" s="73" t="s">
        <v>2095</v>
      </c>
      <c r="AF152" s="73" t="str">
        <f t="shared" si="61"/>
        <v>A679072</v>
      </c>
      <c r="AG152" s="73" t="str">
        <f>VLOOKUP(AF152,AKT!$C$4:$E$324,3,FALSE)</f>
        <v>0942</v>
      </c>
    </row>
    <row r="153" spans="1:33">
      <c r="A153" s="82"/>
      <c r="B153" s="77" t="str">
        <f t="shared" si="54"/>
        <v/>
      </c>
      <c r="C153" s="82"/>
      <c r="D153" s="77" t="str">
        <f t="shared" si="55"/>
        <v/>
      </c>
      <c r="E153" s="114"/>
      <c r="F153" s="77" t="str">
        <f t="shared" si="56"/>
        <v/>
      </c>
      <c r="G153" s="77" t="str">
        <f t="shared" si="57"/>
        <v/>
      </c>
      <c r="H153" s="113"/>
      <c r="I153" s="113"/>
      <c r="J153" s="113"/>
      <c r="K153" s="124"/>
      <c r="L153" s="123"/>
      <c r="M153" s="123"/>
      <c r="N153" s="124"/>
      <c r="O153" s="300"/>
      <c r="P153" s="81"/>
      <c r="R153" s="73" t="str">
        <f t="shared" si="58"/>
        <v/>
      </c>
      <c r="S153" s="73" t="str">
        <f t="shared" si="59"/>
        <v/>
      </c>
      <c r="T153" s="73" t="str">
        <f t="shared" si="60"/>
        <v/>
      </c>
      <c r="AD153" s="73" t="s">
        <v>2096</v>
      </c>
      <c r="AE153" s="73" t="s">
        <v>2097</v>
      </c>
      <c r="AF153" s="73" t="str">
        <f t="shared" si="61"/>
        <v>A679072</v>
      </c>
      <c r="AG153" s="73" t="str">
        <f>VLOOKUP(AF153,AKT!$C$4:$E$324,3,FALSE)</f>
        <v>0942</v>
      </c>
    </row>
    <row r="154" spans="1:33">
      <c r="A154" s="82"/>
      <c r="B154" s="77" t="str">
        <f t="shared" si="54"/>
        <v/>
      </c>
      <c r="C154" s="82"/>
      <c r="D154" s="77" t="str">
        <f t="shared" si="55"/>
        <v/>
      </c>
      <c r="E154" s="114"/>
      <c r="F154" s="77" t="str">
        <f t="shared" si="56"/>
        <v/>
      </c>
      <c r="G154" s="77" t="str">
        <f t="shared" si="57"/>
        <v/>
      </c>
      <c r="H154" s="113"/>
      <c r="I154" s="113"/>
      <c r="J154" s="113"/>
      <c r="K154" s="124"/>
      <c r="L154" s="123"/>
      <c r="M154" s="123"/>
      <c r="N154" s="124"/>
      <c r="O154" s="300"/>
      <c r="P154" s="81"/>
      <c r="R154" s="73" t="str">
        <f t="shared" si="58"/>
        <v/>
      </c>
      <c r="S154" s="73" t="str">
        <f t="shared" si="59"/>
        <v/>
      </c>
      <c r="T154" s="73" t="str">
        <f t="shared" si="60"/>
        <v/>
      </c>
      <c r="AD154" s="73" t="s">
        <v>2098</v>
      </c>
      <c r="AE154" s="73" t="s">
        <v>2099</v>
      </c>
      <c r="AF154" s="73" t="str">
        <f t="shared" si="61"/>
        <v>A679072</v>
      </c>
      <c r="AG154" s="73" t="str">
        <f>VLOOKUP(AF154,AKT!$C$4:$E$324,3,FALSE)</f>
        <v>0942</v>
      </c>
    </row>
    <row r="155" spans="1:33">
      <c r="A155" s="82"/>
      <c r="B155" s="77" t="str">
        <f t="shared" si="54"/>
        <v/>
      </c>
      <c r="C155" s="82"/>
      <c r="D155" s="77" t="str">
        <f t="shared" si="55"/>
        <v/>
      </c>
      <c r="E155" s="114"/>
      <c r="F155" s="77" t="str">
        <f t="shared" si="56"/>
        <v/>
      </c>
      <c r="G155" s="77" t="str">
        <f t="shared" si="57"/>
        <v/>
      </c>
      <c r="H155" s="113"/>
      <c r="I155" s="113"/>
      <c r="J155" s="113"/>
      <c r="K155" s="124"/>
      <c r="L155" s="123"/>
      <c r="M155" s="123"/>
      <c r="N155" s="124"/>
      <c r="O155" s="300"/>
      <c r="P155" s="81"/>
      <c r="R155" s="73" t="str">
        <f t="shared" si="58"/>
        <v/>
      </c>
      <c r="S155" s="73" t="str">
        <f t="shared" si="59"/>
        <v/>
      </c>
      <c r="T155" s="73" t="str">
        <f t="shared" si="60"/>
        <v/>
      </c>
      <c r="AD155" s="73" t="s">
        <v>2100</v>
      </c>
      <c r="AE155" s="73" t="s">
        <v>2101</v>
      </c>
      <c r="AF155" s="73" t="str">
        <f t="shared" si="61"/>
        <v>A679072</v>
      </c>
      <c r="AG155" s="73" t="str">
        <f>VLOOKUP(AF155,AKT!$C$4:$E$324,3,FALSE)</f>
        <v>0942</v>
      </c>
    </row>
    <row r="156" spans="1:33">
      <c r="A156" s="82"/>
      <c r="B156" s="77" t="str">
        <f t="shared" si="54"/>
        <v/>
      </c>
      <c r="C156" s="82"/>
      <c r="D156" s="77" t="str">
        <f t="shared" si="55"/>
        <v/>
      </c>
      <c r="E156" s="114"/>
      <c r="F156" s="77" t="str">
        <f t="shared" si="56"/>
        <v/>
      </c>
      <c r="G156" s="77" t="str">
        <f t="shared" si="57"/>
        <v/>
      </c>
      <c r="H156" s="113"/>
      <c r="I156" s="113"/>
      <c r="J156" s="113"/>
      <c r="K156" s="124"/>
      <c r="L156" s="123"/>
      <c r="M156" s="123"/>
      <c r="N156" s="124"/>
      <c r="O156" s="300"/>
      <c r="P156" s="81"/>
      <c r="R156" s="73" t="str">
        <f t="shared" si="58"/>
        <v/>
      </c>
      <c r="S156" s="73" t="str">
        <f t="shared" si="59"/>
        <v/>
      </c>
      <c r="T156" s="73" t="str">
        <f t="shared" si="60"/>
        <v/>
      </c>
      <c r="AD156" s="73" t="s">
        <v>2102</v>
      </c>
      <c r="AE156" s="73" t="s">
        <v>2103</v>
      </c>
      <c r="AF156" s="73" t="str">
        <f t="shared" si="61"/>
        <v>A679072</v>
      </c>
      <c r="AG156" s="73" t="str">
        <f>VLOOKUP(AF156,AKT!$C$4:$E$324,3,FALSE)</f>
        <v>0942</v>
      </c>
    </row>
    <row r="157" spans="1:33">
      <c r="A157" s="82"/>
      <c r="B157" s="77" t="str">
        <f t="shared" si="54"/>
        <v/>
      </c>
      <c r="C157" s="82"/>
      <c r="D157" s="77" t="str">
        <f t="shared" si="55"/>
        <v/>
      </c>
      <c r="E157" s="114"/>
      <c r="F157" s="77" t="str">
        <f t="shared" si="56"/>
        <v/>
      </c>
      <c r="G157" s="77" t="str">
        <f t="shared" si="57"/>
        <v/>
      </c>
      <c r="H157" s="113"/>
      <c r="I157" s="113"/>
      <c r="J157" s="113"/>
      <c r="K157" s="124"/>
      <c r="L157" s="123"/>
      <c r="M157" s="123"/>
      <c r="N157" s="124"/>
      <c r="O157" s="300"/>
      <c r="P157" s="81"/>
      <c r="R157" s="73" t="str">
        <f t="shared" si="58"/>
        <v/>
      </c>
      <c r="S157" s="73" t="str">
        <f t="shared" si="59"/>
        <v/>
      </c>
      <c r="T157" s="73" t="str">
        <f t="shared" si="60"/>
        <v/>
      </c>
      <c r="AD157" s="73" t="s">
        <v>2104</v>
      </c>
      <c r="AE157" s="73" t="s">
        <v>2105</v>
      </c>
      <c r="AF157" s="73" t="str">
        <f t="shared" si="61"/>
        <v>A679072</v>
      </c>
      <c r="AG157" s="73" t="str">
        <f>VLOOKUP(AF157,AKT!$C$4:$E$324,3,FALSE)</f>
        <v>0942</v>
      </c>
    </row>
    <row r="158" spans="1:33">
      <c r="A158" s="82"/>
      <c r="B158" s="77" t="str">
        <f t="shared" si="54"/>
        <v/>
      </c>
      <c r="C158" s="82"/>
      <c r="D158" s="77" t="str">
        <f t="shared" si="55"/>
        <v/>
      </c>
      <c r="E158" s="114"/>
      <c r="F158" s="77" t="str">
        <f t="shared" si="56"/>
        <v/>
      </c>
      <c r="G158" s="77" t="str">
        <f t="shared" si="57"/>
        <v/>
      </c>
      <c r="H158" s="113"/>
      <c r="I158" s="113"/>
      <c r="J158" s="113"/>
      <c r="K158" s="124"/>
      <c r="L158" s="123"/>
      <c r="M158" s="123"/>
      <c r="N158" s="124"/>
      <c r="O158" s="300"/>
      <c r="P158" s="81"/>
      <c r="R158" s="73" t="str">
        <f t="shared" si="58"/>
        <v/>
      </c>
      <c r="S158" s="73" t="str">
        <f t="shared" si="59"/>
        <v/>
      </c>
      <c r="T158" s="73" t="str">
        <f t="shared" si="60"/>
        <v/>
      </c>
      <c r="AD158" s="73" t="s">
        <v>2106</v>
      </c>
      <c r="AE158" s="73" t="s">
        <v>2107</v>
      </c>
      <c r="AF158" s="73" t="str">
        <f t="shared" si="61"/>
        <v>A679072</v>
      </c>
      <c r="AG158" s="73" t="str">
        <f>VLOOKUP(AF158,AKT!$C$4:$E$324,3,FALSE)</f>
        <v>0942</v>
      </c>
    </row>
    <row r="159" spans="1:33">
      <c r="A159" s="82"/>
      <c r="B159" s="77" t="str">
        <f t="shared" si="54"/>
        <v/>
      </c>
      <c r="C159" s="82"/>
      <c r="D159" s="77" t="str">
        <f t="shared" si="55"/>
        <v/>
      </c>
      <c r="E159" s="114"/>
      <c r="F159" s="77" t="str">
        <f t="shared" si="56"/>
        <v/>
      </c>
      <c r="G159" s="77" t="str">
        <f t="shared" si="57"/>
        <v/>
      </c>
      <c r="H159" s="113"/>
      <c r="I159" s="113"/>
      <c r="J159" s="113"/>
      <c r="K159" s="124"/>
      <c r="L159" s="123"/>
      <c r="M159" s="123"/>
      <c r="N159" s="124"/>
      <c r="O159" s="300"/>
      <c r="P159" s="81"/>
      <c r="R159" s="73" t="str">
        <f t="shared" si="58"/>
        <v/>
      </c>
      <c r="S159" s="73" t="str">
        <f t="shared" si="59"/>
        <v/>
      </c>
      <c r="T159" s="73" t="str">
        <f t="shared" si="60"/>
        <v/>
      </c>
      <c r="AD159" s="73" t="s">
        <v>2108</v>
      </c>
      <c r="AE159" s="73" t="s">
        <v>2109</v>
      </c>
      <c r="AF159" s="73" t="str">
        <f t="shared" si="61"/>
        <v>A679072</v>
      </c>
      <c r="AG159" s="73" t="str">
        <f>VLOOKUP(AF159,AKT!$C$4:$E$324,3,FALSE)</f>
        <v>0942</v>
      </c>
    </row>
    <row r="160" spans="1:33">
      <c r="A160" s="82"/>
      <c r="B160" s="77" t="str">
        <f t="shared" si="54"/>
        <v/>
      </c>
      <c r="C160" s="82"/>
      <c r="D160" s="77" t="str">
        <f t="shared" si="55"/>
        <v/>
      </c>
      <c r="E160" s="114"/>
      <c r="F160" s="77" t="str">
        <f t="shared" si="56"/>
        <v/>
      </c>
      <c r="G160" s="77" t="str">
        <f t="shared" si="57"/>
        <v/>
      </c>
      <c r="H160" s="113"/>
      <c r="I160" s="113"/>
      <c r="J160" s="113"/>
      <c r="K160" s="124"/>
      <c r="L160" s="123"/>
      <c r="M160" s="123"/>
      <c r="N160" s="124"/>
      <c r="O160" s="300"/>
      <c r="P160" s="81"/>
      <c r="R160" s="73" t="str">
        <f t="shared" si="58"/>
        <v/>
      </c>
      <c r="S160" s="73" t="str">
        <f t="shared" si="59"/>
        <v/>
      </c>
      <c r="T160" s="73" t="str">
        <f t="shared" si="60"/>
        <v/>
      </c>
      <c r="AD160" s="73" t="s">
        <v>2110</v>
      </c>
      <c r="AE160" s="73" t="s">
        <v>2111</v>
      </c>
      <c r="AF160" s="73" t="str">
        <f t="shared" si="61"/>
        <v>A679072</v>
      </c>
      <c r="AG160" s="73" t="str">
        <f>VLOOKUP(AF160,AKT!$C$4:$E$324,3,FALSE)</f>
        <v>0942</v>
      </c>
    </row>
    <row r="161" spans="1:33">
      <c r="A161" s="82"/>
      <c r="B161" s="77" t="str">
        <f t="shared" si="54"/>
        <v/>
      </c>
      <c r="C161" s="82"/>
      <c r="D161" s="77" t="str">
        <f t="shared" si="55"/>
        <v/>
      </c>
      <c r="E161" s="114"/>
      <c r="F161" s="77" t="str">
        <f t="shared" si="56"/>
        <v/>
      </c>
      <c r="G161" s="77" t="str">
        <f t="shared" si="57"/>
        <v/>
      </c>
      <c r="H161" s="113"/>
      <c r="I161" s="113"/>
      <c r="J161" s="113"/>
      <c r="K161" s="124"/>
      <c r="L161" s="123"/>
      <c r="M161" s="123"/>
      <c r="N161" s="124"/>
      <c r="O161" s="300"/>
      <c r="P161" s="81"/>
      <c r="R161" s="73" t="str">
        <f t="shared" si="58"/>
        <v/>
      </c>
      <c r="S161" s="73" t="str">
        <f t="shared" si="59"/>
        <v/>
      </c>
      <c r="T161" s="73" t="str">
        <f t="shared" si="60"/>
        <v/>
      </c>
      <c r="AD161" s="73" t="s">
        <v>2112</v>
      </c>
      <c r="AE161" s="73" t="s">
        <v>2113</v>
      </c>
      <c r="AF161" s="73" t="str">
        <f t="shared" si="61"/>
        <v>A679072</v>
      </c>
      <c r="AG161" s="73" t="str">
        <f>VLOOKUP(AF161,AKT!$C$4:$E$324,3,FALSE)</f>
        <v>0942</v>
      </c>
    </row>
    <row r="162" spans="1:33">
      <c r="A162" s="82"/>
      <c r="B162" s="77" t="str">
        <f t="shared" si="54"/>
        <v/>
      </c>
      <c r="C162" s="82"/>
      <c r="D162" s="77" t="str">
        <f t="shared" si="55"/>
        <v/>
      </c>
      <c r="E162" s="114"/>
      <c r="F162" s="77" t="str">
        <f t="shared" si="56"/>
        <v/>
      </c>
      <c r="G162" s="77" t="str">
        <f t="shared" si="57"/>
        <v/>
      </c>
      <c r="H162" s="113"/>
      <c r="I162" s="113"/>
      <c r="J162" s="113"/>
      <c r="K162" s="124"/>
      <c r="L162" s="123"/>
      <c r="M162" s="123"/>
      <c r="N162" s="124"/>
      <c r="O162" s="300"/>
      <c r="P162" s="81"/>
      <c r="R162" s="73" t="str">
        <f t="shared" si="58"/>
        <v/>
      </c>
      <c r="S162" s="73" t="str">
        <f t="shared" si="59"/>
        <v/>
      </c>
      <c r="T162" s="73" t="str">
        <f t="shared" si="60"/>
        <v/>
      </c>
      <c r="AD162" s="73" t="s">
        <v>2114</v>
      </c>
      <c r="AE162" s="73" t="s">
        <v>2115</v>
      </c>
      <c r="AF162" s="73" t="str">
        <f t="shared" si="61"/>
        <v>A679072</v>
      </c>
      <c r="AG162" s="73" t="str">
        <f>VLOOKUP(AF162,AKT!$C$4:$E$324,3,FALSE)</f>
        <v>0942</v>
      </c>
    </row>
    <row r="163" spans="1:33">
      <c r="A163" s="82"/>
      <c r="B163" s="77" t="str">
        <f t="shared" ref="B163:B226" si="62">IFERROR(VLOOKUP(A163,$U$7:$V$21,2,FALSE),"")</f>
        <v/>
      </c>
      <c r="C163" s="82"/>
      <c r="D163" s="77" t="str">
        <f t="shared" ref="D163:D226" si="63">IFERROR(VLOOKUP(C163,$X$6:$Z$120,2,FALSE),"")</f>
        <v/>
      </c>
      <c r="E163" s="114"/>
      <c r="F163" s="77" t="str">
        <f t="shared" ref="F163:F226" si="64">IFERROR(VLOOKUP(E163,$AD$7:$AE$1081,2,FALSE),"")</f>
        <v/>
      </c>
      <c r="G163" s="77" t="str">
        <f t="shared" ref="G163:G226" si="65">IFERROR(VLOOKUP(E163,$AD$7:$AG$1081,4,FALSE),"")</f>
        <v/>
      </c>
      <c r="H163" s="113"/>
      <c r="I163" s="113"/>
      <c r="J163" s="113"/>
      <c r="K163" s="124"/>
      <c r="L163" s="123"/>
      <c r="M163" s="123"/>
      <c r="N163" s="124"/>
      <c r="O163" s="300"/>
      <c r="P163" s="81"/>
      <c r="R163" s="73" t="str">
        <f t="shared" si="58"/>
        <v/>
      </c>
      <c r="S163" s="73" t="str">
        <f t="shared" si="59"/>
        <v/>
      </c>
      <c r="T163" s="73" t="str">
        <f t="shared" si="60"/>
        <v/>
      </c>
      <c r="AD163" s="73" t="s">
        <v>2116</v>
      </c>
      <c r="AE163" s="73" t="s">
        <v>2117</v>
      </c>
      <c r="AF163" s="73" t="str">
        <f t="shared" si="61"/>
        <v>A679072</v>
      </c>
      <c r="AG163" s="73" t="str">
        <f>VLOOKUP(AF163,AKT!$C$4:$E$324,3,FALSE)</f>
        <v>0942</v>
      </c>
    </row>
    <row r="164" spans="1:33">
      <c r="A164" s="82"/>
      <c r="B164" s="77" t="str">
        <f t="shared" si="62"/>
        <v/>
      </c>
      <c r="C164" s="82"/>
      <c r="D164" s="77" t="str">
        <f t="shared" si="63"/>
        <v/>
      </c>
      <c r="E164" s="114"/>
      <c r="F164" s="77" t="str">
        <f t="shared" si="64"/>
        <v/>
      </c>
      <c r="G164" s="77" t="str">
        <f t="shared" si="65"/>
        <v/>
      </c>
      <c r="H164" s="113"/>
      <c r="I164" s="113"/>
      <c r="J164" s="113"/>
      <c r="K164" s="124"/>
      <c r="L164" s="123"/>
      <c r="M164" s="123"/>
      <c r="N164" s="124"/>
      <c r="O164" s="300"/>
      <c r="P164" s="81"/>
      <c r="R164" s="73" t="str">
        <f t="shared" si="58"/>
        <v/>
      </c>
      <c r="S164" s="73" t="str">
        <f t="shared" si="59"/>
        <v/>
      </c>
      <c r="T164" s="73" t="str">
        <f t="shared" si="60"/>
        <v/>
      </c>
      <c r="AD164" s="73" t="s">
        <v>2118</v>
      </c>
      <c r="AE164" s="73" t="s">
        <v>2119</v>
      </c>
      <c r="AF164" s="73" t="str">
        <f t="shared" si="61"/>
        <v>A679072</v>
      </c>
      <c r="AG164" s="73" t="str">
        <f>VLOOKUP(AF164,AKT!$C$4:$E$324,3,FALSE)</f>
        <v>0942</v>
      </c>
    </row>
    <row r="165" spans="1:33">
      <c r="A165" s="82"/>
      <c r="B165" s="77" t="str">
        <f t="shared" si="62"/>
        <v/>
      </c>
      <c r="C165" s="82"/>
      <c r="D165" s="77" t="str">
        <f t="shared" si="63"/>
        <v/>
      </c>
      <c r="E165" s="114"/>
      <c r="F165" s="77" t="str">
        <f t="shared" si="64"/>
        <v/>
      </c>
      <c r="G165" s="77" t="str">
        <f t="shared" si="65"/>
        <v/>
      </c>
      <c r="H165" s="113"/>
      <c r="I165" s="113"/>
      <c r="J165" s="113"/>
      <c r="K165" s="124"/>
      <c r="L165" s="123"/>
      <c r="M165" s="123"/>
      <c r="N165" s="124"/>
      <c r="O165" s="300"/>
      <c r="P165" s="81"/>
      <c r="R165" s="73" t="str">
        <f t="shared" si="58"/>
        <v/>
      </c>
      <c r="S165" s="73" t="str">
        <f t="shared" si="59"/>
        <v/>
      </c>
      <c r="T165" s="73" t="str">
        <f t="shared" si="60"/>
        <v/>
      </c>
      <c r="AD165" s="73" t="s">
        <v>2120</v>
      </c>
      <c r="AE165" s="73" t="s">
        <v>2121</v>
      </c>
      <c r="AF165" s="73" t="str">
        <f t="shared" si="61"/>
        <v>A679072</v>
      </c>
      <c r="AG165" s="73" t="str">
        <f>VLOOKUP(AF165,AKT!$C$4:$E$324,3,FALSE)</f>
        <v>0942</v>
      </c>
    </row>
    <row r="166" spans="1:33">
      <c r="A166" s="82"/>
      <c r="B166" s="77" t="str">
        <f t="shared" si="62"/>
        <v/>
      </c>
      <c r="C166" s="82"/>
      <c r="D166" s="77" t="str">
        <f t="shared" si="63"/>
        <v/>
      </c>
      <c r="E166" s="114"/>
      <c r="F166" s="77" t="str">
        <f t="shared" si="64"/>
        <v/>
      </c>
      <c r="G166" s="77" t="str">
        <f t="shared" si="65"/>
        <v/>
      </c>
      <c r="H166" s="113"/>
      <c r="I166" s="113"/>
      <c r="J166" s="113"/>
      <c r="K166" s="124"/>
      <c r="L166" s="123"/>
      <c r="M166" s="123"/>
      <c r="N166" s="124"/>
      <c r="O166" s="300"/>
      <c r="P166" s="81"/>
      <c r="R166" s="73" t="str">
        <f t="shared" si="58"/>
        <v/>
      </c>
      <c r="S166" s="73" t="str">
        <f t="shared" si="59"/>
        <v/>
      </c>
      <c r="T166" s="73" t="str">
        <f t="shared" si="60"/>
        <v/>
      </c>
      <c r="AD166" s="73" t="s">
        <v>2122</v>
      </c>
      <c r="AE166" s="73" t="s">
        <v>2123</v>
      </c>
      <c r="AF166" s="73" t="str">
        <f t="shared" si="61"/>
        <v>A679072</v>
      </c>
      <c r="AG166" s="73" t="str">
        <f>VLOOKUP(AF166,AKT!$C$4:$E$324,3,FALSE)</f>
        <v>0942</v>
      </c>
    </row>
    <row r="167" spans="1:33">
      <c r="A167" s="82"/>
      <c r="B167" s="77" t="str">
        <f t="shared" si="62"/>
        <v/>
      </c>
      <c r="C167" s="82"/>
      <c r="D167" s="77" t="str">
        <f t="shared" si="63"/>
        <v/>
      </c>
      <c r="E167" s="114"/>
      <c r="F167" s="77" t="str">
        <f t="shared" si="64"/>
        <v/>
      </c>
      <c r="G167" s="77" t="str">
        <f t="shared" si="65"/>
        <v/>
      </c>
      <c r="H167" s="113"/>
      <c r="I167" s="113"/>
      <c r="J167" s="113"/>
      <c r="K167" s="124"/>
      <c r="L167" s="123"/>
      <c r="M167" s="123"/>
      <c r="N167" s="124"/>
      <c r="O167" s="300"/>
      <c r="P167" s="81"/>
      <c r="R167" s="73" t="str">
        <f t="shared" si="58"/>
        <v/>
      </c>
      <c r="S167" s="73" t="str">
        <f t="shared" si="59"/>
        <v/>
      </c>
      <c r="T167" s="73" t="str">
        <f t="shared" si="60"/>
        <v/>
      </c>
      <c r="AD167" s="73" t="s">
        <v>2124</v>
      </c>
      <c r="AE167" s="73" t="s">
        <v>2125</v>
      </c>
      <c r="AF167" s="73" t="str">
        <f t="shared" si="61"/>
        <v>A679072</v>
      </c>
      <c r="AG167" s="73" t="str">
        <f>VLOOKUP(AF167,AKT!$C$4:$E$324,3,FALSE)</f>
        <v>0942</v>
      </c>
    </row>
    <row r="168" spans="1:33">
      <c r="A168" s="82"/>
      <c r="B168" s="77" t="str">
        <f t="shared" si="62"/>
        <v/>
      </c>
      <c r="C168" s="82"/>
      <c r="D168" s="77" t="str">
        <f t="shared" si="63"/>
        <v/>
      </c>
      <c r="E168" s="114"/>
      <c r="F168" s="77" t="str">
        <f t="shared" si="64"/>
        <v/>
      </c>
      <c r="G168" s="77" t="str">
        <f t="shared" si="65"/>
        <v/>
      </c>
      <c r="H168" s="113"/>
      <c r="I168" s="113"/>
      <c r="J168" s="113"/>
      <c r="K168" s="124"/>
      <c r="L168" s="123"/>
      <c r="M168" s="123"/>
      <c r="N168" s="124"/>
      <c r="O168" s="300"/>
      <c r="P168" s="81"/>
      <c r="R168" s="73" t="str">
        <f t="shared" si="58"/>
        <v/>
      </c>
      <c r="S168" s="73" t="str">
        <f t="shared" si="59"/>
        <v/>
      </c>
      <c r="T168" s="73" t="str">
        <f t="shared" si="60"/>
        <v/>
      </c>
      <c r="AD168" s="73" t="s">
        <v>2126</v>
      </c>
      <c r="AE168" s="73" t="s">
        <v>2127</v>
      </c>
      <c r="AF168" s="73" t="str">
        <f t="shared" si="61"/>
        <v>A679072</v>
      </c>
      <c r="AG168" s="73" t="str">
        <f>VLOOKUP(AF168,AKT!$C$4:$E$324,3,FALSE)</f>
        <v>0942</v>
      </c>
    </row>
    <row r="169" spans="1:33">
      <c r="A169" s="82"/>
      <c r="B169" s="77" t="str">
        <f t="shared" si="62"/>
        <v/>
      </c>
      <c r="C169" s="82"/>
      <c r="D169" s="77" t="str">
        <f t="shared" si="63"/>
        <v/>
      </c>
      <c r="E169" s="114"/>
      <c r="F169" s="77" t="str">
        <f t="shared" si="64"/>
        <v/>
      </c>
      <c r="G169" s="77" t="str">
        <f t="shared" si="65"/>
        <v/>
      </c>
      <c r="H169" s="113"/>
      <c r="I169" s="113"/>
      <c r="J169" s="113"/>
      <c r="K169" s="124"/>
      <c r="L169" s="123"/>
      <c r="M169" s="123"/>
      <c r="N169" s="124"/>
      <c r="O169" s="300"/>
      <c r="P169" s="81"/>
      <c r="R169" s="73" t="str">
        <f t="shared" si="58"/>
        <v/>
      </c>
      <c r="S169" s="73" t="str">
        <f t="shared" si="59"/>
        <v/>
      </c>
      <c r="T169" s="73" t="str">
        <f t="shared" si="60"/>
        <v/>
      </c>
      <c r="AD169" s="73" t="s">
        <v>2128</v>
      </c>
      <c r="AE169" s="73" t="s">
        <v>2129</v>
      </c>
      <c r="AF169" s="73" t="str">
        <f t="shared" si="61"/>
        <v>A679072</v>
      </c>
      <c r="AG169" s="73" t="str">
        <f>VLOOKUP(AF169,AKT!$C$4:$E$324,3,FALSE)</f>
        <v>0942</v>
      </c>
    </row>
    <row r="170" spans="1:33">
      <c r="A170" s="82"/>
      <c r="B170" s="77" t="str">
        <f t="shared" si="62"/>
        <v/>
      </c>
      <c r="C170" s="82"/>
      <c r="D170" s="77" t="str">
        <f t="shared" si="63"/>
        <v/>
      </c>
      <c r="E170" s="114"/>
      <c r="F170" s="77" t="str">
        <f t="shared" si="64"/>
        <v/>
      </c>
      <c r="G170" s="77" t="str">
        <f t="shared" si="65"/>
        <v/>
      </c>
      <c r="H170" s="113"/>
      <c r="I170" s="113"/>
      <c r="J170" s="113"/>
      <c r="K170" s="124"/>
      <c r="L170" s="123"/>
      <c r="M170" s="123"/>
      <c r="N170" s="124"/>
      <c r="O170" s="300"/>
      <c r="P170" s="81"/>
      <c r="R170" s="73" t="str">
        <f t="shared" si="58"/>
        <v/>
      </c>
      <c r="S170" s="73" t="str">
        <f t="shared" si="59"/>
        <v/>
      </c>
      <c r="T170" s="73" t="str">
        <f t="shared" si="60"/>
        <v/>
      </c>
      <c r="AD170" s="73" t="s">
        <v>2130</v>
      </c>
      <c r="AE170" s="73" t="s">
        <v>2131</v>
      </c>
      <c r="AF170" s="73" t="str">
        <f t="shared" si="61"/>
        <v>A679072</v>
      </c>
      <c r="AG170" s="73" t="str">
        <f>VLOOKUP(AF170,AKT!$C$4:$E$324,3,FALSE)</f>
        <v>0942</v>
      </c>
    </row>
    <row r="171" spans="1:33">
      <c r="A171" s="82"/>
      <c r="B171" s="77" t="str">
        <f t="shared" si="62"/>
        <v/>
      </c>
      <c r="C171" s="82"/>
      <c r="D171" s="77" t="str">
        <f t="shared" si="63"/>
        <v/>
      </c>
      <c r="E171" s="114"/>
      <c r="F171" s="77" t="str">
        <f t="shared" si="64"/>
        <v/>
      </c>
      <c r="G171" s="77" t="str">
        <f t="shared" si="65"/>
        <v/>
      </c>
      <c r="H171" s="113"/>
      <c r="I171" s="113"/>
      <c r="J171" s="113"/>
      <c r="K171" s="124"/>
      <c r="L171" s="123"/>
      <c r="M171" s="123"/>
      <c r="N171" s="124"/>
      <c r="O171" s="300"/>
      <c r="P171" s="81"/>
      <c r="R171" s="73" t="str">
        <f t="shared" si="58"/>
        <v/>
      </c>
      <c r="S171" s="73" t="str">
        <f t="shared" si="59"/>
        <v/>
      </c>
      <c r="T171" s="73" t="str">
        <f t="shared" si="60"/>
        <v/>
      </c>
      <c r="AD171" s="73" t="s">
        <v>2132</v>
      </c>
      <c r="AE171" s="73" t="s">
        <v>2133</v>
      </c>
      <c r="AF171" s="73" t="str">
        <f t="shared" si="61"/>
        <v>A679072</v>
      </c>
      <c r="AG171" s="73" t="str">
        <f>VLOOKUP(AF171,AKT!$C$4:$E$324,3,FALSE)</f>
        <v>0942</v>
      </c>
    </row>
    <row r="172" spans="1:33">
      <c r="A172" s="82"/>
      <c r="B172" s="77" t="str">
        <f t="shared" si="62"/>
        <v/>
      </c>
      <c r="C172" s="82"/>
      <c r="D172" s="77" t="str">
        <f t="shared" si="63"/>
        <v/>
      </c>
      <c r="E172" s="114"/>
      <c r="F172" s="77" t="str">
        <f t="shared" si="64"/>
        <v/>
      </c>
      <c r="G172" s="77" t="str">
        <f t="shared" si="65"/>
        <v/>
      </c>
      <c r="H172" s="113"/>
      <c r="I172" s="113"/>
      <c r="J172" s="113"/>
      <c r="K172" s="124"/>
      <c r="L172" s="123"/>
      <c r="M172" s="123"/>
      <c r="N172" s="124"/>
      <c r="O172" s="300"/>
      <c r="P172" s="81"/>
      <c r="R172" s="73" t="str">
        <f t="shared" si="58"/>
        <v/>
      </c>
      <c r="S172" s="73" t="str">
        <f t="shared" si="59"/>
        <v/>
      </c>
      <c r="T172" s="73" t="str">
        <f t="shared" si="60"/>
        <v/>
      </c>
      <c r="AD172" s="73" t="s">
        <v>2134</v>
      </c>
      <c r="AE172" s="73" t="s">
        <v>2135</v>
      </c>
      <c r="AF172" s="73" t="str">
        <f t="shared" si="61"/>
        <v>A679072</v>
      </c>
      <c r="AG172" s="73" t="str">
        <f>VLOOKUP(AF172,AKT!$C$4:$E$324,3,FALSE)</f>
        <v>0942</v>
      </c>
    </row>
    <row r="173" spans="1:33">
      <c r="A173" s="82"/>
      <c r="B173" s="77" t="str">
        <f t="shared" si="62"/>
        <v/>
      </c>
      <c r="C173" s="82"/>
      <c r="D173" s="77" t="str">
        <f t="shared" si="63"/>
        <v/>
      </c>
      <c r="E173" s="114"/>
      <c r="F173" s="77" t="str">
        <f t="shared" si="64"/>
        <v/>
      </c>
      <c r="G173" s="77" t="str">
        <f t="shared" si="65"/>
        <v/>
      </c>
      <c r="H173" s="113"/>
      <c r="I173" s="113"/>
      <c r="J173" s="113"/>
      <c r="K173" s="124"/>
      <c r="L173" s="123"/>
      <c r="M173" s="123"/>
      <c r="N173" s="124"/>
      <c r="O173" s="300"/>
      <c r="P173" s="81"/>
      <c r="R173" s="73" t="str">
        <f t="shared" si="58"/>
        <v/>
      </c>
      <c r="S173" s="73" t="str">
        <f t="shared" si="59"/>
        <v/>
      </c>
      <c r="T173" s="73" t="str">
        <f t="shared" si="60"/>
        <v/>
      </c>
      <c r="AD173" s="73" t="s">
        <v>2136</v>
      </c>
      <c r="AE173" s="73" t="s">
        <v>2137</v>
      </c>
      <c r="AF173" s="73" t="str">
        <f t="shared" si="61"/>
        <v>A679072</v>
      </c>
      <c r="AG173" s="73" t="str">
        <f>VLOOKUP(AF173,AKT!$C$4:$E$324,3,FALSE)</f>
        <v>0942</v>
      </c>
    </row>
    <row r="174" spans="1:33">
      <c r="A174" s="82"/>
      <c r="B174" s="77" t="str">
        <f t="shared" si="62"/>
        <v/>
      </c>
      <c r="C174" s="82"/>
      <c r="D174" s="77" t="str">
        <f t="shared" si="63"/>
        <v/>
      </c>
      <c r="E174" s="114"/>
      <c r="F174" s="77" t="str">
        <f t="shared" si="64"/>
        <v/>
      </c>
      <c r="G174" s="77" t="str">
        <f t="shared" si="65"/>
        <v/>
      </c>
      <c r="H174" s="113"/>
      <c r="I174" s="113"/>
      <c r="J174" s="113"/>
      <c r="K174" s="124"/>
      <c r="L174" s="123"/>
      <c r="M174" s="123"/>
      <c r="N174" s="124"/>
      <c r="O174" s="300"/>
      <c r="P174" s="81"/>
      <c r="R174" s="73" t="str">
        <f t="shared" si="58"/>
        <v/>
      </c>
      <c r="S174" s="73" t="str">
        <f t="shared" si="59"/>
        <v/>
      </c>
      <c r="T174" s="73" t="str">
        <f t="shared" si="60"/>
        <v/>
      </c>
      <c r="AD174" s="73" t="s">
        <v>2138</v>
      </c>
      <c r="AE174" s="73" t="s">
        <v>2139</v>
      </c>
      <c r="AF174" s="73" t="str">
        <f t="shared" si="61"/>
        <v>A679072</v>
      </c>
      <c r="AG174" s="73" t="str">
        <f>VLOOKUP(AF174,AKT!$C$4:$E$324,3,FALSE)</f>
        <v>0942</v>
      </c>
    </row>
    <row r="175" spans="1:33">
      <c r="A175" s="82"/>
      <c r="B175" s="77" t="str">
        <f t="shared" si="62"/>
        <v/>
      </c>
      <c r="C175" s="82"/>
      <c r="D175" s="77" t="str">
        <f t="shared" si="63"/>
        <v/>
      </c>
      <c r="E175" s="114"/>
      <c r="F175" s="77" t="str">
        <f t="shared" si="64"/>
        <v/>
      </c>
      <c r="G175" s="77" t="str">
        <f t="shared" si="65"/>
        <v/>
      </c>
      <c r="H175" s="113"/>
      <c r="I175" s="113"/>
      <c r="J175" s="113"/>
      <c r="K175" s="124"/>
      <c r="L175" s="123"/>
      <c r="M175" s="123"/>
      <c r="N175" s="124"/>
      <c r="O175" s="300"/>
      <c r="P175" s="81"/>
      <c r="R175" s="73" t="str">
        <f t="shared" si="58"/>
        <v/>
      </c>
      <c r="S175" s="73" t="str">
        <f t="shared" si="59"/>
        <v/>
      </c>
      <c r="T175" s="73" t="str">
        <f t="shared" si="60"/>
        <v/>
      </c>
      <c r="AD175" s="73" t="s">
        <v>2140</v>
      </c>
      <c r="AE175" s="73" t="s">
        <v>2141</v>
      </c>
      <c r="AF175" s="73" t="str">
        <f t="shared" si="61"/>
        <v>A679072</v>
      </c>
      <c r="AG175" s="73" t="str">
        <f>VLOOKUP(AF175,AKT!$C$4:$E$324,3,FALSE)</f>
        <v>0942</v>
      </c>
    </row>
    <row r="176" spans="1:33">
      <c r="A176" s="82"/>
      <c r="B176" s="77" t="str">
        <f t="shared" si="62"/>
        <v/>
      </c>
      <c r="C176" s="82"/>
      <c r="D176" s="77" t="str">
        <f t="shared" si="63"/>
        <v/>
      </c>
      <c r="E176" s="114"/>
      <c r="F176" s="77" t="str">
        <f t="shared" si="64"/>
        <v/>
      </c>
      <c r="G176" s="77" t="str">
        <f t="shared" si="65"/>
        <v/>
      </c>
      <c r="H176" s="113"/>
      <c r="I176" s="113"/>
      <c r="J176" s="113"/>
      <c r="K176" s="124"/>
      <c r="L176" s="123"/>
      <c r="M176" s="123"/>
      <c r="N176" s="124"/>
      <c r="O176" s="300"/>
      <c r="P176" s="81"/>
      <c r="R176" s="73" t="str">
        <f t="shared" si="58"/>
        <v/>
      </c>
      <c r="S176" s="73" t="str">
        <f t="shared" si="59"/>
        <v/>
      </c>
      <c r="T176" s="73" t="str">
        <f t="shared" si="60"/>
        <v/>
      </c>
      <c r="AD176" s="73" t="s">
        <v>2142</v>
      </c>
      <c r="AE176" s="73" t="s">
        <v>2143</v>
      </c>
      <c r="AF176" s="73" t="str">
        <f t="shared" si="61"/>
        <v>A679072</v>
      </c>
      <c r="AG176" s="73" t="str">
        <f>VLOOKUP(AF176,AKT!$C$4:$E$324,3,FALSE)</f>
        <v>0942</v>
      </c>
    </row>
    <row r="177" spans="1:33">
      <c r="A177" s="82"/>
      <c r="B177" s="77" t="str">
        <f t="shared" si="62"/>
        <v/>
      </c>
      <c r="C177" s="82"/>
      <c r="D177" s="77" t="str">
        <f t="shared" si="63"/>
        <v/>
      </c>
      <c r="E177" s="114"/>
      <c r="F177" s="77" t="str">
        <f t="shared" si="64"/>
        <v/>
      </c>
      <c r="G177" s="77" t="str">
        <f t="shared" si="65"/>
        <v/>
      </c>
      <c r="H177" s="113"/>
      <c r="I177" s="113"/>
      <c r="J177" s="113"/>
      <c r="K177" s="124"/>
      <c r="L177" s="123"/>
      <c r="M177" s="123"/>
      <c r="N177" s="124"/>
      <c r="O177" s="300"/>
      <c r="P177" s="81"/>
      <c r="R177" s="73" t="str">
        <f t="shared" si="58"/>
        <v/>
      </c>
      <c r="S177" s="73" t="str">
        <f t="shared" si="59"/>
        <v/>
      </c>
      <c r="T177" s="73" t="str">
        <f t="shared" si="60"/>
        <v/>
      </c>
      <c r="AD177" s="73" t="s">
        <v>2144</v>
      </c>
      <c r="AE177" s="73" t="s">
        <v>2145</v>
      </c>
      <c r="AF177" s="73" t="str">
        <f t="shared" si="61"/>
        <v>A679072</v>
      </c>
      <c r="AG177" s="73" t="str">
        <f>VLOOKUP(AF177,AKT!$C$4:$E$324,3,FALSE)</f>
        <v>0942</v>
      </c>
    </row>
    <row r="178" spans="1:33">
      <c r="A178" s="82"/>
      <c r="B178" s="77" t="str">
        <f t="shared" si="62"/>
        <v/>
      </c>
      <c r="C178" s="82"/>
      <c r="D178" s="77" t="str">
        <f t="shared" si="63"/>
        <v/>
      </c>
      <c r="E178" s="114"/>
      <c r="F178" s="77" t="str">
        <f t="shared" si="64"/>
        <v/>
      </c>
      <c r="G178" s="77" t="str">
        <f t="shared" si="65"/>
        <v/>
      </c>
      <c r="H178" s="113"/>
      <c r="I178" s="113"/>
      <c r="J178" s="113"/>
      <c r="K178" s="124"/>
      <c r="L178" s="123"/>
      <c r="M178" s="123"/>
      <c r="N178" s="124"/>
      <c r="O178" s="300"/>
      <c r="P178" s="81"/>
      <c r="R178" s="73" t="str">
        <f t="shared" si="58"/>
        <v/>
      </c>
      <c r="S178" s="73" t="str">
        <f t="shared" si="59"/>
        <v/>
      </c>
      <c r="T178" s="73" t="str">
        <f t="shared" si="60"/>
        <v/>
      </c>
      <c r="AD178" s="73" t="s">
        <v>2146</v>
      </c>
      <c r="AE178" s="73" t="s">
        <v>2147</v>
      </c>
      <c r="AF178" s="73" t="str">
        <f t="shared" si="61"/>
        <v>A679072</v>
      </c>
      <c r="AG178" s="73" t="str">
        <f>VLOOKUP(AF178,AKT!$C$4:$E$324,3,FALSE)</f>
        <v>0942</v>
      </c>
    </row>
    <row r="179" spans="1:33">
      <c r="A179" s="82"/>
      <c r="B179" s="77" t="str">
        <f t="shared" si="62"/>
        <v/>
      </c>
      <c r="C179" s="82"/>
      <c r="D179" s="77" t="str">
        <f t="shared" si="63"/>
        <v/>
      </c>
      <c r="E179" s="114"/>
      <c r="F179" s="77" t="str">
        <f t="shared" si="64"/>
        <v/>
      </c>
      <c r="G179" s="77" t="str">
        <f t="shared" si="65"/>
        <v/>
      </c>
      <c r="H179" s="113"/>
      <c r="I179" s="113"/>
      <c r="J179" s="113"/>
      <c r="K179" s="124"/>
      <c r="L179" s="123"/>
      <c r="M179" s="123"/>
      <c r="N179" s="124"/>
      <c r="O179" s="300"/>
      <c r="P179" s="81"/>
      <c r="R179" s="73" t="str">
        <f t="shared" si="58"/>
        <v/>
      </c>
      <c r="S179" s="73" t="str">
        <f t="shared" si="59"/>
        <v/>
      </c>
      <c r="T179" s="73" t="str">
        <f t="shared" si="60"/>
        <v/>
      </c>
      <c r="AD179" s="73" t="s">
        <v>2148</v>
      </c>
      <c r="AE179" s="73" t="s">
        <v>2149</v>
      </c>
      <c r="AF179" s="73" t="str">
        <f t="shared" si="61"/>
        <v>A679072</v>
      </c>
      <c r="AG179" s="73" t="str">
        <f>VLOOKUP(AF179,AKT!$C$4:$E$324,3,FALSE)</f>
        <v>0942</v>
      </c>
    </row>
    <row r="180" spans="1:33">
      <c r="A180" s="82"/>
      <c r="B180" s="77" t="str">
        <f t="shared" si="62"/>
        <v/>
      </c>
      <c r="C180" s="82"/>
      <c r="D180" s="77" t="str">
        <f t="shared" si="63"/>
        <v/>
      </c>
      <c r="E180" s="114"/>
      <c r="F180" s="77" t="str">
        <f t="shared" si="64"/>
        <v/>
      </c>
      <c r="G180" s="77" t="str">
        <f t="shared" si="65"/>
        <v/>
      </c>
      <c r="H180" s="113"/>
      <c r="I180" s="113"/>
      <c r="J180" s="113"/>
      <c r="K180" s="124"/>
      <c r="L180" s="123"/>
      <c r="M180" s="123"/>
      <c r="N180" s="124"/>
      <c r="O180" s="300"/>
      <c r="P180" s="81"/>
      <c r="R180" s="73" t="str">
        <f t="shared" si="58"/>
        <v/>
      </c>
      <c r="S180" s="73" t="str">
        <f t="shared" si="59"/>
        <v/>
      </c>
      <c r="T180" s="73" t="str">
        <f t="shared" si="60"/>
        <v/>
      </c>
      <c r="AD180" s="73" t="s">
        <v>2150</v>
      </c>
      <c r="AE180" s="73" t="s">
        <v>2151</v>
      </c>
      <c r="AF180" s="73" t="str">
        <f t="shared" si="61"/>
        <v>A679072</v>
      </c>
      <c r="AG180" s="73" t="str">
        <f>VLOOKUP(AF180,AKT!$C$4:$E$324,3,FALSE)</f>
        <v>0942</v>
      </c>
    </row>
    <row r="181" spans="1:33">
      <c r="A181" s="82"/>
      <c r="B181" s="77" t="str">
        <f t="shared" si="62"/>
        <v/>
      </c>
      <c r="C181" s="82"/>
      <c r="D181" s="77" t="str">
        <f t="shared" si="63"/>
        <v/>
      </c>
      <c r="E181" s="114"/>
      <c r="F181" s="77" t="str">
        <f t="shared" si="64"/>
        <v/>
      </c>
      <c r="G181" s="77" t="str">
        <f t="shared" si="65"/>
        <v/>
      </c>
      <c r="H181" s="113"/>
      <c r="I181" s="113"/>
      <c r="J181" s="113"/>
      <c r="K181" s="124"/>
      <c r="L181" s="123"/>
      <c r="M181" s="123"/>
      <c r="N181" s="124"/>
      <c r="O181" s="300"/>
      <c r="P181" s="81"/>
      <c r="R181" s="73" t="str">
        <f t="shared" si="58"/>
        <v/>
      </c>
      <c r="S181" s="73" t="str">
        <f t="shared" si="59"/>
        <v/>
      </c>
      <c r="T181" s="73" t="str">
        <f t="shared" si="60"/>
        <v/>
      </c>
      <c r="AD181" s="73" t="s">
        <v>2152</v>
      </c>
      <c r="AE181" s="73" t="s">
        <v>2153</v>
      </c>
      <c r="AF181" s="73" t="str">
        <f t="shared" si="61"/>
        <v>A679072</v>
      </c>
      <c r="AG181" s="73" t="str">
        <f>VLOOKUP(AF181,AKT!$C$4:$E$324,3,FALSE)</f>
        <v>0942</v>
      </c>
    </row>
    <row r="182" spans="1:33">
      <c r="A182" s="82"/>
      <c r="B182" s="77" t="str">
        <f t="shared" si="62"/>
        <v/>
      </c>
      <c r="C182" s="82"/>
      <c r="D182" s="77" t="str">
        <f t="shared" si="63"/>
        <v/>
      </c>
      <c r="E182" s="114"/>
      <c r="F182" s="77" t="str">
        <f t="shared" si="64"/>
        <v/>
      </c>
      <c r="G182" s="77" t="str">
        <f t="shared" si="65"/>
        <v/>
      </c>
      <c r="H182" s="113"/>
      <c r="I182" s="113"/>
      <c r="J182" s="113"/>
      <c r="K182" s="124"/>
      <c r="L182" s="123"/>
      <c r="M182" s="123"/>
      <c r="N182" s="124"/>
      <c r="O182" s="300"/>
      <c r="P182" s="81"/>
      <c r="R182" s="73" t="str">
        <f t="shared" si="58"/>
        <v/>
      </c>
      <c r="S182" s="73" t="str">
        <f t="shared" si="59"/>
        <v/>
      </c>
      <c r="T182" s="73" t="str">
        <f t="shared" si="60"/>
        <v/>
      </c>
      <c r="AD182" s="73" t="s">
        <v>2154</v>
      </c>
      <c r="AE182" s="73" t="s">
        <v>2155</v>
      </c>
      <c r="AF182" s="73" t="str">
        <f t="shared" si="61"/>
        <v>A679072</v>
      </c>
      <c r="AG182" s="73" t="str">
        <f>VLOOKUP(AF182,AKT!$C$4:$E$324,3,FALSE)</f>
        <v>0942</v>
      </c>
    </row>
    <row r="183" spans="1:33">
      <c r="A183" s="82"/>
      <c r="B183" s="77" t="str">
        <f t="shared" si="62"/>
        <v/>
      </c>
      <c r="C183" s="82"/>
      <c r="D183" s="77" t="str">
        <f t="shared" si="63"/>
        <v/>
      </c>
      <c r="E183" s="114"/>
      <c r="F183" s="77" t="str">
        <f t="shared" si="64"/>
        <v/>
      </c>
      <c r="G183" s="77" t="str">
        <f t="shared" si="65"/>
        <v/>
      </c>
      <c r="H183" s="113"/>
      <c r="I183" s="113"/>
      <c r="J183" s="113"/>
      <c r="K183" s="124"/>
      <c r="L183" s="123"/>
      <c r="M183" s="123"/>
      <c r="N183" s="124"/>
      <c r="O183" s="300"/>
      <c r="P183" s="81"/>
      <c r="R183" s="73" t="str">
        <f t="shared" si="58"/>
        <v/>
      </c>
      <c r="S183" s="73" t="str">
        <f t="shared" si="59"/>
        <v/>
      </c>
      <c r="T183" s="73" t="str">
        <f t="shared" si="60"/>
        <v/>
      </c>
      <c r="AD183" s="73" t="s">
        <v>2156</v>
      </c>
      <c r="AE183" s="73" t="s">
        <v>2157</v>
      </c>
      <c r="AF183" s="73" t="str">
        <f t="shared" si="61"/>
        <v>A679072</v>
      </c>
      <c r="AG183" s="73" t="str">
        <f>VLOOKUP(AF183,AKT!$C$4:$E$324,3,FALSE)</f>
        <v>0942</v>
      </c>
    </row>
    <row r="184" spans="1:33">
      <c r="A184" s="82"/>
      <c r="B184" s="77" t="str">
        <f t="shared" si="62"/>
        <v/>
      </c>
      <c r="C184" s="82"/>
      <c r="D184" s="77" t="str">
        <f t="shared" si="63"/>
        <v/>
      </c>
      <c r="E184" s="114"/>
      <c r="F184" s="77" t="str">
        <f t="shared" si="64"/>
        <v/>
      </c>
      <c r="G184" s="77" t="str">
        <f t="shared" si="65"/>
        <v/>
      </c>
      <c r="H184" s="113"/>
      <c r="I184" s="113"/>
      <c r="J184" s="113"/>
      <c r="K184" s="124"/>
      <c r="L184" s="123"/>
      <c r="M184" s="123"/>
      <c r="N184" s="124"/>
      <c r="O184" s="300"/>
      <c r="P184" s="81"/>
      <c r="R184" s="73" t="str">
        <f t="shared" si="58"/>
        <v/>
      </c>
      <c r="S184" s="73" t="str">
        <f t="shared" si="59"/>
        <v/>
      </c>
      <c r="T184" s="73" t="str">
        <f t="shared" si="60"/>
        <v/>
      </c>
      <c r="AD184" s="73" t="s">
        <v>2158</v>
      </c>
      <c r="AE184" s="73" t="s">
        <v>2159</v>
      </c>
      <c r="AF184" s="73" t="str">
        <f t="shared" si="61"/>
        <v>A679072</v>
      </c>
      <c r="AG184" s="73" t="str">
        <f>VLOOKUP(AF184,AKT!$C$4:$E$324,3,FALSE)</f>
        <v>0942</v>
      </c>
    </row>
    <row r="185" spans="1:33">
      <c r="A185" s="82"/>
      <c r="B185" s="77" t="str">
        <f t="shared" si="62"/>
        <v/>
      </c>
      <c r="C185" s="82"/>
      <c r="D185" s="77" t="str">
        <f t="shared" si="63"/>
        <v/>
      </c>
      <c r="E185" s="114"/>
      <c r="F185" s="77" t="str">
        <f t="shared" si="64"/>
        <v/>
      </c>
      <c r="G185" s="77" t="str">
        <f t="shared" si="65"/>
        <v/>
      </c>
      <c r="H185" s="113"/>
      <c r="I185" s="113"/>
      <c r="J185" s="113"/>
      <c r="K185" s="124"/>
      <c r="L185" s="123"/>
      <c r="M185" s="123"/>
      <c r="N185" s="124"/>
      <c r="O185" s="300"/>
      <c r="P185" s="81"/>
      <c r="R185" s="73" t="str">
        <f t="shared" si="58"/>
        <v/>
      </c>
      <c r="S185" s="73" t="str">
        <f t="shared" si="59"/>
        <v/>
      </c>
      <c r="T185" s="73" t="str">
        <f t="shared" si="60"/>
        <v/>
      </c>
      <c r="AD185" s="73" t="s">
        <v>2160</v>
      </c>
      <c r="AE185" s="73" t="s">
        <v>2161</v>
      </c>
      <c r="AF185" s="73" t="str">
        <f t="shared" si="61"/>
        <v>A679072</v>
      </c>
      <c r="AG185" s="73" t="str">
        <f>VLOOKUP(AF185,AKT!$C$4:$E$324,3,FALSE)</f>
        <v>0942</v>
      </c>
    </row>
    <row r="186" spans="1:33">
      <c r="A186" s="82"/>
      <c r="B186" s="77" t="str">
        <f t="shared" si="62"/>
        <v/>
      </c>
      <c r="C186" s="82"/>
      <c r="D186" s="77" t="str">
        <f t="shared" si="63"/>
        <v/>
      </c>
      <c r="E186" s="114"/>
      <c r="F186" s="77" t="str">
        <f t="shared" si="64"/>
        <v/>
      </c>
      <c r="G186" s="77" t="str">
        <f t="shared" si="65"/>
        <v/>
      </c>
      <c r="H186" s="113"/>
      <c r="I186" s="113"/>
      <c r="J186" s="113"/>
      <c r="K186" s="124"/>
      <c r="L186" s="123"/>
      <c r="M186" s="123"/>
      <c r="N186" s="124"/>
      <c r="O186" s="300"/>
      <c r="P186" s="81"/>
      <c r="R186" s="73" t="str">
        <f t="shared" si="58"/>
        <v/>
      </c>
      <c r="S186" s="73" t="str">
        <f t="shared" si="59"/>
        <v/>
      </c>
      <c r="T186" s="73" t="str">
        <f t="shared" si="60"/>
        <v/>
      </c>
      <c r="AD186" s="73" t="s">
        <v>2162</v>
      </c>
      <c r="AE186" s="73" t="s">
        <v>2163</v>
      </c>
      <c r="AF186" s="73" t="str">
        <f t="shared" si="61"/>
        <v>A679072</v>
      </c>
      <c r="AG186" s="73" t="str">
        <f>VLOOKUP(AF186,AKT!$C$4:$E$324,3,FALSE)</f>
        <v>0942</v>
      </c>
    </row>
    <row r="187" spans="1:33">
      <c r="A187" s="82"/>
      <c r="B187" s="77" t="str">
        <f t="shared" si="62"/>
        <v/>
      </c>
      <c r="C187" s="82"/>
      <c r="D187" s="77" t="str">
        <f t="shared" si="63"/>
        <v/>
      </c>
      <c r="E187" s="114"/>
      <c r="F187" s="77" t="str">
        <f t="shared" si="64"/>
        <v/>
      </c>
      <c r="G187" s="77" t="str">
        <f t="shared" si="65"/>
        <v/>
      </c>
      <c r="H187" s="113"/>
      <c r="I187" s="113"/>
      <c r="J187" s="113"/>
      <c r="K187" s="124"/>
      <c r="L187" s="123"/>
      <c r="M187" s="123"/>
      <c r="N187" s="124"/>
      <c r="O187" s="300"/>
      <c r="P187" s="81"/>
      <c r="R187" s="73" t="str">
        <f t="shared" ref="R187:R250" si="66">LEFT(C187,3)</f>
        <v/>
      </c>
      <c r="S187" s="73" t="str">
        <f t="shared" ref="S187:S250" si="67">LEFT(C187,2)</f>
        <v/>
      </c>
      <c r="T187" s="73" t="str">
        <f t="shared" ref="T187:T250" si="68">MID(G187,2,2)</f>
        <v/>
      </c>
      <c r="AD187" s="73" t="s">
        <v>2164</v>
      </c>
      <c r="AE187" s="73" t="s">
        <v>2165</v>
      </c>
      <c r="AF187" s="73" t="str">
        <f t="shared" si="61"/>
        <v>A679072</v>
      </c>
      <c r="AG187" s="73" t="str">
        <f>VLOOKUP(AF187,AKT!$C$4:$E$324,3,FALSE)</f>
        <v>0942</v>
      </c>
    </row>
    <row r="188" spans="1:33">
      <c r="A188" s="82"/>
      <c r="B188" s="77" t="str">
        <f t="shared" si="62"/>
        <v/>
      </c>
      <c r="C188" s="82"/>
      <c r="D188" s="77" t="str">
        <f t="shared" si="63"/>
        <v/>
      </c>
      <c r="E188" s="114"/>
      <c r="F188" s="77" t="str">
        <f t="shared" si="64"/>
        <v/>
      </c>
      <c r="G188" s="77" t="str">
        <f t="shared" si="65"/>
        <v/>
      </c>
      <c r="H188" s="113"/>
      <c r="I188" s="113"/>
      <c r="J188" s="113"/>
      <c r="K188" s="124"/>
      <c r="L188" s="123"/>
      <c r="M188" s="123"/>
      <c r="N188" s="124"/>
      <c r="O188" s="300"/>
      <c r="P188" s="81"/>
      <c r="R188" s="73" t="str">
        <f t="shared" si="66"/>
        <v/>
      </c>
      <c r="S188" s="73" t="str">
        <f t="shared" si="67"/>
        <v/>
      </c>
      <c r="T188" s="73" t="str">
        <f t="shared" si="68"/>
        <v/>
      </c>
      <c r="AD188" s="73" t="s">
        <v>2166</v>
      </c>
      <c r="AE188" s="73" t="s">
        <v>2167</v>
      </c>
      <c r="AF188" s="73" t="str">
        <f t="shared" si="61"/>
        <v>A679072</v>
      </c>
      <c r="AG188" s="73" t="str">
        <f>VLOOKUP(AF188,AKT!$C$4:$E$324,3,FALSE)</f>
        <v>0942</v>
      </c>
    </row>
    <row r="189" spans="1:33">
      <c r="A189" s="82"/>
      <c r="B189" s="77" t="str">
        <f t="shared" si="62"/>
        <v/>
      </c>
      <c r="C189" s="82"/>
      <c r="D189" s="77" t="str">
        <f t="shared" si="63"/>
        <v/>
      </c>
      <c r="E189" s="114"/>
      <c r="F189" s="77" t="str">
        <f t="shared" si="64"/>
        <v/>
      </c>
      <c r="G189" s="77" t="str">
        <f t="shared" si="65"/>
        <v/>
      </c>
      <c r="H189" s="113"/>
      <c r="I189" s="113"/>
      <c r="J189" s="113"/>
      <c r="K189" s="124"/>
      <c r="L189" s="123"/>
      <c r="M189" s="123"/>
      <c r="N189" s="124"/>
      <c r="O189" s="300"/>
      <c r="P189" s="81"/>
      <c r="R189" s="73" t="str">
        <f t="shared" si="66"/>
        <v/>
      </c>
      <c r="S189" s="73" t="str">
        <f t="shared" si="67"/>
        <v/>
      </c>
      <c r="T189" s="73" t="str">
        <f t="shared" si="68"/>
        <v/>
      </c>
      <c r="AD189" s="73" t="s">
        <v>3048</v>
      </c>
      <c r="AE189" s="73" t="s">
        <v>3049</v>
      </c>
      <c r="AF189" s="73" t="str">
        <f t="shared" si="61"/>
        <v>A679072</v>
      </c>
      <c r="AG189" s="73" t="str">
        <f>VLOOKUP(AF189,AKT!$C$4:$E$324,3,FALSE)</f>
        <v>0942</v>
      </c>
    </row>
    <row r="190" spans="1:33">
      <c r="A190" s="82"/>
      <c r="B190" s="77" t="str">
        <f t="shared" si="62"/>
        <v/>
      </c>
      <c r="C190" s="82"/>
      <c r="D190" s="77" t="str">
        <f t="shared" si="63"/>
        <v/>
      </c>
      <c r="E190" s="114"/>
      <c r="F190" s="77" t="str">
        <f t="shared" si="64"/>
        <v/>
      </c>
      <c r="G190" s="77" t="str">
        <f t="shared" si="65"/>
        <v/>
      </c>
      <c r="H190" s="113"/>
      <c r="I190" s="113"/>
      <c r="J190" s="113"/>
      <c r="K190" s="124"/>
      <c r="L190" s="123"/>
      <c r="M190" s="123"/>
      <c r="N190" s="124"/>
      <c r="O190" s="300"/>
      <c r="P190" s="81"/>
      <c r="R190" s="73" t="str">
        <f t="shared" si="66"/>
        <v/>
      </c>
      <c r="S190" s="73" t="str">
        <f t="shared" si="67"/>
        <v/>
      </c>
      <c r="T190" s="73" t="str">
        <f t="shared" si="68"/>
        <v/>
      </c>
      <c r="AD190" s="73" t="s">
        <v>3050</v>
      </c>
      <c r="AE190" s="73" t="s">
        <v>3051</v>
      </c>
      <c r="AF190" s="73" t="str">
        <f t="shared" si="61"/>
        <v>A679072</v>
      </c>
      <c r="AG190" s="73" t="str">
        <f>VLOOKUP(AF190,AKT!$C$4:$E$324,3,FALSE)</f>
        <v>0942</v>
      </c>
    </row>
    <row r="191" spans="1:33">
      <c r="A191" s="82"/>
      <c r="B191" s="77" t="str">
        <f t="shared" si="62"/>
        <v/>
      </c>
      <c r="C191" s="82"/>
      <c r="D191" s="77" t="str">
        <f t="shared" si="63"/>
        <v/>
      </c>
      <c r="E191" s="114"/>
      <c r="F191" s="77" t="str">
        <f t="shared" si="64"/>
        <v/>
      </c>
      <c r="G191" s="77" t="str">
        <f t="shared" si="65"/>
        <v/>
      </c>
      <c r="H191" s="113"/>
      <c r="I191" s="113"/>
      <c r="J191" s="113"/>
      <c r="K191" s="124"/>
      <c r="L191" s="123"/>
      <c r="M191" s="123"/>
      <c r="N191" s="124"/>
      <c r="O191" s="300"/>
      <c r="P191" s="81"/>
      <c r="R191" s="73" t="str">
        <f t="shared" si="66"/>
        <v/>
      </c>
      <c r="S191" s="73" t="str">
        <f t="shared" si="67"/>
        <v/>
      </c>
      <c r="T191" s="73" t="str">
        <f t="shared" si="68"/>
        <v/>
      </c>
      <c r="AD191" s="73" t="s">
        <v>3052</v>
      </c>
      <c r="AE191" s="73" t="s">
        <v>3053</v>
      </c>
      <c r="AF191" s="73" t="str">
        <f t="shared" ref="AF191:AF254" si="69">LEFT(AD191,7)</f>
        <v>A679072</v>
      </c>
      <c r="AG191" s="73" t="str">
        <f>VLOOKUP(AF191,AKT!$C$4:$E$324,3,FALSE)</f>
        <v>0942</v>
      </c>
    </row>
    <row r="192" spans="1:33">
      <c r="A192" s="82"/>
      <c r="B192" s="77" t="str">
        <f t="shared" si="62"/>
        <v/>
      </c>
      <c r="C192" s="82"/>
      <c r="D192" s="77" t="str">
        <f t="shared" si="63"/>
        <v/>
      </c>
      <c r="E192" s="114"/>
      <c r="F192" s="77" t="str">
        <f t="shared" si="64"/>
        <v/>
      </c>
      <c r="G192" s="77" t="str">
        <f t="shared" si="65"/>
        <v/>
      </c>
      <c r="H192" s="113"/>
      <c r="I192" s="113"/>
      <c r="J192" s="113"/>
      <c r="K192" s="124"/>
      <c r="L192" s="123"/>
      <c r="M192" s="123"/>
      <c r="N192" s="124"/>
      <c r="O192" s="300"/>
      <c r="P192" s="81"/>
      <c r="R192" s="73" t="str">
        <f t="shared" si="66"/>
        <v/>
      </c>
      <c r="S192" s="73" t="str">
        <f t="shared" si="67"/>
        <v/>
      </c>
      <c r="T192" s="73" t="str">
        <f t="shared" si="68"/>
        <v/>
      </c>
      <c r="AD192" s="73" t="s">
        <v>3054</v>
      </c>
      <c r="AE192" s="73" t="s">
        <v>3055</v>
      </c>
      <c r="AF192" s="73" t="str">
        <f t="shared" si="69"/>
        <v>A679072</v>
      </c>
      <c r="AG192" s="73" t="str">
        <f>VLOOKUP(AF192,AKT!$C$4:$E$324,3,FALSE)</f>
        <v>0942</v>
      </c>
    </row>
    <row r="193" spans="1:33">
      <c r="A193" s="82"/>
      <c r="B193" s="77" t="str">
        <f t="shared" si="62"/>
        <v/>
      </c>
      <c r="C193" s="82"/>
      <c r="D193" s="77" t="str">
        <f t="shared" si="63"/>
        <v/>
      </c>
      <c r="E193" s="114"/>
      <c r="F193" s="77" t="str">
        <f t="shared" si="64"/>
        <v/>
      </c>
      <c r="G193" s="77" t="str">
        <f t="shared" si="65"/>
        <v/>
      </c>
      <c r="H193" s="113"/>
      <c r="I193" s="113"/>
      <c r="J193" s="113"/>
      <c r="K193" s="124"/>
      <c r="L193" s="123"/>
      <c r="M193" s="123"/>
      <c r="N193" s="124"/>
      <c r="O193" s="300"/>
      <c r="P193" s="81"/>
      <c r="R193" s="73" t="str">
        <f t="shared" si="66"/>
        <v/>
      </c>
      <c r="S193" s="73" t="str">
        <f t="shared" si="67"/>
        <v/>
      </c>
      <c r="T193" s="73" t="str">
        <f t="shared" si="68"/>
        <v/>
      </c>
      <c r="AD193" s="73" t="s">
        <v>3056</v>
      </c>
      <c r="AE193" s="73" t="s">
        <v>3057</v>
      </c>
      <c r="AF193" s="73" t="str">
        <f t="shared" si="69"/>
        <v>A679072</v>
      </c>
      <c r="AG193" s="73" t="str">
        <f>VLOOKUP(AF193,AKT!$C$4:$E$324,3,FALSE)</f>
        <v>0942</v>
      </c>
    </row>
    <row r="194" spans="1:33">
      <c r="A194" s="82"/>
      <c r="B194" s="77" t="str">
        <f t="shared" si="62"/>
        <v/>
      </c>
      <c r="C194" s="82"/>
      <c r="D194" s="77" t="str">
        <f t="shared" si="63"/>
        <v/>
      </c>
      <c r="E194" s="114"/>
      <c r="F194" s="77" t="str">
        <f t="shared" si="64"/>
        <v/>
      </c>
      <c r="G194" s="77" t="str">
        <f t="shared" si="65"/>
        <v/>
      </c>
      <c r="H194" s="113"/>
      <c r="I194" s="113"/>
      <c r="J194" s="113"/>
      <c r="K194" s="124"/>
      <c r="L194" s="123"/>
      <c r="M194" s="123"/>
      <c r="N194" s="124"/>
      <c r="O194" s="300"/>
      <c r="P194" s="81"/>
      <c r="R194" s="73" t="str">
        <f t="shared" si="66"/>
        <v/>
      </c>
      <c r="S194" s="73" t="str">
        <f t="shared" si="67"/>
        <v/>
      </c>
      <c r="T194" s="73" t="str">
        <f t="shared" si="68"/>
        <v/>
      </c>
      <c r="AD194" s="73" t="s">
        <v>3058</v>
      </c>
      <c r="AE194" s="73" t="s">
        <v>3059</v>
      </c>
      <c r="AF194" s="73" t="str">
        <f t="shared" si="69"/>
        <v>A679072</v>
      </c>
      <c r="AG194" s="73" t="str">
        <f>VLOOKUP(AF194,AKT!$C$4:$E$324,3,FALSE)</f>
        <v>0942</v>
      </c>
    </row>
    <row r="195" spans="1:33">
      <c r="A195" s="82"/>
      <c r="B195" s="77" t="str">
        <f t="shared" si="62"/>
        <v/>
      </c>
      <c r="C195" s="82"/>
      <c r="D195" s="77" t="str">
        <f t="shared" si="63"/>
        <v/>
      </c>
      <c r="E195" s="114"/>
      <c r="F195" s="77" t="str">
        <f t="shared" si="64"/>
        <v/>
      </c>
      <c r="G195" s="77" t="str">
        <f t="shared" si="65"/>
        <v/>
      </c>
      <c r="H195" s="113"/>
      <c r="I195" s="113"/>
      <c r="J195" s="113"/>
      <c r="K195" s="124"/>
      <c r="L195" s="123"/>
      <c r="M195" s="123"/>
      <c r="N195" s="124"/>
      <c r="O195" s="300"/>
      <c r="P195" s="81"/>
      <c r="R195" s="73" t="str">
        <f t="shared" si="66"/>
        <v/>
      </c>
      <c r="S195" s="73" t="str">
        <f t="shared" si="67"/>
        <v/>
      </c>
      <c r="T195" s="73" t="str">
        <f t="shared" si="68"/>
        <v/>
      </c>
      <c r="AD195" s="73" t="s">
        <v>3060</v>
      </c>
      <c r="AE195" s="73" t="s">
        <v>2508</v>
      </c>
      <c r="AF195" s="73" t="str">
        <f t="shared" si="69"/>
        <v>A679072</v>
      </c>
      <c r="AG195" s="73" t="str">
        <f>VLOOKUP(AF195,AKT!$C$4:$E$324,3,FALSE)</f>
        <v>0942</v>
      </c>
    </row>
    <row r="196" spans="1:33">
      <c r="A196" s="82"/>
      <c r="B196" s="77" t="str">
        <f t="shared" si="62"/>
        <v/>
      </c>
      <c r="C196" s="82"/>
      <c r="D196" s="77" t="str">
        <f t="shared" si="63"/>
        <v/>
      </c>
      <c r="E196" s="114"/>
      <c r="F196" s="77" t="str">
        <f t="shared" si="64"/>
        <v/>
      </c>
      <c r="G196" s="77" t="str">
        <f t="shared" si="65"/>
        <v/>
      </c>
      <c r="H196" s="113"/>
      <c r="I196" s="113"/>
      <c r="J196" s="113"/>
      <c r="K196" s="124"/>
      <c r="L196" s="123"/>
      <c r="M196" s="123"/>
      <c r="N196" s="124"/>
      <c r="O196" s="300"/>
      <c r="P196" s="81"/>
      <c r="R196" s="73" t="str">
        <f t="shared" si="66"/>
        <v/>
      </c>
      <c r="S196" s="73" t="str">
        <f t="shared" si="67"/>
        <v/>
      </c>
      <c r="T196" s="73" t="str">
        <f t="shared" si="68"/>
        <v/>
      </c>
      <c r="AD196" s="73" t="s">
        <v>3061</v>
      </c>
      <c r="AE196" s="73" t="s">
        <v>3062</v>
      </c>
      <c r="AF196" s="73" t="str">
        <f t="shared" si="69"/>
        <v>A679072</v>
      </c>
      <c r="AG196" s="73" t="str">
        <f>VLOOKUP(AF196,AKT!$C$4:$E$324,3,FALSE)</f>
        <v>0942</v>
      </c>
    </row>
    <row r="197" spans="1:33">
      <c r="A197" s="82"/>
      <c r="B197" s="77" t="str">
        <f t="shared" si="62"/>
        <v/>
      </c>
      <c r="C197" s="82"/>
      <c r="D197" s="77" t="str">
        <f t="shared" si="63"/>
        <v/>
      </c>
      <c r="E197" s="114"/>
      <c r="F197" s="77" t="str">
        <f t="shared" si="64"/>
        <v/>
      </c>
      <c r="G197" s="77" t="str">
        <f t="shared" si="65"/>
        <v/>
      </c>
      <c r="H197" s="113"/>
      <c r="I197" s="113"/>
      <c r="J197" s="113"/>
      <c r="K197" s="124"/>
      <c r="L197" s="123"/>
      <c r="M197" s="123"/>
      <c r="N197" s="124"/>
      <c r="O197" s="300"/>
      <c r="P197" s="81"/>
      <c r="R197" s="73" t="str">
        <f t="shared" si="66"/>
        <v/>
      </c>
      <c r="S197" s="73" t="str">
        <f t="shared" si="67"/>
        <v/>
      </c>
      <c r="T197" s="73" t="str">
        <f t="shared" si="68"/>
        <v/>
      </c>
      <c r="AD197" s="73" t="s">
        <v>3063</v>
      </c>
      <c r="AE197" s="73" t="s">
        <v>3064</v>
      </c>
      <c r="AF197" s="73" t="str">
        <f t="shared" si="69"/>
        <v>A679072</v>
      </c>
      <c r="AG197" s="73" t="str">
        <f>VLOOKUP(AF197,AKT!$C$4:$E$324,3,FALSE)</f>
        <v>0942</v>
      </c>
    </row>
    <row r="198" spans="1:33">
      <c r="A198" s="82"/>
      <c r="B198" s="77" t="str">
        <f t="shared" si="62"/>
        <v/>
      </c>
      <c r="C198" s="82"/>
      <c r="D198" s="77" t="str">
        <f t="shared" si="63"/>
        <v/>
      </c>
      <c r="E198" s="114"/>
      <c r="F198" s="77" t="str">
        <f t="shared" si="64"/>
        <v/>
      </c>
      <c r="G198" s="77" t="str">
        <f t="shared" si="65"/>
        <v/>
      </c>
      <c r="H198" s="113"/>
      <c r="I198" s="113"/>
      <c r="J198" s="113"/>
      <c r="K198" s="124"/>
      <c r="L198" s="123"/>
      <c r="M198" s="123"/>
      <c r="N198" s="124"/>
      <c r="O198" s="300"/>
      <c r="P198" s="81"/>
      <c r="R198" s="73" t="str">
        <f t="shared" si="66"/>
        <v/>
      </c>
      <c r="S198" s="73" t="str">
        <f t="shared" si="67"/>
        <v/>
      </c>
      <c r="T198" s="73" t="str">
        <f t="shared" si="68"/>
        <v/>
      </c>
      <c r="AD198" s="73" t="s">
        <v>3065</v>
      </c>
      <c r="AE198" s="73" t="s">
        <v>3066</v>
      </c>
      <c r="AF198" s="73" t="str">
        <f t="shared" si="69"/>
        <v>A679072</v>
      </c>
      <c r="AG198" s="73" t="str">
        <f>VLOOKUP(AF198,AKT!$C$4:$E$324,3,FALSE)</f>
        <v>0942</v>
      </c>
    </row>
    <row r="199" spans="1:33">
      <c r="A199" s="82"/>
      <c r="B199" s="77" t="str">
        <f t="shared" si="62"/>
        <v/>
      </c>
      <c r="C199" s="82"/>
      <c r="D199" s="77" t="str">
        <f t="shared" si="63"/>
        <v/>
      </c>
      <c r="E199" s="114"/>
      <c r="F199" s="77" t="str">
        <f t="shared" si="64"/>
        <v/>
      </c>
      <c r="G199" s="77" t="str">
        <f t="shared" si="65"/>
        <v/>
      </c>
      <c r="H199" s="113"/>
      <c r="I199" s="113"/>
      <c r="J199" s="113"/>
      <c r="K199" s="124"/>
      <c r="L199" s="123"/>
      <c r="M199" s="123"/>
      <c r="N199" s="124"/>
      <c r="O199" s="300"/>
      <c r="P199" s="81"/>
      <c r="R199" s="73" t="str">
        <f t="shared" si="66"/>
        <v/>
      </c>
      <c r="S199" s="73" t="str">
        <f t="shared" si="67"/>
        <v/>
      </c>
      <c r="T199" s="73" t="str">
        <f t="shared" si="68"/>
        <v/>
      </c>
      <c r="AD199" s="73" t="s">
        <v>3067</v>
      </c>
      <c r="AE199" s="73" t="s">
        <v>3068</v>
      </c>
      <c r="AF199" s="73" t="str">
        <f t="shared" si="69"/>
        <v>A679072</v>
      </c>
      <c r="AG199" s="73" t="str">
        <f>VLOOKUP(AF199,AKT!$C$4:$E$324,3,FALSE)</f>
        <v>0942</v>
      </c>
    </row>
    <row r="200" spans="1:33">
      <c r="A200" s="82"/>
      <c r="B200" s="77" t="str">
        <f t="shared" si="62"/>
        <v/>
      </c>
      <c r="C200" s="82"/>
      <c r="D200" s="77" t="str">
        <f t="shared" si="63"/>
        <v/>
      </c>
      <c r="E200" s="114"/>
      <c r="F200" s="77" t="str">
        <f t="shared" si="64"/>
        <v/>
      </c>
      <c r="G200" s="77" t="str">
        <f t="shared" si="65"/>
        <v/>
      </c>
      <c r="H200" s="113"/>
      <c r="I200" s="113"/>
      <c r="J200" s="113"/>
      <c r="K200" s="124"/>
      <c r="L200" s="123"/>
      <c r="M200" s="123"/>
      <c r="N200" s="124"/>
      <c r="O200" s="300"/>
      <c r="P200" s="81"/>
      <c r="R200" s="73" t="str">
        <f t="shared" si="66"/>
        <v/>
      </c>
      <c r="S200" s="73" t="str">
        <f t="shared" si="67"/>
        <v/>
      </c>
      <c r="T200" s="73" t="str">
        <f t="shared" si="68"/>
        <v/>
      </c>
      <c r="AD200" s="73" t="s">
        <v>3069</v>
      </c>
      <c r="AE200" s="73" t="s">
        <v>3070</v>
      </c>
      <c r="AF200" s="73" t="str">
        <f t="shared" si="69"/>
        <v>A679072</v>
      </c>
      <c r="AG200" s="73" t="str">
        <f>VLOOKUP(AF200,AKT!$C$4:$E$324,3,FALSE)</f>
        <v>0942</v>
      </c>
    </row>
    <row r="201" spans="1:33">
      <c r="A201" s="82"/>
      <c r="B201" s="77" t="str">
        <f t="shared" si="62"/>
        <v/>
      </c>
      <c r="C201" s="82"/>
      <c r="D201" s="77" t="str">
        <f t="shared" si="63"/>
        <v/>
      </c>
      <c r="E201" s="114"/>
      <c r="F201" s="77" t="str">
        <f t="shared" si="64"/>
        <v/>
      </c>
      <c r="G201" s="77" t="str">
        <f t="shared" si="65"/>
        <v/>
      </c>
      <c r="H201" s="113"/>
      <c r="I201" s="113"/>
      <c r="J201" s="113"/>
      <c r="K201" s="124"/>
      <c r="L201" s="123"/>
      <c r="M201" s="123"/>
      <c r="N201" s="124"/>
      <c r="O201" s="300"/>
      <c r="P201" s="81"/>
      <c r="R201" s="73" t="str">
        <f t="shared" si="66"/>
        <v/>
      </c>
      <c r="S201" s="73" t="str">
        <f t="shared" si="67"/>
        <v/>
      </c>
      <c r="T201" s="73" t="str">
        <f t="shared" si="68"/>
        <v/>
      </c>
      <c r="AD201" s="73" t="s">
        <v>3071</v>
      </c>
      <c r="AE201" s="73" t="s">
        <v>3072</v>
      </c>
      <c r="AF201" s="73" t="str">
        <f t="shared" si="69"/>
        <v>A679072</v>
      </c>
      <c r="AG201" s="73" t="str">
        <f>VLOOKUP(AF201,AKT!$C$4:$E$324,3,FALSE)</f>
        <v>0942</v>
      </c>
    </row>
    <row r="202" spans="1:33">
      <c r="A202" s="82"/>
      <c r="B202" s="77" t="str">
        <f t="shared" si="62"/>
        <v/>
      </c>
      <c r="C202" s="82"/>
      <c r="D202" s="77" t="str">
        <f t="shared" si="63"/>
        <v/>
      </c>
      <c r="E202" s="114"/>
      <c r="F202" s="77" t="str">
        <f t="shared" si="64"/>
        <v/>
      </c>
      <c r="G202" s="77" t="str">
        <f t="shared" si="65"/>
        <v/>
      </c>
      <c r="H202" s="113"/>
      <c r="I202" s="113"/>
      <c r="J202" s="113"/>
      <c r="K202" s="124"/>
      <c r="L202" s="123"/>
      <c r="M202" s="123"/>
      <c r="N202" s="124"/>
      <c r="O202" s="300"/>
      <c r="P202" s="81"/>
      <c r="R202" s="73" t="str">
        <f t="shared" si="66"/>
        <v/>
      </c>
      <c r="S202" s="73" t="str">
        <f t="shared" si="67"/>
        <v/>
      </c>
      <c r="T202" s="73" t="str">
        <f t="shared" si="68"/>
        <v/>
      </c>
      <c r="AD202" s="73" t="s">
        <v>3073</v>
      </c>
      <c r="AE202" s="73" t="s">
        <v>3074</v>
      </c>
      <c r="AF202" s="73" t="str">
        <f t="shared" si="69"/>
        <v>A679072</v>
      </c>
      <c r="AG202" s="73" t="str">
        <f>VLOOKUP(AF202,AKT!$C$4:$E$324,3,FALSE)</f>
        <v>0942</v>
      </c>
    </row>
    <row r="203" spans="1:33">
      <c r="A203" s="82"/>
      <c r="B203" s="77" t="str">
        <f t="shared" si="62"/>
        <v/>
      </c>
      <c r="C203" s="82"/>
      <c r="D203" s="77" t="str">
        <f t="shared" si="63"/>
        <v/>
      </c>
      <c r="E203" s="114"/>
      <c r="F203" s="77" t="str">
        <f t="shared" si="64"/>
        <v/>
      </c>
      <c r="G203" s="77" t="str">
        <f t="shared" si="65"/>
        <v/>
      </c>
      <c r="H203" s="113"/>
      <c r="I203" s="113"/>
      <c r="J203" s="113"/>
      <c r="K203" s="124"/>
      <c r="L203" s="123"/>
      <c r="M203" s="123"/>
      <c r="N203" s="124"/>
      <c r="O203" s="300"/>
      <c r="P203" s="81"/>
      <c r="R203" s="73" t="str">
        <f t="shared" si="66"/>
        <v/>
      </c>
      <c r="S203" s="73" t="str">
        <f t="shared" si="67"/>
        <v/>
      </c>
      <c r="T203" s="73" t="str">
        <f t="shared" si="68"/>
        <v/>
      </c>
      <c r="AD203" s="73" t="s">
        <v>3075</v>
      </c>
      <c r="AE203" s="73" t="s">
        <v>3076</v>
      </c>
      <c r="AF203" s="73" t="str">
        <f t="shared" si="69"/>
        <v>A679072</v>
      </c>
      <c r="AG203" s="73" t="str">
        <f>VLOOKUP(AF203,AKT!$C$4:$E$324,3,FALSE)</f>
        <v>0942</v>
      </c>
    </row>
    <row r="204" spans="1:33">
      <c r="A204" s="82"/>
      <c r="B204" s="77" t="str">
        <f t="shared" si="62"/>
        <v/>
      </c>
      <c r="C204" s="82"/>
      <c r="D204" s="77" t="str">
        <f t="shared" si="63"/>
        <v/>
      </c>
      <c r="E204" s="114"/>
      <c r="F204" s="77" t="str">
        <f t="shared" si="64"/>
        <v/>
      </c>
      <c r="G204" s="77" t="str">
        <f t="shared" si="65"/>
        <v/>
      </c>
      <c r="H204" s="113"/>
      <c r="I204" s="113"/>
      <c r="J204" s="113"/>
      <c r="K204" s="124"/>
      <c r="L204" s="123"/>
      <c r="M204" s="123"/>
      <c r="N204" s="124"/>
      <c r="O204" s="300"/>
      <c r="P204" s="81"/>
      <c r="R204" s="73" t="str">
        <f t="shared" si="66"/>
        <v/>
      </c>
      <c r="S204" s="73" t="str">
        <f t="shared" si="67"/>
        <v/>
      </c>
      <c r="T204" s="73" t="str">
        <f t="shared" si="68"/>
        <v/>
      </c>
      <c r="AD204" s="73" t="s">
        <v>3077</v>
      </c>
      <c r="AE204" s="73" t="s">
        <v>3078</v>
      </c>
      <c r="AF204" s="73" t="str">
        <f t="shared" si="69"/>
        <v>A679072</v>
      </c>
      <c r="AG204" s="73" t="str">
        <f>VLOOKUP(AF204,AKT!$C$4:$E$324,3,FALSE)</f>
        <v>0942</v>
      </c>
    </row>
    <row r="205" spans="1:33">
      <c r="A205" s="82"/>
      <c r="B205" s="77" t="str">
        <f t="shared" si="62"/>
        <v/>
      </c>
      <c r="C205" s="82"/>
      <c r="D205" s="77" t="str">
        <f t="shared" si="63"/>
        <v/>
      </c>
      <c r="E205" s="114"/>
      <c r="F205" s="77" t="str">
        <f t="shared" si="64"/>
        <v/>
      </c>
      <c r="G205" s="77" t="str">
        <f t="shared" si="65"/>
        <v/>
      </c>
      <c r="H205" s="113"/>
      <c r="I205" s="113"/>
      <c r="J205" s="113"/>
      <c r="K205" s="124"/>
      <c r="L205" s="123"/>
      <c r="M205" s="123"/>
      <c r="N205" s="124"/>
      <c r="O205" s="300"/>
      <c r="P205" s="81"/>
      <c r="R205" s="73" t="str">
        <f t="shared" si="66"/>
        <v/>
      </c>
      <c r="S205" s="73" t="str">
        <f t="shared" si="67"/>
        <v/>
      </c>
      <c r="T205" s="73" t="str">
        <f t="shared" si="68"/>
        <v/>
      </c>
      <c r="AD205" s="73" t="s">
        <v>3079</v>
      </c>
      <c r="AE205" s="73" t="s">
        <v>3080</v>
      </c>
      <c r="AF205" s="73" t="str">
        <f t="shared" si="69"/>
        <v>A679072</v>
      </c>
      <c r="AG205" s="73" t="str">
        <f>VLOOKUP(AF205,AKT!$C$4:$E$324,3,FALSE)</f>
        <v>0942</v>
      </c>
    </row>
    <row r="206" spans="1:33">
      <c r="A206" s="82"/>
      <c r="B206" s="77" t="str">
        <f t="shared" si="62"/>
        <v/>
      </c>
      <c r="C206" s="82"/>
      <c r="D206" s="77" t="str">
        <f t="shared" si="63"/>
        <v/>
      </c>
      <c r="E206" s="114"/>
      <c r="F206" s="77" t="str">
        <f t="shared" si="64"/>
        <v/>
      </c>
      <c r="G206" s="77" t="str">
        <f t="shared" si="65"/>
        <v/>
      </c>
      <c r="H206" s="113"/>
      <c r="I206" s="113"/>
      <c r="J206" s="113"/>
      <c r="K206" s="124"/>
      <c r="L206" s="123"/>
      <c r="M206" s="123"/>
      <c r="N206" s="124"/>
      <c r="O206" s="300"/>
      <c r="P206" s="81"/>
      <c r="R206" s="73" t="str">
        <f t="shared" si="66"/>
        <v/>
      </c>
      <c r="S206" s="73" t="str">
        <f t="shared" si="67"/>
        <v/>
      </c>
      <c r="T206" s="73" t="str">
        <f t="shared" si="68"/>
        <v/>
      </c>
      <c r="AD206" s="73" t="s">
        <v>3081</v>
      </c>
      <c r="AE206" s="73" t="s">
        <v>3082</v>
      </c>
      <c r="AF206" s="73" t="str">
        <f t="shared" si="69"/>
        <v>A679072</v>
      </c>
      <c r="AG206" s="73" t="str">
        <f>VLOOKUP(AF206,AKT!$C$4:$E$324,3,FALSE)</f>
        <v>0942</v>
      </c>
    </row>
    <row r="207" spans="1:33">
      <c r="A207" s="82"/>
      <c r="B207" s="77" t="str">
        <f t="shared" si="62"/>
        <v/>
      </c>
      <c r="C207" s="82"/>
      <c r="D207" s="77" t="str">
        <f t="shared" si="63"/>
        <v/>
      </c>
      <c r="E207" s="114"/>
      <c r="F207" s="77" t="str">
        <f t="shared" si="64"/>
        <v/>
      </c>
      <c r="G207" s="77" t="str">
        <f t="shared" si="65"/>
        <v/>
      </c>
      <c r="H207" s="113"/>
      <c r="I207" s="113"/>
      <c r="J207" s="113"/>
      <c r="K207" s="124"/>
      <c r="L207" s="123"/>
      <c r="M207" s="123"/>
      <c r="N207" s="124"/>
      <c r="O207" s="300"/>
      <c r="P207" s="81"/>
      <c r="R207" s="73" t="str">
        <f t="shared" si="66"/>
        <v/>
      </c>
      <c r="S207" s="73" t="str">
        <f t="shared" si="67"/>
        <v/>
      </c>
      <c r="T207" s="73" t="str">
        <f t="shared" si="68"/>
        <v/>
      </c>
      <c r="AD207" s="73" t="s">
        <v>3083</v>
      </c>
      <c r="AE207" s="73" t="s">
        <v>3084</v>
      </c>
      <c r="AF207" s="73" t="str">
        <f t="shared" si="69"/>
        <v>A679072</v>
      </c>
      <c r="AG207" s="73" t="str">
        <f>VLOOKUP(AF207,AKT!$C$4:$E$324,3,FALSE)</f>
        <v>0942</v>
      </c>
    </row>
    <row r="208" spans="1:33">
      <c r="A208" s="82"/>
      <c r="B208" s="77" t="str">
        <f t="shared" si="62"/>
        <v/>
      </c>
      <c r="C208" s="82"/>
      <c r="D208" s="77" t="str">
        <f t="shared" si="63"/>
        <v/>
      </c>
      <c r="E208" s="114"/>
      <c r="F208" s="77" t="str">
        <f t="shared" si="64"/>
        <v/>
      </c>
      <c r="G208" s="77" t="str">
        <f t="shared" si="65"/>
        <v/>
      </c>
      <c r="H208" s="113"/>
      <c r="I208" s="113"/>
      <c r="J208" s="113"/>
      <c r="K208" s="124"/>
      <c r="L208" s="123"/>
      <c r="M208" s="123"/>
      <c r="N208" s="124"/>
      <c r="O208" s="300"/>
      <c r="P208" s="81"/>
      <c r="R208" s="73" t="str">
        <f t="shared" si="66"/>
        <v/>
      </c>
      <c r="S208" s="73" t="str">
        <f t="shared" si="67"/>
        <v/>
      </c>
      <c r="T208" s="73" t="str">
        <f t="shared" si="68"/>
        <v/>
      </c>
      <c r="AD208" s="73" t="s">
        <v>3085</v>
      </c>
      <c r="AE208" s="73" t="s">
        <v>3086</v>
      </c>
      <c r="AF208" s="73" t="str">
        <f t="shared" si="69"/>
        <v>A679072</v>
      </c>
      <c r="AG208" s="73" t="str">
        <f>VLOOKUP(AF208,AKT!$C$4:$E$324,3,FALSE)</f>
        <v>0942</v>
      </c>
    </row>
    <row r="209" spans="1:33">
      <c r="A209" s="82"/>
      <c r="B209" s="77" t="str">
        <f t="shared" si="62"/>
        <v/>
      </c>
      <c r="C209" s="82"/>
      <c r="D209" s="77" t="str">
        <f t="shared" si="63"/>
        <v/>
      </c>
      <c r="E209" s="114"/>
      <c r="F209" s="77" t="str">
        <f t="shared" si="64"/>
        <v/>
      </c>
      <c r="G209" s="77" t="str">
        <f t="shared" si="65"/>
        <v/>
      </c>
      <c r="H209" s="113"/>
      <c r="I209" s="113"/>
      <c r="J209" s="113"/>
      <c r="K209" s="124"/>
      <c r="L209" s="123"/>
      <c r="M209" s="123"/>
      <c r="N209" s="124"/>
      <c r="O209" s="300"/>
      <c r="P209" s="81"/>
      <c r="R209" s="73" t="str">
        <f t="shared" si="66"/>
        <v/>
      </c>
      <c r="S209" s="73" t="str">
        <f t="shared" si="67"/>
        <v/>
      </c>
      <c r="T209" s="73" t="str">
        <f t="shared" si="68"/>
        <v/>
      </c>
      <c r="AD209" s="73" t="s">
        <v>3087</v>
      </c>
      <c r="AE209" s="73" t="s">
        <v>3088</v>
      </c>
      <c r="AF209" s="73" t="str">
        <f t="shared" si="69"/>
        <v>A679073</v>
      </c>
      <c r="AG209" s="73" t="str">
        <f>VLOOKUP(AF209,AKT!$C$4:$E$324,3,FALSE)</f>
        <v>0942</v>
      </c>
    </row>
    <row r="210" spans="1:33">
      <c r="A210" s="82"/>
      <c r="B210" s="77" t="str">
        <f t="shared" si="62"/>
        <v/>
      </c>
      <c r="C210" s="82"/>
      <c r="D210" s="77" t="str">
        <f t="shared" si="63"/>
        <v/>
      </c>
      <c r="E210" s="114"/>
      <c r="F210" s="77" t="str">
        <f t="shared" si="64"/>
        <v/>
      </c>
      <c r="G210" s="77" t="str">
        <f t="shared" si="65"/>
        <v/>
      </c>
      <c r="H210" s="113"/>
      <c r="I210" s="113"/>
      <c r="J210" s="113"/>
      <c r="K210" s="124"/>
      <c r="L210" s="123"/>
      <c r="M210" s="123"/>
      <c r="N210" s="124"/>
      <c r="O210" s="300"/>
      <c r="P210" s="81"/>
      <c r="R210" s="73" t="str">
        <f t="shared" si="66"/>
        <v/>
      </c>
      <c r="S210" s="73" t="str">
        <f t="shared" si="67"/>
        <v/>
      </c>
      <c r="T210" s="73" t="str">
        <f t="shared" si="68"/>
        <v/>
      </c>
      <c r="AD210" s="73" t="s">
        <v>2168</v>
      </c>
      <c r="AE210" s="73" t="s">
        <v>2169</v>
      </c>
      <c r="AF210" s="73" t="str">
        <f t="shared" si="69"/>
        <v>A679073</v>
      </c>
      <c r="AG210" s="73" t="str">
        <f>VLOOKUP(AF210,AKT!$C$4:$E$324,3,FALSE)</f>
        <v>0942</v>
      </c>
    </row>
    <row r="211" spans="1:33">
      <c r="A211" s="82"/>
      <c r="B211" s="77" t="str">
        <f t="shared" si="62"/>
        <v/>
      </c>
      <c r="C211" s="82"/>
      <c r="D211" s="77" t="str">
        <f t="shared" si="63"/>
        <v/>
      </c>
      <c r="E211" s="114"/>
      <c r="F211" s="77" t="str">
        <f t="shared" si="64"/>
        <v/>
      </c>
      <c r="G211" s="77" t="str">
        <f t="shared" si="65"/>
        <v/>
      </c>
      <c r="H211" s="113"/>
      <c r="I211" s="113"/>
      <c r="J211" s="113"/>
      <c r="K211" s="124"/>
      <c r="L211" s="123"/>
      <c r="M211" s="123"/>
      <c r="N211" s="124"/>
      <c r="O211" s="300"/>
      <c r="P211" s="81"/>
      <c r="R211" s="73" t="str">
        <f t="shared" si="66"/>
        <v/>
      </c>
      <c r="S211" s="73" t="str">
        <f t="shared" si="67"/>
        <v/>
      </c>
      <c r="T211" s="73" t="str">
        <f t="shared" si="68"/>
        <v/>
      </c>
      <c r="AD211" s="73" t="s">
        <v>2170</v>
      </c>
      <c r="AE211" s="73" t="s">
        <v>2171</v>
      </c>
      <c r="AF211" s="73" t="str">
        <f t="shared" si="69"/>
        <v>A679073</v>
      </c>
      <c r="AG211" s="73" t="str">
        <f>VLOOKUP(AF211,AKT!$C$4:$E$324,3,FALSE)</f>
        <v>0942</v>
      </c>
    </row>
    <row r="212" spans="1:33">
      <c r="A212" s="82"/>
      <c r="B212" s="77" t="str">
        <f t="shared" si="62"/>
        <v/>
      </c>
      <c r="C212" s="82"/>
      <c r="D212" s="77" t="str">
        <f t="shared" si="63"/>
        <v/>
      </c>
      <c r="E212" s="114"/>
      <c r="F212" s="77" t="str">
        <f t="shared" si="64"/>
        <v/>
      </c>
      <c r="G212" s="77" t="str">
        <f t="shared" si="65"/>
        <v/>
      </c>
      <c r="H212" s="113"/>
      <c r="I212" s="113"/>
      <c r="J212" s="113"/>
      <c r="K212" s="124"/>
      <c r="L212" s="123"/>
      <c r="M212" s="123"/>
      <c r="N212" s="124"/>
      <c r="O212" s="300"/>
      <c r="P212" s="81"/>
      <c r="R212" s="73" t="str">
        <f t="shared" si="66"/>
        <v/>
      </c>
      <c r="S212" s="73" t="str">
        <f t="shared" si="67"/>
        <v/>
      </c>
      <c r="T212" s="73" t="str">
        <f t="shared" si="68"/>
        <v/>
      </c>
      <c r="AD212" s="73" t="s">
        <v>2172</v>
      </c>
      <c r="AE212" s="73" t="s">
        <v>2173</v>
      </c>
      <c r="AF212" s="73" t="str">
        <f t="shared" si="69"/>
        <v>A679073</v>
      </c>
      <c r="AG212" s="73" t="str">
        <f>VLOOKUP(AF212,AKT!$C$4:$E$324,3,FALSE)</f>
        <v>0942</v>
      </c>
    </row>
    <row r="213" spans="1:33">
      <c r="A213" s="82"/>
      <c r="B213" s="77" t="str">
        <f t="shared" si="62"/>
        <v/>
      </c>
      <c r="C213" s="82"/>
      <c r="D213" s="77" t="str">
        <f t="shared" si="63"/>
        <v/>
      </c>
      <c r="E213" s="114"/>
      <c r="F213" s="77" t="str">
        <f t="shared" si="64"/>
        <v/>
      </c>
      <c r="G213" s="77" t="str">
        <f t="shared" si="65"/>
        <v/>
      </c>
      <c r="H213" s="113"/>
      <c r="I213" s="113"/>
      <c r="J213" s="113"/>
      <c r="K213" s="124"/>
      <c r="L213" s="123"/>
      <c r="M213" s="123"/>
      <c r="N213" s="124"/>
      <c r="O213" s="300"/>
      <c r="P213" s="81"/>
      <c r="R213" s="73" t="str">
        <f t="shared" si="66"/>
        <v/>
      </c>
      <c r="S213" s="73" t="str">
        <f t="shared" si="67"/>
        <v/>
      </c>
      <c r="T213" s="73" t="str">
        <f t="shared" si="68"/>
        <v/>
      </c>
      <c r="AD213" s="73" t="s">
        <v>2174</v>
      </c>
      <c r="AE213" s="73" t="s">
        <v>2175</v>
      </c>
      <c r="AF213" s="73" t="str">
        <f t="shared" si="69"/>
        <v>A679073</v>
      </c>
      <c r="AG213" s="73" t="str">
        <f>VLOOKUP(AF213,AKT!$C$4:$E$324,3,FALSE)</f>
        <v>0942</v>
      </c>
    </row>
    <row r="214" spans="1:33">
      <c r="A214" s="82"/>
      <c r="B214" s="77" t="str">
        <f t="shared" si="62"/>
        <v/>
      </c>
      <c r="C214" s="82"/>
      <c r="D214" s="77" t="str">
        <f t="shared" si="63"/>
        <v/>
      </c>
      <c r="E214" s="114"/>
      <c r="F214" s="77" t="str">
        <f t="shared" si="64"/>
        <v/>
      </c>
      <c r="G214" s="77" t="str">
        <f t="shared" si="65"/>
        <v/>
      </c>
      <c r="H214" s="113"/>
      <c r="I214" s="113"/>
      <c r="J214" s="113"/>
      <c r="K214" s="124"/>
      <c r="L214" s="123"/>
      <c r="M214" s="123"/>
      <c r="N214" s="124"/>
      <c r="O214" s="300"/>
      <c r="P214" s="81"/>
      <c r="R214" s="73" t="str">
        <f t="shared" si="66"/>
        <v/>
      </c>
      <c r="S214" s="73" t="str">
        <f t="shared" si="67"/>
        <v/>
      </c>
      <c r="T214" s="73" t="str">
        <f t="shared" si="68"/>
        <v/>
      </c>
      <c r="AD214" s="73" t="s">
        <v>2176</v>
      </c>
      <c r="AE214" s="73" t="s">
        <v>2177</v>
      </c>
      <c r="AF214" s="73" t="str">
        <f t="shared" si="69"/>
        <v>A679073</v>
      </c>
      <c r="AG214" s="73" t="str">
        <f>VLOOKUP(AF214,AKT!$C$4:$E$324,3,FALSE)</f>
        <v>0942</v>
      </c>
    </row>
    <row r="215" spans="1:33">
      <c r="A215" s="82"/>
      <c r="B215" s="77" t="str">
        <f t="shared" si="62"/>
        <v/>
      </c>
      <c r="C215" s="82"/>
      <c r="D215" s="77" t="str">
        <f t="shared" si="63"/>
        <v/>
      </c>
      <c r="E215" s="114"/>
      <c r="F215" s="77" t="str">
        <f t="shared" si="64"/>
        <v/>
      </c>
      <c r="G215" s="77" t="str">
        <f t="shared" si="65"/>
        <v/>
      </c>
      <c r="H215" s="113"/>
      <c r="I215" s="113"/>
      <c r="J215" s="113"/>
      <c r="K215" s="124"/>
      <c r="L215" s="123"/>
      <c r="M215" s="123"/>
      <c r="N215" s="124"/>
      <c r="O215" s="300"/>
      <c r="P215" s="81"/>
      <c r="R215" s="73" t="str">
        <f t="shared" si="66"/>
        <v/>
      </c>
      <c r="S215" s="73" t="str">
        <f t="shared" si="67"/>
        <v/>
      </c>
      <c r="T215" s="73" t="str">
        <f t="shared" si="68"/>
        <v/>
      </c>
      <c r="AD215" s="73" t="s">
        <v>2178</v>
      </c>
      <c r="AE215" s="73" t="s">
        <v>2179</v>
      </c>
      <c r="AF215" s="73" t="str">
        <f t="shared" si="69"/>
        <v>A679073</v>
      </c>
      <c r="AG215" s="73" t="str">
        <f>VLOOKUP(AF215,AKT!$C$4:$E$324,3,FALSE)</f>
        <v>0942</v>
      </c>
    </row>
    <row r="216" spans="1:33">
      <c r="A216" s="82"/>
      <c r="B216" s="77" t="str">
        <f t="shared" si="62"/>
        <v/>
      </c>
      <c r="C216" s="82"/>
      <c r="D216" s="77" t="str">
        <f t="shared" si="63"/>
        <v/>
      </c>
      <c r="E216" s="114"/>
      <c r="F216" s="77" t="str">
        <f t="shared" si="64"/>
        <v/>
      </c>
      <c r="G216" s="77" t="str">
        <f t="shared" si="65"/>
        <v/>
      </c>
      <c r="H216" s="113"/>
      <c r="I216" s="113"/>
      <c r="J216" s="113"/>
      <c r="K216" s="124"/>
      <c r="L216" s="123"/>
      <c r="M216" s="123"/>
      <c r="N216" s="124"/>
      <c r="O216" s="300"/>
      <c r="P216" s="81"/>
      <c r="R216" s="73" t="str">
        <f t="shared" si="66"/>
        <v/>
      </c>
      <c r="S216" s="73" t="str">
        <f t="shared" si="67"/>
        <v/>
      </c>
      <c r="T216" s="73" t="str">
        <f t="shared" si="68"/>
        <v/>
      </c>
      <c r="AD216" s="73" t="s">
        <v>2180</v>
      </c>
      <c r="AE216" s="73" t="s">
        <v>2181</v>
      </c>
      <c r="AF216" s="73" t="str">
        <f t="shared" si="69"/>
        <v>A679073</v>
      </c>
      <c r="AG216" s="73" t="str">
        <f>VLOOKUP(AF216,AKT!$C$4:$E$324,3,FALSE)</f>
        <v>0942</v>
      </c>
    </row>
    <row r="217" spans="1:33">
      <c r="A217" s="82"/>
      <c r="B217" s="77" t="str">
        <f t="shared" si="62"/>
        <v/>
      </c>
      <c r="C217" s="82"/>
      <c r="D217" s="77" t="str">
        <f t="shared" si="63"/>
        <v/>
      </c>
      <c r="E217" s="114"/>
      <c r="F217" s="77" t="str">
        <f t="shared" si="64"/>
        <v/>
      </c>
      <c r="G217" s="77" t="str">
        <f t="shared" si="65"/>
        <v/>
      </c>
      <c r="H217" s="113"/>
      <c r="I217" s="113"/>
      <c r="J217" s="113"/>
      <c r="K217" s="124"/>
      <c r="L217" s="123"/>
      <c r="M217" s="123"/>
      <c r="N217" s="124"/>
      <c r="O217" s="300"/>
      <c r="P217" s="81"/>
      <c r="R217" s="73" t="str">
        <f t="shared" si="66"/>
        <v/>
      </c>
      <c r="S217" s="73" t="str">
        <f t="shared" si="67"/>
        <v/>
      </c>
      <c r="T217" s="73" t="str">
        <f t="shared" si="68"/>
        <v/>
      </c>
      <c r="AD217" s="73" t="s">
        <v>2182</v>
      </c>
      <c r="AE217" s="73" t="s">
        <v>2183</v>
      </c>
      <c r="AF217" s="73" t="str">
        <f t="shared" si="69"/>
        <v>A679073</v>
      </c>
      <c r="AG217" s="73" t="str">
        <f>VLOOKUP(AF217,AKT!$C$4:$E$324,3,FALSE)</f>
        <v>0942</v>
      </c>
    </row>
    <row r="218" spans="1:33">
      <c r="A218" s="82"/>
      <c r="B218" s="77" t="str">
        <f t="shared" si="62"/>
        <v/>
      </c>
      <c r="C218" s="82"/>
      <c r="D218" s="77" t="str">
        <f t="shared" si="63"/>
        <v/>
      </c>
      <c r="E218" s="114"/>
      <c r="F218" s="77" t="str">
        <f t="shared" si="64"/>
        <v/>
      </c>
      <c r="G218" s="77" t="str">
        <f t="shared" si="65"/>
        <v/>
      </c>
      <c r="H218" s="113"/>
      <c r="I218" s="113"/>
      <c r="J218" s="113"/>
      <c r="K218" s="124"/>
      <c r="L218" s="123"/>
      <c r="M218" s="123"/>
      <c r="N218" s="124"/>
      <c r="O218" s="300"/>
      <c r="P218" s="81"/>
      <c r="R218" s="73" t="str">
        <f t="shared" si="66"/>
        <v/>
      </c>
      <c r="S218" s="73" t="str">
        <f t="shared" si="67"/>
        <v/>
      </c>
      <c r="T218" s="73" t="str">
        <f t="shared" si="68"/>
        <v/>
      </c>
      <c r="AD218" s="73" t="s">
        <v>2184</v>
      </c>
      <c r="AE218" s="73" t="s">
        <v>2185</v>
      </c>
      <c r="AF218" s="73" t="str">
        <f t="shared" si="69"/>
        <v>A679073</v>
      </c>
      <c r="AG218" s="73" t="str">
        <f>VLOOKUP(AF218,AKT!$C$4:$E$324,3,FALSE)</f>
        <v>0942</v>
      </c>
    </row>
    <row r="219" spans="1:33">
      <c r="A219" s="82"/>
      <c r="B219" s="77" t="str">
        <f t="shared" si="62"/>
        <v/>
      </c>
      <c r="C219" s="82"/>
      <c r="D219" s="77" t="str">
        <f t="shared" si="63"/>
        <v/>
      </c>
      <c r="E219" s="114"/>
      <c r="F219" s="77" t="str">
        <f t="shared" si="64"/>
        <v/>
      </c>
      <c r="G219" s="77" t="str">
        <f t="shared" si="65"/>
        <v/>
      </c>
      <c r="H219" s="113"/>
      <c r="I219" s="113"/>
      <c r="J219" s="113"/>
      <c r="K219" s="124"/>
      <c r="L219" s="123"/>
      <c r="M219" s="123"/>
      <c r="N219" s="124"/>
      <c r="O219" s="300"/>
      <c r="P219" s="81"/>
      <c r="R219" s="73" t="str">
        <f t="shared" si="66"/>
        <v/>
      </c>
      <c r="S219" s="73" t="str">
        <f t="shared" si="67"/>
        <v/>
      </c>
      <c r="T219" s="73" t="str">
        <f t="shared" si="68"/>
        <v/>
      </c>
      <c r="AD219" s="73" t="s">
        <v>2186</v>
      </c>
      <c r="AE219" s="73" t="s">
        <v>2187</v>
      </c>
      <c r="AF219" s="73" t="str">
        <f t="shared" si="69"/>
        <v>A679073</v>
      </c>
      <c r="AG219" s="73" t="str">
        <f>VLOOKUP(AF219,AKT!$C$4:$E$324,3,FALSE)</f>
        <v>0942</v>
      </c>
    </row>
    <row r="220" spans="1:33">
      <c r="A220" s="82"/>
      <c r="B220" s="77" t="str">
        <f t="shared" si="62"/>
        <v/>
      </c>
      <c r="C220" s="82"/>
      <c r="D220" s="77" t="str">
        <f t="shared" si="63"/>
        <v/>
      </c>
      <c r="E220" s="114"/>
      <c r="F220" s="77" t="str">
        <f t="shared" si="64"/>
        <v/>
      </c>
      <c r="G220" s="77" t="str">
        <f t="shared" si="65"/>
        <v/>
      </c>
      <c r="H220" s="113"/>
      <c r="I220" s="113"/>
      <c r="J220" s="113"/>
      <c r="K220" s="124"/>
      <c r="L220" s="123"/>
      <c r="M220" s="123"/>
      <c r="N220" s="124"/>
      <c r="O220" s="300"/>
      <c r="P220" s="81"/>
      <c r="R220" s="73" t="str">
        <f t="shared" si="66"/>
        <v/>
      </c>
      <c r="S220" s="73" t="str">
        <f t="shared" si="67"/>
        <v/>
      </c>
      <c r="T220" s="73" t="str">
        <f t="shared" si="68"/>
        <v/>
      </c>
      <c r="AD220" s="73" t="s">
        <v>2188</v>
      </c>
      <c r="AE220" s="73" t="s">
        <v>2189</v>
      </c>
      <c r="AF220" s="73" t="str">
        <f t="shared" si="69"/>
        <v>A679073</v>
      </c>
      <c r="AG220" s="73" t="str">
        <f>VLOOKUP(AF220,AKT!$C$4:$E$324,3,FALSE)</f>
        <v>0942</v>
      </c>
    </row>
    <row r="221" spans="1:33">
      <c r="A221" s="82"/>
      <c r="B221" s="77" t="str">
        <f t="shared" si="62"/>
        <v/>
      </c>
      <c r="C221" s="82"/>
      <c r="D221" s="77" t="str">
        <f t="shared" si="63"/>
        <v/>
      </c>
      <c r="E221" s="114"/>
      <c r="F221" s="77" t="str">
        <f t="shared" si="64"/>
        <v/>
      </c>
      <c r="G221" s="77" t="str">
        <f t="shared" si="65"/>
        <v/>
      </c>
      <c r="H221" s="113"/>
      <c r="I221" s="113"/>
      <c r="J221" s="113"/>
      <c r="K221" s="124"/>
      <c r="L221" s="123"/>
      <c r="M221" s="123"/>
      <c r="N221" s="124"/>
      <c r="O221" s="300"/>
      <c r="P221" s="81"/>
      <c r="R221" s="73" t="str">
        <f t="shared" si="66"/>
        <v/>
      </c>
      <c r="S221" s="73" t="str">
        <f t="shared" si="67"/>
        <v/>
      </c>
      <c r="T221" s="73" t="str">
        <f t="shared" si="68"/>
        <v/>
      </c>
      <c r="AD221" s="73" t="s">
        <v>2190</v>
      </c>
      <c r="AE221" s="73" t="s">
        <v>2191</v>
      </c>
      <c r="AF221" s="73" t="str">
        <f t="shared" si="69"/>
        <v>A679073</v>
      </c>
      <c r="AG221" s="73" t="str">
        <f>VLOOKUP(AF221,AKT!$C$4:$E$324,3,FALSE)</f>
        <v>0942</v>
      </c>
    </row>
    <row r="222" spans="1:33">
      <c r="A222" s="82"/>
      <c r="B222" s="77" t="str">
        <f t="shared" si="62"/>
        <v/>
      </c>
      <c r="C222" s="82"/>
      <c r="D222" s="77" t="str">
        <f t="shared" si="63"/>
        <v/>
      </c>
      <c r="E222" s="114"/>
      <c r="F222" s="77" t="str">
        <f t="shared" si="64"/>
        <v/>
      </c>
      <c r="G222" s="77" t="str">
        <f t="shared" si="65"/>
        <v/>
      </c>
      <c r="H222" s="113"/>
      <c r="I222" s="113"/>
      <c r="J222" s="113"/>
      <c r="K222" s="124"/>
      <c r="L222" s="123"/>
      <c r="M222" s="123"/>
      <c r="N222" s="124"/>
      <c r="O222" s="300"/>
      <c r="P222" s="81"/>
      <c r="R222" s="73" t="str">
        <f t="shared" si="66"/>
        <v/>
      </c>
      <c r="S222" s="73" t="str">
        <f t="shared" si="67"/>
        <v/>
      </c>
      <c r="T222" s="73" t="str">
        <f t="shared" si="68"/>
        <v/>
      </c>
      <c r="AD222" s="73" t="s">
        <v>2192</v>
      </c>
      <c r="AE222" s="73" t="s">
        <v>2193</v>
      </c>
      <c r="AF222" s="73" t="str">
        <f t="shared" si="69"/>
        <v>A679073</v>
      </c>
      <c r="AG222" s="73" t="str">
        <f>VLOOKUP(AF222,AKT!$C$4:$E$324,3,FALSE)</f>
        <v>0942</v>
      </c>
    </row>
    <row r="223" spans="1:33">
      <c r="A223" s="82"/>
      <c r="B223" s="77" t="str">
        <f t="shared" si="62"/>
        <v/>
      </c>
      <c r="C223" s="82"/>
      <c r="D223" s="77" t="str">
        <f t="shared" si="63"/>
        <v/>
      </c>
      <c r="E223" s="114"/>
      <c r="F223" s="77" t="str">
        <f t="shared" si="64"/>
        <v/>
      </c>
      <c r="G223" s="77" t="str">
        <f t="shared" si="65"/>
        <v/>
      </c>
      <c r="H223" s="113"/>
      <c r="I223" s="113"/>
      <c r="J223" s="113"/>
      <c r="K223" s="124"/>
      <c r="L223" s="123"/>
      <c r="M223" s="123"/>
      <c r="N223" s="124"/>
      <c r="O223" s="300"/>
      <c r="P223" s="81"/>
      <c r="R223" s="73" t="str">
        <f t="shared" si="66"/>
        <v/>
      </c>
      <c r="S223" s="73" t="str">
        <f t="shared" si="67"/>
        <v/>
      </c>
      <c r="T223" s="73" t="str">
        <f t="shared" si="68"/>
        <v/>
      </c>
      <c r="AD223" s="73" t="s">
        <v>2194</v>
      </c>
      <c r="AE223" s="73" t="s">
        <v>2195</v>
      </c>
      <c r="AF223" s="73" t="str">
        <f t="shared" si="69"/>
        <v>A679073</v>
      </c>
      <c r="AG223" s="73" t="str">
        <f>VLOOKUP(AF223,AKT!$C$4:$E$324,3,FALSE)</f>
        <v>0942</v>
      </c>
    </row>
    <row r="224" spans="1:33">
      <c r="A224" s="82"/>
      <c r="B224" s="77" t="str">
        <f t="shared" si="62"/>
        <v/>
      </c>
      <c r="C224" s="82"/>
      <c r="D224" s="77" t="str">
        <f t="shared" si="63"/>
        <v/>
      </c>
      <c r="E224" s="114"/>
      <c r="F224" s="77" t="str">
        <f t="shared" si="64"/>
        <v/>
      </c>
      <c r="G224" s="77" t="str">
        <f t="shared" si="65"/>
        <v/>
      </c>
      <c r="H224" s="113"/>
      <c r="I224" s="113"/>
      <c r="J224" s="113"/>
      <c r="K224" s="124"/>
      <c r="L224" s="123"/>
      <c r="M224" s="123"/>
      <c r="N224" s="124"/>
      <c r="O224" s="300"/>
      <c r="P224" s="81"/>
      <c r="R224" s="73" t="str">
        <f t="shared" si="66"/>
        <v/>
      </c>
      <c r="S224" s="73" t="str">
        <f t="shared" si="67"/>
        <v/>
      </c>
      <c r="T224" s="73" t="str">
        <f t="shared" si="68"/>
        <v/>
      </c>
      <c r="AD224" s="73" t="s">
        <v>3089</v>
      </c>
      <c r="AE224" s="73" t="s">
        <v>3090</v>
      </c>
      <c r="AF224" s="73" t="str">
        <f t="shared" si="69"/>
        <v>A679073</v>
      </c>
      <c r="AG224" s="73" t="str">
        <f>VLOOKUP(AF224,AKT!$C$4:$E$324,3,FALSE)</f>
        <v>0942</v>
      </c>
    </row>
    <row r="225" spans="1:33">
      <c r="A225" s="82"/>
      <c r="B225" s="77" t="str">
        <f t="shared" si="62"/>
        <v/>
      </c>
      <c r="C225" s="82"/>
      <c r="D225" s="77" t="str">
        <f t="shared" si="63"/>
        <v/>
      </c>
      <c r="E225" s="114"/>
      <c r="F225" s="77" t="str">
        <f t="shared" si="64"/>
        <v/>
      </c>
      <c r="G225" s="77" t="str">
        <f t="shared" si="65"/>
        <v/>
      </c>
      <c r="H225" s="113"/>
      <c r="I225" s="113"/>
      <c r="J225" s="113"/>
      <c r="K225" s="124"/>
      <c r="L225" s="123"/>
      <c r="M225" s="123"/>
      <c r="N225" s="124"/>
      <c r="O225" s="300"/>
      <c r="P225" s="81"/>
      <c r="R225" s="73" t="str">
        <f t="shared" si="66"/>
        <v/>
      </c>
      <c r="S225" s="73" t="str">
        <f t="shared" si="67"/>
        <v/>
      </c>
      <c r="T225" s="73" t="str">
        <f t="shared" si="68"/>
        <v/>
      </c>
      <c r="AD225" s="73" t="s">
        <v>3091</v>
      </c>
      <c r="AE225" s="73" t="s">
        <v>3092</v>
      </c>
      <c r="AF225" s="73" t="str">
        <f t="shared" si="69"/>
        <v>A679073</v>
      </c>
      <c r="AG225" s="73" t="str">
        <f>VLOOKUP(AF225,AKT!$C$4:$E$324,3,FALSE)</f>
        <v>0942</v>
      </c>
    </row>
    <row r="226" spans="1:33">
      <c r="A226" s="82"/>
      <c r="B226" s="77" t="str">
        <f t="shared" si="62"/>
        <v/>
      </c>
      <c r="C226" s="82"/>
      <c r="D226" s="77" t="str">
        <f t="shared" si="63"/>
        <v/>
      </c>
      <c r="E226" s="114"/>
      <c r="F226" s="77" t="str">
        <f t="shared" si="64"/>
        <v/>
      </c>
      <c r="G226" s="77" t="str">
        <f t="shared" si="65"/>
        <v/>
      </c>
      <c r="H226" s="113"/>
      <c r="I226" s="113"/>
      <c r="J226" s="113"/>
      <c r="K226" s="124"/>
      <c r="L226" s="123"/>
      <c r="M226" s="123"/>
      <c r="N226" s="124"/>
      <c r="O226" s="300"/>
      <c r="P226" s="81"/>
      <c r="R226" s="73" t="str">
        <f t="shared" si="66"/>
        <v/>
      </c>
      <c r="S226" s="73" t="str">
        <f t="shared" si="67"/>
        <v/>
      </c>
      <c r="T226" s="73" t="str">
        <f t="shared" si="68"/>
        <v/>
      </c>
      <c r="AD226" s="73" t="s">
        <v>3093</v>
      </c>
      <c r="AE226" s="73" t="s">
        <v>3094</v>
      </c>
      <c r="AF226" s="73" t="str">
        <f t="shared" si="69"/>
        <v>A679073</v>
      </c>
      <c r="AG226" s="73" t="str">
        <f>VLOOKUP(AF226,AKT!$C$4:$E$324,3,FALSE)</f>
        <v>0942</v>
      </c>
    </row>
    <row r="227" spans="1:33">
      <c r="A227" s="82"/>
      <c r="B227" s="77" t="str">
        <f t="shared" ref="B227:B290" si="70">IFERROR(VLOOKUP(A227,$U$7:$V$21,2,FALSE),"")</f>
        <v/>
      </c>
      <c r="C227" s="82"/>
      <c r="D227" s="77" t="str">
        <f t="shared" ref="D227:D290" si="71">IFERROR(VLOOKUP(C227,$X$6:$Z$120,2,FALSE),"")</f>
        <v/>
      </c>
      <c r="E227" s="114"/>
      <c r="F227" s="77" t="str">
        <f t="shared" ref="F227:F290" si="72">IFERROR(VLOOKUP(E227,$AD$7:$AE$1081,2,FALSE),"")</f>
        <v/>
      </c>
      <c r="G227" s="77" t="str">
        <f t="shared" ref="G227:G290" si="73">IFERROR(VLOOKUP(E227,$AD$7:$AG$1081,4,FALSE),"")</f>
        <v/>
      </c>
      <c r="H227" s="113"/>
      <c r="I227" s="113"/>
      <c r="J227" s="113"/>
      <c r="K227" s="124"/>
      <c r="L227" s="123"/>
      <c r="M227" s="123"/>
      <c r="N227" s="124"/>
      <c r="O227" s="300"/>
      <c r="P227" s="81"/>
      <c r="R227" s="73" t="str">
        <f t="shared" si="66"/>
        <v/>
      </c>
      <c r="S227" s="73" t="str">
        <f t="shared" si="67"/>
        <v/>
      </c>
      <c r="T227" s="73" t="str">
        <f t="shared" si="68"/>
        <v/>
      </c>
      <c r="AD227" s="73" t="s">
        <v>3095</v>
      </c>
      <c r="AE227" s="73" t="s">
        <v>3096</v>
      </c>
      <c r="AF227" s="73" t="str">
        <f t="shared" si="69"/>
        <v>A679074</v>
      </c>
      <c r="AG227" s="73" t="str">
        <f>VLOOKUP(AF227,AKT!$C$4:$E$324,3,FALSE)</f>
        <v>0942</v>
      </c>
    </row>
    <row r="228" spans="1:33">
      <c r="A228" s="82"/>
      <c r="B228" s="77" t="str">
        <f t="shared" si="70"/>
        <v/>
      </c>
      <c r="C228" s="82"/>
      <c r="D228" s="77" t="str">
        <f t="shared" si="71"/>
        <v/>
      </c>
      <c r="E228" s="114"/>
      <c r="F228" s="77" t="str">
        <f t="shared" si="72"/>
        <v/>
      </c>
      <c r="G228" s="77" t="str">
        <f t="shared" si="73"/>
        <v/>
      </c>
      <c r="H228" s="113"/>
      <c r="I228" s="113"/>
      <c r="J228" s="113"/>
      <c r="K228" s="124"/>
      <c r="L228" s="123"/>
      <c r="M228" s="123"/>
      <c r="N228" s="124"/>
      <c r="O228" s="300"/>
      <c r="P228" s="81"/>
      <c r="R228" s="73" t="str">
        <f t="shared" si="66"/>
        <v/>
      </c>
      <c r="S228" s="73" t="str">
        <f t="shared" si="67"/>
        <v/>
      </c>
      <c r="T228" s="73" t="str">
        <f t="shared" si="68"/>
        <v/>
      </c>
      <c r="AD228" s="73" t="s">
        <v>733</v>
      </c>
      <c r="AE228" s="73" t="s">
        <v>734</v>
      </c>
      <c r="AF228" s="73" t="str">
        <f t="shared" si="69"/>
        <v>A679074</v>
      </c>
      <c r="AG228" s="73" t="str">
        <f>VLOOKUP(AF228,AKT!$C$4:$E$324,3,FALSE)</f>
        <v>0942</v>
      </c>
    </row>
    <row r="229" spans="1:33">
      <c r="A229" s="82"/>
      <c r="B229" s="77" t="str">
        <f t="shared" si="70"/>
        <v/>
      </c>
      <c r="C229" s="82"/>
      <c r="D229" s="77" t="str">
        <f t="shared" si="71"/>
        <v/>
      </c>
      <c r="E229" s="114"/>
      <c r="F229" s="77" t="str">
        <f t="shared" si="72"/>
        <v/>
      </c>
      <c r="G229" s="77" t="str">
        <f t="shared" si="73"/>
        <v/>
      </c>
      <c r="H229" s="113"/>
      <c r="I229" s="113"/>
      <c r="J229" s="113"/>
      <c r="K229" s="124"/>
      <c r="L229" s="123"/>
      <c r="M229" s="123"/>
      <c r="N229" s="124"/>
      <c r="O229" s="300"/>
      <c r="P229" s="81"/>
      <c r="R229" s="73" t="str">
        <f t="shared" si="66"/>
        <v/>
      </c>
      <c r="S229" s="73" t="str">
        <f t="shared" si="67"/>
        <v/>
      </c>
      <c r="T229" s="73" t="str">
        <f t="shared" si="68"/>
        <v/>
      </c>
      <c r="AD229" s="73" t="s">
        <v>735</v>
      </c>
      <c r="AE229" s="73" t="s">
        <v>736</v>
      </c>
      <c r="AF229" s="73" t="str">
        <f t="shared" si="69"/>
        <v>A679074</v>
      </c>
      <c r="AG229" s="73" t="str">
        <f>VLOOKUP(AF229,AKT!$C$4:$E$324,3,FALSE)</f>
        <v>0942</v>
      </c>
    </row>
    <row r="230" spans="1:33">
      <c r="A230" s="82"/>
      <c r="B230" s="77" t="str">
        <f t="shared" si="70"/>
        <v/>
      </c>
      <c r="C230" s="82"/>
      <c r="D230" s="77" t="str">
        <f t="shared" si="71"/>
        <v/>
      </c>
      <c r="E230" s="114"/>
      <c r="F230" s="77" t="str">
        <f t="shared" si="72"/>
        <v/>
      </c>
      <c r="G230" s="77" t="str">
        <f t="shared" si="73"/>
        <v/>
      </c>
      <c r="H230" s="113"/>
      <c r="I230" s="113"/>
      <c r="J230" s="113"/>
      <c r="K230" s="124"/>
      <c r="L230" s="123"/>
      <c r="M230" s="123"/>
      <c r="N230" s="124"/>
      <c r="O230" s="300"/>
      <c r="P230" s="81"/>
      <c r="R230" s="73" t="str">
        <f t="shared" si="66"/>
        <v/>
      </c>
      <c r="S230" s="73" t="str">
        <f t="shared" si="67"/>
        <v/>
      </c>
      <c r="T230" s="73" t="str">
        <f t="shared" si="68"/>
        <v/>
      </c>
      <c r="AD230" s="73" t="s">
        <v>737</v>
      </c>
      <c r="AE230" s="73" t="s">
        <v>738</v>
      </c>
      <c r="AF230" s="73" t="str">
        <f t="shared" si="69"/>
        <v>A679074</v>
      </c>
      <c r="AG230" s="73" t="str">
        <f>VLOOKUP(AF230,AKT!$C$4:$E$324,3,FALSE)</f>
        <v>0942</v>
      </c>
    </row>
    <row r="231" spans="1:33">
      <c r="A231" s="82"/>
      <c r="B231" s="77" t="str">
        <f t="shared" si="70"/>
        <v/>
      </c>
      <c r="C231" s="82"/>
      <c r="D231" s="77" t="str">
        <f t="shared" si="71"/>
        <v/>
      </c>
      <c r="E231" s="114"/>
      <c r="F231" s="77" t="str">
        <f t="shared" si="72"/>
        <v/>
      </c>
      <c r="G231" s="77" t="str">
        <f t="shared" si="73"/>
        <v/>
      </c>
      <c r="H231" s="113"/>
      <c r="I231" s="113"/>
      <c r="J231" s="113"/>
      <c r="K231" s="124"/>
      <c r="L231" s="123"/>
      <c r="M231" s="123"/>
      <c r="N231" s="124"/>
      <c r="O231" s="300"/>
      <c r="P231" s="81"/>
      <c r="R231" s="73" t="str">
        <f t="shared" si="66"/>
        <v/>
      </c>
      <c r="S231" s="73" t="str">
        <f t="shared" si="67"/>
        <v/>
      </c>
      <c r="T231" s="73" t="str">
        <f t="shared" si="68"/>
        <v/>
      </c>
      <c r="AD231" s="73" t="s">
        <v>739</v>
      </c>
      <c r="AE231" s="73" t="s">
        <v>740</v>
      </c>
      <c r="AF231" s="73" t="str">
        <f t="shared" si="69"/>
        <v>A679074</v>
      </c>
      <c r="AG231" s="73" t="str">
        <f>VLOOKUP(AF231,AKT!$C$4:$E$324,3,FALSE)</f>
        <v>0942</v>
      </c>
    </row>
    <row r="232" spans="1:33">
      <c r="A232" s="82"/>
      <c r="B232" s="77" t="str">
        <f t="shared" si="70"/>
        <v/>
      </c>
      <c r="C232" s="82"/>
      <c r="D232" s="77" t="str">
        <f t="shared" si="71"/>
        <v/>
      </c>
      <c r="E232" s="114"/>
      <c r="F232" s="77" t="str">
        <f t="shared" si="72"/>
        <v/>
      </c>
      <c r="G232" s="77" t="str">
        <f t="shared" si="73"/>
        <v/>
      </c>
      <c r="H232" s="113"/>
      <c r="I232" s="113"/>
      <c r="J232" s="113"/>
      <c r="K232" s="124"/>
      <c r="L232" s="123"/>
      <c r="M232" s="123"/>
      <c r="N232" s="124"/>
      <c r="O232" s="300"/>
      <c r="P232" s="81"/>
      <c r="R232" s="73" t="str">
        <f t="shared" si="66"/>
        <v/>
      </c>
      <c r="S232" s="73" t="str">
        <f t="shared" si="67"/>
        <v/>
      </c>
      <c r="T232" s="73" t="str">
        <f t="shared" si="68"/>
        <v/>
      </c>
      <c r="AD232" s="73" t="s">
        <v>741</v>
      </c>
      <c r="AE232" s="73" t="s">
        <v>742</v>
      </c>
      <c r="AF232" s="73" t="str">
        <f t="shared" si="69"/>
        <v>A679074</v>
      </c>
      <c r="AG232" s="73" t="str">
        <f>VLOOKUP(AF232,AKT!$C$4:$E$324,3,FALSE)</f>
        <v>0942</v>
      </c>
    </row>
    <row r="233" spans="1:33">
      <c r="A233" s="82"/>
      <c r="B233" s="77" t="str">
        <f t="shared" si="70"/>
        <v/>
      </c>
      <c r="C233" s="82"/>
      <c r="D233" s="77" t="str">
        <f t="shared" si="71"/>
        <v/>
      </c>
      <c r="E233" s="114"/>
      <c r="F233" s="77" t="str">
        <f t="shared" si="72"/>
        <v/>
      </c>
      <c r="G233" s="77" t="str">
        <f t="shared" si="73"/>
        <v/>
      </c>
      <c r="H233" s="113"/>
      <c r="I233" s="113"/>
      <c r="J233" s="113"/>
      <c r="K233" s="124"/>
      <c r="L233" s="123"/>
      <c r="M233" s="123"/>
      <c r="N233" s="124"/>
      <c r="O233" s="300"/>
      <c r="P233" s="81"/>
      <c r="R233" s="73" t="str">
        <f t="shared" si="66"/>
        <v/>
      </c>
      <c r="S233" s="73" t="str">
        <f t="shared" si="67"/>
        <v/>
      </c>
      <c r="T233" s="73" t="str">
        <f t="shared" si="68"/>
        <v/>
      </c>
      <c r="AD233" s="73" t="s">
        <v>743</v>
      </c>
      <c r="AE233" s="73" t="s">
        <v>744</v>
      </c>
      <c r="AF233" s="73" t="str">
        <f t="shared" si="69"/>
        <v>A679074</v>
      </c>
      <c r="AG233" s="73" t="str">
        <f>VLOOKUP(AF233,AKT!$C$4:$E$324,3,FALSE)</f>
        <v>0942</v>
      </c>
    </row>
    <row r="234" spans="1:33">
      <c r="A234" s="82"/>
      <c r="B234" s="77" t="str">
        <f t="shared" si="70"/>
        <v/>
      </c>
      <c r="C234" s="82"/>
      <c r="D234" s="77" t="str">
        <f t="shared" si="71"/>
        <v/>
      </c>
      <c r="E234" s="114"/>
      <c r="F234" s="77" t="str">
        <f t="shared" si="72"/>
        <v/>
      </c>
      <c r="G234" s="77" t="str">
        <f t="shared" si="73"/>
        <v/>
      </c>
      <c r="H234" s="113"/>
      <c r="I234" s="113"/>
      <c r="J234" s="113"/>
      <c r="K234" s="124"/>
      <c r="L234" s="123"/>
      <c r="M234" s="123"/>
      <c r="N234" s="124"/>
      <c r="O234" s="300"/>
      <c r="P234" s="81"/>
      <c r="R234" s="73" t="str">
        <f t="shared" si="66"/>
        <v/>
      </c>
      <c r="S234" s="73" t="str">
        <f t="shared" si="67"/>
        <v/>
      </c>
      <c r="T234" s="73" t="str">
        <f t="shared" si="68"/>
        <v/>
      </c>
      <c r="AD234" s="73" t="s">
        <v>745</v>
      </c>
      <c r="AE234" s="73" t="s">
        <v>746</v>
      </c>
      <c r="AF234" s="73" t="str">
        <f t="shared" si="69"/>
        <v>A679074</v>
      </c>
      <c r="AG234" s="73" t="str">
        <f>VLOOKUP(AF234,AKT!$C$4:$E$324,3,FALSE)</f>
        <v>0942</v>
      </c>
    </row>
    <row r="235" spans="1:33">
      <c r="A235" s="82"/>
      <c r="B235" s="77" t="str">
        <f t="shared" si="70"/>
        <v/>
      </c>
      <c r="C235" s="82"/>
      <c r="D235" s="77" t="str">
        <f t="shared" si="71"/>
        <v/>
      </c>
      <c r="E235" s="114"/>
      <c r="F235" s="77" t="str">
        <f t="shared" si="72"/>
        <v/>
      </c>
      <c r="G235" s="77" t="str">
        <f t="shared" si="73"/>
        <v/>
      </c>
      <c r="H235" s="113"/>
      <c r="I235" s="113"/>
      <c r="J235" s="113"/>
      <c r="K235" s="124"/>
      <c r="L235" s="123"/>
      <c r="M235" s="123"/>
      <c r="N235" s="124"/>
      <c r="O235" s="300"/>
      <c r="P235" s="81"/>
      <c r="R235" s="73" t="str">
        <f t="shared" si="66"/>
        <v/>
      </c>
      <c r="S235" s="73" t="str">
        <f t="shared" si="67"/>
        <v/>
      </c>
      <c r="T235" s="73" t="str">
        <f t="shared" si="68"/>
        <v/>
      </c>
      <c r="AD235" s="73" t="s">
        <v>1334</v>
      </c>
      <c r="AE235" s="73" t="s">
        <v>1335</v>
      </c>
      <c r="AF235" s="73" t="str">
        <f t="shared" si="69"/>
        <v>A679074</v>
      </c>
      <c r="AG235" s="73" t="str">
        <f>VLOOKUP(AF235,AKT!$C$4:$E$324,3,FALSE)</f>
        <v>0942</v>
      </c>
    </row>
    <row r="236" spans="1:33">
      <c r="A236" s="82"/>
      <c r="B236" s="77" t="str">
        <f t="shared" si="70"/>
        <v/>
      </c>
      <c r="C236" s="82"/>
      <c r="D236" s="77" t="str">
        <f t="shared" si="71"/>
        <v/>
      </c>
      <c r="E236" s="114"/>
      <c r="F236" s="77" t="str">
        <f t="shared" si="72"/>
        <v/>
      </c>
      <c r="G236" s="77" t="str">
        <f t="shared" si="73"/>
        <v/>
      </c>
      <c r="H236" s="113"/>
      <c r="I236" s="113"/>
      <c r="J236" s="113"/>
      <c r="K236" s="124"/>
      <c r="L236" s="123"/>
      <c r="M236" s="123"/>
      <c r="N236" s="124"/>
      <c r="O236" s="300"/>
      <c r="P236" s="81"/>
      <c r="R236" s="73" t="str">
        <f t="shared" si="66"/>
        <v/>
      </c>
      <c r="S236" s="73" t="str">
        <f t="shared" si="67"/>
        <v/>
      </c>
      <c r="T236" s="73" t="str">
        <f t="shared" si="68"/>
        <v/>
      </c>
      <c r="AD236" s="73" t="s">
        <v>1336</v>
      </c>
      <c r="AE236" s="73" t="s">
        <v>1337</v>
      </c>
      <c r="AF236" s="73" t="str">
        <f t="shared" si="69"/>
        <v>A679074</v>
      </c>
      <c r="AG236" s="73" t="str">
        <f>VLOOKUP(AF236,AKT!$C$4:$E$324,3,FALSE)</f>
        <v>0942</v>
      </c>
    </row>
    <row r="237" spans="1:33">
      <c r="A237" s="82"/>
      <c r="B237" s="77" t="str">
        <f t="shared" si="70"/>
        <v/>
      </c>
      <c r="C237" s="82"/>
      <c r="D237" s="77" t="str">
        <f t="shared" si="71"/>
        <v/>
      </c>
      <c r="E237" s="114"/>
      <c r="F237" s="77" t="str">
        <f t="shared" si="72"/>
        <v/>
      </c>
      <c r="G237" s="77" t="str">
        <f t="shared" si="73"/>
        <v/>
      </c>
      <c r="H237" s="113"/>
      <c r="I237" s="113"/>
      <c r="J237" s="113"/>
      <c r="K237" s="124"/>
      <c r="L237" s="123"/>
      <c r="M237" s="123"/>
      <c r="N237" s="124"/>
      <c r="O237" s="300"/>
      <c r="P237" s="81"/>
      <c r="R237" s="73" t="str">
        <f t="shared" si="66"/>
        <v/>
      </c>
      <c r="S237" s="73" t="str">
        <f t="shared" si="67"/>
        <v/>
      </c>
      <c r="T237" s="73" t="str">
        <f t="shared" si="68"/>
        <v/>
      </c>
      <c r="AD237" s="73" t="s">
        <v>1338</v>
      </c>
      <c r="AE237" s="73" t="s">
        <v>1339</v>
      </c>
      <c r="AF237" s="73" t="str">
        <f t="shared" si="69"/>
        <v>A679074</v>
      </c>
      <c r="AG237" s="73" t="str">
        <f>VLOOKUP(AF237,AKT!$C$4:$E$324,3,FALSE)</f>
        <v>0942</v>
      </c>
    </row>
    <row r="238" spans="1:33">
      <c r="A238" s="82"/>
      <c r="B238" s="77" t="str">
        <f t="shared" si="70"/>
        <v/>
      </c>
      <c r="C238" s="82"/>
      <c r="D238" s="77" t="str">
        <f t="shared" si="71"/>
        <v/>
      </c>
      <c r="E238" s="114"/>
      <c r="F238" s="77" t="str">
        <f t="shared" si="72"/>
        <v/>
      </c>
      <c r="G238" s="77" t="str">
        <f t="shared" si="73"/>
        <v/>
      </c>
      <c r="H238" s="113"/>
      <c r="I238" s="113"/>
      <c r="J238" s="113"/>
      <c r="K238" s="124"/>
      <c r="L238" s="123"/>
      <c r="M238" s="123"/>
      <c r="N238" s="124"/>
      <c r="O238" s="300"/>
      <c r="P238" s="81"/>
      <c r="R238" s="73" t="str">
        <f t="shared" si="66"/>
        <v/>
      </c>
      <c r="S238" s="73" t="str">
        <f t="shared" si="67"/>
        <v/>
      </c>
      <c r="T238" s="73" t="str">
        <f t="shared" si="68"/>
        <v/>
      </c>
      <c r="AD238" s="73" t="s">
        <v>1340</v>
      </c>
      <c r="AE238" s="73" t="s">
        <v>1341</v>
      </c>
      <c r="AF238" s="73" t="str">
        <f t="shared" si="69"/>
        <v>A679074</v>
      </c>
      <c r="AG238" s="73" t="str">
        <f>VLOOKUP(AF238,AKT!$C$4:$E$324,3,FALSE)</f>
        <v>0942</v>
      </c>
    </row>
    <row r="239" spans="1:33">
      <c r="A239" s="82"/>
      <c r="B239" s="77" t="str">
        <f t="shared" si="70"/>
        <v/>
      </c>
      <c r="C239" s="82"/>
      <c r="D239" s="77" t="str">
        <f t="shared" si="71"/>
        <v/>
      </c>
      <c r="E239" s="114"/>
      <c r="F239" s="77" t="str">
        <f t="shared" si="72"/>
        <v/>
      </c>
      <c r="G239" s="77" t="str">
        <f t="shared" si="73"/>
        <v/>
      </c>
      <c r="H239" s="113"/>
      <c r="I239" s="113"/>
      <c r="J239" s="113"/>
      <c r="K239" s="124"/>
      <c r="L239" s="123"/>
      <c r="M239" s="123"/>
      <c r="N239" s="124"/>
      <c r="O239" s="300"/>
      <c r="P239" s="81"/>
      <c r="R239" s="73" t="str">
        <f t="shared" si="66"/>
        <v/>
      </c>
      <c r="S239" s="73" t="str">
        <f t="shared" si="67"/>
        <v/>
      </c>
      <c r="T239" s="73" t="str">
        <f t="shared" si="68"/>
        <v/>
      </c>
      <c r="AD239" s="73" t="s">
        <v>1342</v>
      </c>
      <c r="AE239" s="73" t="s">
        <v>1343</v>
      </c>
      <c r="AF239" s="73" t="str">
        <f t="shared" si="69"/>
        <v>A679074</v>
      </c>
      <c r="AG239" s="73" t="str">
        <f>VLOOKUP(AF239,AKT!$C$4:$E$324,3,FALSE)</f>
        <v>0942</v>
      </c>
    </row>
    <row r="240" spans="1:33">
      <c r="A240" s="82"/>
      <c r="B240" s="77" t="str">
        <f t="shared" si="70"/>
        <v/>
      </c>
      <c r="C240" s="82"/>
      <c r="D240" s="77" t="str">
        <f t="shared" si="71"/>
        <v/>
      </c>
      <c r="E240" s="114"/>
      <c r="F240" s="77" t="str">
        <f t="shared" si="72"/>
        <v/>
      </c>
      <c r="G240" s="77" t="str">
        <f t="shared" si="73"/>
        <v/>
      </c>
      <c r="H240" s="113"/>
      <c r="I240" s="113"/>
      <c r="J240" s="113"/>
      <c r="K240" s="124"/>
      <c r="L240" s="123"/>
      <c r="M240" s="123"/>
      <c r="N240" s="124"/>
      <c r="O240" s="300"/>
      <c r="P240" s="81"/>
      <c r="R240" s="73" t="str">
        <f t="shared" si="66"/>
        <v/>
      </c>
      <c r="S240" s="73" t="str">
        <f t="shared" si="67"/>
        <v/>
      </c>
      <c r="T240" s="73" t="str">
        <f t="shared" si="68"/>
        <v/>
      </c>
      <c r="AD240" s="73" t="s">
        <v>2196</v>
      </c>
      <c r="AE240" s="73" t="s">
        <v>2197</v>
      </c>
      <c r="AF240" s="73" t="str">
        <f t="shared" si="69"/>
        <v>A679074</v>
      </c>
      <c r="AG240" s="73" t="str">
        <f>VLOOKUP(AF240,AKT!$C$4:$E$324,3,FALSE)</f>
        <v>0942</v>
      </c>
    </row>
    <row r="241" spans="1:33">
      <c r="A241" s="82"/>
      <c r="B241" s="77" t="str">
        <f t="shared" si="70"/>
        <v/>
      </c>
      <c r="C241" s="82"/>
      <c r="D241" s="77" t="str">
        <f t="shared" si="71"/>
        <v/>
      </c>
      <c r="E241" s="114"/>
      <c r="F241" s="77" t="str">
        <f t="shared" si="72"/>
        <v/>
      </c>
      <c r="G241" s="77" t="str">
        <f t="shared" si="73"/>
        <v/>
      </c>
      <c r="H241" s="113"/>
      <c r="I241" s="113"/>
      <c r="J241" s="113"/>
      <c r="K241" s="124"/>
      <c r="L241" s="123"/>
      <c r="M241" s="123"/>
      <c r="N241" s="124"/>
      <c r="O241" s="300"/>
      <c r="P241" s="81"/>
      <c r="R241" s="73" t="str">
        <f t="shared" si="66"/>
        <v/>
      </c>
      <c r="S241" s="73" t="str">
        <f t="shared" si="67"/>
        <v/>
      </c>
      <c r="T241" s="73" t="str">
        <f t="shared" si="68"/>
        <v/>
      </c>
      <c r="AD241" s="73" t="s">
        <v>2198</v>
      </c>
      <c r="AE241" s="73" t="s">
        <v>2199</v>
      </c>
      <c r="AF241" s="73" t="str">
        <f t="shared" si="69"/>
        <v>A679074</v>
      </c>
      <c r="AG241" s="73" t="str">
        <f>VLOOKUP(AF241,AKT!$C$4:$E$324,3,FALSE)</f>
        <v>0942</v>
      </c>
    </row>
    <row r="242" spans="1:33">
      <c r="A242" s="82"/>
      <c r="B242" s="77" t="str">
        <f t="shared" si="70"/>
        <v/>
      </c>
      <c r="C242" s="82"/>
      <c r="D242" s="77" t="str">
        <f t="shared" si="71"/>
        <v/>
      </c>
      <c r="E242" s="114"/>
      <c r="F242" s="77" t="str">
        <f t="shared" si="72"/>
        <v/>
      </c>
      <c r="G242" s="77" t="str">
        <f t="shared" si="73"/>
        <v/>
      </c>
      <c r="H242" s="113"/>
      <c r="I242" s="113"/>
      <c r="J242" s="113"/>
      <c r="K242" s="124"/>
      <c r="L242" s="123"/>
      <c r="M242" s="123"/>
      <c r="N242" s="124"/>
      <c r="O242" s="300"/>
      <c r="P242" s="81"/>
      <c r="R242" s="73" t="str">
        <f t="shared" si="66"/>
        <v/>
      </c>
      <c r="S242" s="73" t="str">
        <f t="shared" si="67"/>
        <v/>
      </c>
      <c r="T242" s="73" t="str">
        <f t="shared" si="68"/>
        <v/>
      </c>
      <c r="AD242" s="73" t="s">
        <v>2200</v>
      </c>
      <c r="AE242" s="73" t="s">
        <v>2201</v>
      </c>
      <c r="AF242" s="73" t="str">
        <f t="shared" si="69"/>
        <v>A679074</v>
      </c>
      <c r="AG242" s="73" t="str">
        <f>VLOOKUP(AF242,AKT!$C$4:$E$324,3,FALSE)</f>
        <v>0942</v>
      </c>
    </row>
    <row r="243" spans="1:33">
      <c r="A243" s="82"/>
      <c r="B243" s="77" t="str">
        <f t="shared" si="70"/>
        <v/>
      </c>
      <c r="C243" s="82"/>
      <c r="D243" s="77" t="str">
        <f t="shared" si="71"/>
        <v/>
      </c>
      <c r="E243" s="114"/>
      <c r="F243" s="77" t="str">
        <f t="shared" si="72"/>
        <v/>
      </c>
      <c r="G243" s="77" t="str">
        <f t="shared" si="73"/>
        <v/>
      </c>
      <c r="H243" s="113"/>
      <c r="I243" s="113"/>
      <c r="J243" s="113"/>
      <c r="K243" s="124"/>
      <c r="L243" s="123"/>
      <c r="M243" s="123"/>
      <c r="N243" s="124"/>
      <c r="O243" s="300"/>
      <c r="P243" s="81"/>
      <c r="R243" s="73" t="str">
        <f t="shared" si="66"/>
        <v/>
      </c>
      <c r="S243" s="73" t="str">
        <f t="shared" si="67"/>
        <v/>
      </c>
      <c r="T243" s="73" t="str">
        <f t="shared" si="68"/>
        <v/>
      </c>
      <c r="AD243" s="73" t="s">
        <v>2202</v>
      </c>
      <c r="AE243" s="73" t="s">
        <v>2203</v>
      </c>
      <c r="AF243" s="73" t="str">
        <f t="shared" si="69"/>
        <v>A679074</v>
      </c>
      <c r="AG243" s="73" t="str">
        <f>VLOOKUP(AF243,AKT!$C$4:$E$324,3,FALSE)</f>
        <v>0942</v>
      </c>
    </row>
    <row r="244" spans="1:33">
      <c r="A244" s="82"/>
      <c r="B244" s="77" t="str">
        <f t="shared" si="70"/>
        <v/>
      </c>
      <c r="C244" s="82"/>
      <c r="D244" s="77" t="str">
        <f t="shared" si="71"/>
        <v/>
      </c>
      <c r="E244" s="114"/>
      <c r="F244" s="77" t="str">
        <f t="shared" si="72"/>
        <v/>
      </c>
      <c r="G244" s="77" t="str">
        <f t="shared" si="73"/>
        <v/>
      </c>
      <c r="H244" s="113"/>
      <c r="I244" s="113"/>
      <c r="J244" s="113"/>
      <c r="K244" s="124"/>
      <c r="L244" s="123"/>
      <c r="M244" s="123"/>
      <c r="N244" s="124"/>
      <c r="O244" s="300"/>
      <c r="P244" s="81"/>
      <c r="R244" s="73" t="str">
        <f t="shared" si="66"/>
        <v/>
      </c>
      <c r="S244" s="73" t="str">
        <f t="shared" si="67"/>
        <v/>
      </c>
      <c r="T244" s="73" t="str">
        <f t="shared" si="68"/>
        <v/>
      </c>
      <c r="AD244" s="73" t="s">
        <v>2204</v>
      </c>
      <c r="AE244" s="73" t="s">
        <v>2205</v>
      </c>
      <c r="AF244" s="73" t="str">
        <f t="shared" si="69"/>
        <v>A679074</v>
      </c>
      <c r="AG244" s="73" t="str">
        <f>VLOOKUP(AF244,AKT!$C$4:$E$324,3,FALSE)</f>
        <v>0942</v>
      </c>
    </row>
    <row r="245" spans="1:33">
      <c r="A245" s="82"/>
      <c r="B245" s="77" t="str">
        <f t="shared" si="70"/>
        <v/>
      </c>
      <c r="C245" s="82"/>
      <c r="D245" s="77" t="str">
        <f t="shared" si="71"/>
        <v/>
      </c>
      <c r="E245" s="114"/>
      <c r="F245" s="77" t="str">
        <f t="shared" si="72"/>
        <v/>
      </c>
      <c r="G245" s="77" t="str">
        <f t="shared" si="73"/>
        <v/>
      </c>
      <c r="H245" s="113"/>
      <c r="I245" s="113"/>
      <c r="J245" s="113"/>
      <c r="K245" s="124"/>
      <c r="L245" s="123"/>
      <c r="M245" s="123"/>
      <c r="N245" s="124"/>
      <c r="O245" s="300"/>
      <c r="P245" s="81"/>
      <c r="R245" s="73" t="str">
        <f t="shared" si="66"/>
        <v/>
      </c>
      <c r="S245" s="73" t="str">
        <f t="shared" si="67"/>
        <v/>
      </c>
      <c r="T245" s="73" t="str">
        <f t="shared" si="68"/>
        <v/>
      </c>
      <c r="AD245" s="73" t="s">
        <v>2206</v>
      </c>
      <c r="AE245" s="73" t="s">
        <v>2207</v>
      </c>
      <c r="AF245" s="73" t="str">
        <f t="shared" si="69"/>
        <v>A679074</v>
      </c>
      <c r="AG245" s="73" t="str">
        <f>VLOOKUP(AF245,AKT!$C$4:$E$324,3,FALSE)</f>
        <v>0942</v>
      </c>
    </row>
    <row r="246" spans="1:33">
      <c r="A246" s="82"/>
      <c r="B246" s="77" t="str">
        <f t="shared" si="70"/>
        <v/>
      </c>
      <c r="C246" s="82"/>
      <c r="D246" s="77" t="str">
        <f t="shared" si="71"/>
        <v/>
      </c>
      <c r="E246" s="114"/>
      <c r="F246" s="77" t="str">
        <f t="shared" si="72"/>
        <v/>
      </c>
      <c r="G246" s="77" t="str">
        <f t="shared" si="73"/>
        <v/>
      </c>
      <c r="H246" s="113"/>
      <c r="I246" s="113"/>
      <c r="J246" s="113"/>
      <c r="K246" s="124"/>
      <c r="L246" s="123"/>
      <c r="M246" s="123"/>
      <c r="N246" s="124"/>
      <c r="O246" s="300"/>
      <c r="P246" s="81"/>
      <c r="R246" s="73" t="str">
        <f t="shared" si="66"/>
        <v/>
      </c>
      <c r="S246" s="73" t="str">
        <f t="shared" si="67"/>
        <v/>
      </c>
      <c r="T246" s="73" t="str">
        <f t="shared" si="68"/>
        <v/>
      </c>
      <c r="AD246" s="73" t="s">
        <v>2208</v>
      </c>
      <c r="AE246" s="73" t="s">
        <v>2209</v>
      </c>
      <c r="AF246" s="73" t="str">
        <f t="shared" si="69"/>
        <v>A679074</v>
      </c>
      <c r="AG246" s="73" t="str">
        <f>VLOOKUP(AF246,AKT!$C$4:$E$324,3,FALSE)</f>
        <v>0942</v>
      </c>
    </row>
    <row r="247" spans="1:33">
      <c r="A247" s="82"/>
      <c r="B247" s="77" t="str">
        <f t="shared" si="70"/>
        <v/>
      </c>
      <c r="C247" s="82"/>
      <c r="D247" s="77" t="str">
        <f t="shared" si="71"/>
        <v/>
      </c>
      <c r="E247" s="114"/>
      <c r="F247" s="77" t="str">
        <f t="shared" si="72"/>
        <v/>
      </c>
      <c r="G247" s="77" t="str">
        <f t="shared" si="73"/>
        <v/>
      </c>
      <c r="H247" s="113"/>
      <c r="I247" s="113"/>
      <c r="J247" s="113"/>
      <c r="K247" s="124"/>
      <c r="L247" s="123"/>
      <c r="M247" s="123"/>
      <c r="N247" s="124"/>
      <c r="O247" s="300"/>
      <c r="P247" s="81"/>
      <c r="R247" s="73" t="str">
        <f t="shared" si="66"/>
        <v/>
      </c>
      <c r="S247" s="73" t="str">
        <f t="shared" si="67"/>
        <v/>
      </c>
      <c r="T247" s="73" t="str">
        <f t="shared" si="68"/>
        <v/>
      </c>
      <c r="AD247" s="73" t="s">
        <v>2210</v>
      </c>
      <c r="AE247" s="73" t="s">
        <v>2211</v>
      </c>
      <c r="AF247" s="73" t="str">
        <f t="shared" si="69"/>
        <v>A679074</v>
      </c>
      <c r="AG247" s="73" t="str">
        <f>VLOOKUP(AF247,AKT!$C$4:$E$324,3,FALSE)</f>
        <v>0942</v>
      </c>
    </row>
    <row r="248" spans="1:33">
      <c r="A248" s="82"/>
      <c r="B248" s="77" t="str">
        <f t="shared" si="70"/>
        <v/>
      </c>
      <c r="C248" s="82"/>
      <c r="D248" s="77" t="str">
        <f t="shared" si="71"/>
        <v/>
      </c>
      <c r="E248" s="114"/>
      <c r="F248" s="77" t="str">
        <f t="shared" si="72"/>
        <v/>
      </c>
      <c r="G248" s="77" t="str">
        <f t="shared" si="73"/>
        <v/>
      </c>
      <c r="H248" s="113"/>
      <c r="I248" s="113"/>
      <c r="J248" s="113"/>
      <c r="K248" s="124"/>
      <c r="L248" s="123"/>
      <c r="M248" s="123"/>
      <c r="N248" s="124"/>
      <c r="O248" s="300"/>
      <c r="P248" s="81"/>
      <c r="R248" s="73" t="str">
        <f t="shared" si="66"/>
        <v/>
      </c>
      <c r="S248" s="73" t="str">
        <f t="shared" si="67"/>
        <v/>
      </c>
      <c r="T248" s="73" t="str">
        <f t="shared" si="68"/>
        <v/>
      </c>
      <c r="AD248" s="73" t="s">
        <v>3097</v>
      </c>
      <c r="AE248" s="73" t="s">
        <v>3098</v>
      </c>
      <c r="AF248" s="73" t="str">
        <f t="shared" si="69"/>
        <v>A679075</v>
      </c>
      <c r="AG248" s="73" t="str">
        <f>VLOOKUP(AF248,AKT!$C$4:$E$324,3,FALSE)</f>
        <v>0942</v>
      </c>
    </row>
    <row r="249" spans="1:33">
      <c r="A249" s="82"/>
      <c r="B249" s="77" t="str">
        <f t="shared" si="70"/>
        <v/>
      </c>
      <c r="C249" s="82"/>
      <c r="D249" s="77" t="str">
        <f t="shared" si="71"/>
        <v/>
      </c>
      <c r="E249" s="114"/>
      <c r="F249" s="77" t="str">
        <f t="shared" si="72"/>
        <v/>
      </c>
      <c r="G249" s="77" t="str">
        <f t="shared" si="73"/>
        <v/>
      </c>
      <c r="H249" s="113"/>
      <c r="I249" s="113"/>
      <c r="J249" s="113"/>
      <c r="K249" s="124"/>
      <c r="L249" s="123"/>
      <c r="M249" s="123"/>
      <c r="N249" s="124"/>
      <c r="O249" s="300"/>
      <c r="P249" s="81"/>
      <c r="R249" s="73" t="str">
        <f t="shared" si="66"/>
        <v/>
      </c>
      <c r="S249" s="73" t="str">
        <f t="shared" si="67"/>
        <v/>
      </c>
      <c r="T249" s="73" t="str">
        <f t="shared" si="68"/>
        <v/>
      </c>
      <c r="AD249" s="73" t="s">
        <v>3099</v>
      </c>
      <c r="AE249" s="73" t="s">
        <v>3100</v>
      </c>
      <c r="AF249" s="73" t="str">
        <f t="shared" si="69"/>
        <v>A679075</v>
      </c>
      <c r="AG249" s="73" t="str">
        <f>VLOOKUP(AF249,AKT!$C$4:$E$324,3,FALSE)</f>
        <v>0942</v>
      </c>
    </row>
    <row r="250" spans="1:33">
      <c r="A250" s="82"/>
      <c r="B250" s="77" t="str">
        <f t="shared" si="70"/>
        <v/>
      </c>
      <c r="C250" s="82"/>
      <c r="D250" s="77" t="str">
        <f t="shared" si="71"/>
        <v/>
      </c>
      <c r="E250" s="114"/>
      <c r="F250" s="77" t="str">
        <f t="shared" si="72"/>
        <v/>
      </c>
      <c r="G250" s="77" t="str">
        <f t="shared" si="73"/>
        <v/>
      </c>
      <c r="H250" s="113"/>
      <c r="I250" s="113"/>
      <c r="J250" s="113"/>
      <c r="K250" s="124"/>
      <c r="L250" s="123"/>
      <c r="M250" s="123"/>
      <c r="N250" s="124"/>
      <c r="O250" s="300"/>
      <c r="P250" s="81"/>
      <c r="R250" s="73" t="str">
        <f t="shared" si="66"/>
        <v/>
      </c>
      <c r="S250" s="73" t="str">
        <f t="shared" si="67"/>
        <v/>
      </c>
      <c r="T250" s="73" t="str">
        <f t="shared" si="68"/>
        <v/>
      </c>
      <c r="AD250" s="73" t="s">
        <v>3101</v>
      </c>
      <c r="AE250" s="73" t="s">
        <v>3102</v>
      </c>
      <c r="AF250" s="73" t="str">
        <f t="shared" si="69"/>
        <v>A679075</v>
      </c>
      <c r="AG250" s="73" t="str">
        <f>VLOOKUP(AF250,AKT!$C$4:$E$324,3,FALSE)</f>
        <v>0942</v>
      </c>
    </row>
    <row r="251" spans="1:33">
      <c r="A251" s="82"/>
      <c r="B251" s="77" t="str">
        <f t="shared" si="70"/>
        <v/>
      </c>
      <c r="C251" s="82"/>
      <c r="D251" s="77" t="str">
        <f t="shared" si="71"/>
        <v/>
      </c>
      <c r="E251" s="114"/>
      <c r="F251" s="77" t="str">
        <f t="shared" si="72"/>
        <v/>
      </c>
      <c r="G251" s="77" t="str">
        <f t="shared" si="73"/>
        <v/>
      </c>
      <c r="H251" s="113"/>
      <c r="I251" s="113"/>
      <c r="J251" s="113"/>
      <c r="K251" s="124"/>
      <c r="L251" s="123"/>
      <c r="M251" s="123"/>
      <c r="N251" s="124"/>
      <c r="O251" s="300"/>
      <c r="P251" s="81"/>
      <c r="R251" s="73" t="str">
        <f t="shared" ref="R251:R314" si="74">LEFT(C251,3)</f>
        <v/>
      </c>
      <c r="S251" s="73" t="str">
        <f t="shared" ref="S251:S314" si="75">LEFT(C251,2)</f>
        <v/>
      </c>
      <c r="T251" s="73" t="str">
        <f t="shared" ref="T251:T314" si="76">MID(G251,2,2)</f>
        <v/>
      </c>
      <c r="AD251" s="73" t="s">
        <v>3103</v>
      </c>
      <c r="AE251" s="73" t="s">
        <v>3104</v>
      </c>
      <c r="AF251" s="73" t="str">
        <f t="shared" si="69"/>
        <v>A679075</v>
      </c>
      <c r="AG251" s="73" t="str">
        <f>VLOOKUP(AF251,AKT!$C$4:$E$324,3,FALSE)</f>
        <v>0942</v>
      </c>
    </row>
    <row r="252" spans="1:33">
      <c r="A252" s="82"/>
      <c r="B252" s="77" t="str">
        <f t="shared" si="70"/>
        <v/>
      </c>
      <c r="C252" s="82"/>
      <c r="D252" s="77" t="str">
        <f t="shared" si="71"/>
        <v/>
      </c>
      <c r="E252" s="114"/>
      <c r="F252" s="77" t="str">
        <f t="shared" si="72"/>
        <v/>
      </c>
      <c r="G252" s="77" t="str">
        <f t="shared" si="73"/>
        <v/>
      </c>
      <c r="H252" s="113"/>
      <c r="I252" s="113"/>
      <c r="J252" s="113"/>
      <c r="K252" s="124"/>
      <c r="L252" s="123"/>
      <c r="M252" s="123"/>
      <c r="N252" s="124"/>
      <c r="O252" s="300"/>
      <c r="P252" s="81"/>
      <c r="R252" s="73" t="str">
        <f t="shared" si="74"/>
        <v/>
      </c>
      <c r="S252" s="73" t="str">
        <f t="shared" si="75"/>
        <v/>
      </c>
      <c r="T252" s="73" t="str">
        <f t="shared" si="76"/>
        <v/>
      </c>
      <c r="AD252" s="73" t="s">
        <v>3105</v>
      </c>
      <c r="AE252" s="73" t="s">
        <v>3106</v>
      </c>
      <c r="AF252" s="73" t="str">
        <f t="shared" si="69"/>
        <v>A679075</v>
      </c>
      <c r="AG252" s="73" t="str">
        <f>VLOOKUP(AF252,AKT!$C$4:$E$324,3,FALSE)</f>
        <v>0942</v>
      </c>
    </row>
    <row r="253" spans="1:33">
      <c r="A253" s="82"/>
      <c r="B253" s="77" t="str">
        <f t="shared" si="70"/>
        <v/>
      </c>
      <c r="C253" s="82"/>
      <c r="D253" s="77" t="str">
        <f t="shared" si="71"/>
        <v/>
      </c>
      <c r="E253" s="114"/>
      <c r="F253" s="77" t="str">
        <f t="shared" si="72"/>
        <v/>
      </c>
      <c r="G253" s="77" t="str">
        <f t="shared" si="73"/>
        <v/>
      </c>
      <c r="H253" s="113"/>
      <c r="I253" s="113"/>
      <c r="J253" s="113"/>
      <c r="K253" s="124"/>
      <c r="L253" s="123"/>
      <c r="M253" s="123"/>
      <c r="N253" s="124"/>
      <c r="O253" s="300"/>
      <c r="P253" s="81"/>
      <c r="R253" s="73" t="str">
        <f t="shared" si="74"/>
        <v/>
      </c>
      <c r="S253" s="73" t="str">
        <f t="shared" si="75"/>
        <v/>
      </c>
      <c r="T253" s="73" t="str">
        <f t="shared" si="76"/>
        <v/>
      </c>
      <c r="AD253" s="73" t="s">
        <v>3107</v>
      </c>
      <c r="AE253" s="73" t="s">
        <v>3108</v>
      </c>
      <c r="AF253" s="73" t="str">
        <f t="shared" si="69"/>
        <v>A679075</v>
      </c>
      <c r="AG253" s="73" t="str">
        <f>VLOOKUP(AF253,AKT!$C$4:$E$324,3,FALSE)</f>
        <v>0942</v>
      </c>
    </row>
    <row r="254" spans="1:33">
      <c r="A254" s="82"/>
      <c r="B254" s="77" t="str">
        <f t="shared" si="70"/>
        <v/>
      </c>
      <c r="C254" s="82"/>
      <c r="D254" s="77" t="str">
        <f t="shared" si="71"/>
        <v/>
      </c>
      <c r="E254" s="114"/>
      <c r="F254" s="77" t="str">
        <f t="shared" si="72"/>
        <v/>
      </c>
      <c r="G254" s="77" t="str">
        <f t="shared" si="73"/>
        <v/>
      </c>
      <c r="H254" s="113"/>
      <c r="I254" s="113"/>
      <c r="J254" s="113"/>
      <c r="K254" s="124"/>
      <c r="L254" s="123"/>
      <c r="M254" s="123"/>
      <c r="N254" s="124"/>
      <c r="O254" s="300"/>
      <c r="P254" s="81"/>
      <c r="R254" s="73" t="str">
        <f t="shared" si="74"/>
        <v/>
      </c>
      <c r="S254" s="73" t="str">
        <f t="shared" si="75"/>
        <v/>
      </c>
      <c r="T254" s="73" t="str">
        <f t="shared" si="76"/>
        <v/>
      </c>
      <c r="AD254" s="73" t="s">
        <v>747</v>
      </c>
      <c r="AE254" s="73" t="s">
        <v>748</v>
      </c>
      <c r="AF254" s="73" t="str">
        <f t="shared" si="69"/>
        <v>A679075</v>
      </c>
      <c r="AG254" s="73" t="str">
        <f>VLOOKUP(AF254,AKT!$C$4:$E$324,3,FALSE)</f>
        <v>0942</v>
      </c>
    </row>
    <row r="255" spans="1:33">
      <c r="A255" s="82"/>
      <c r="B255" s="77" t="str">
        <f t="shared" si="70"/>
        <v/>
      </c>
      <c r="C255" s="82"/>
      <c r="D255" s="77" t="str">
        <f t="shared" si="71"/>
        <v/>
      </c>
      <c r="E255" s="114"/>
      <c r="F255" s="77" t="str">
        <f t="shared" si="72"/>
        <v/>
      </c>
      <c r="G255" s="77" t="str">
        <f t="shared" si="73"/>
        <v/>
      </c>
      <c r="H255" s="113"/>
      <c r="I255" s="113"/>
      <c r="J255" s="113"/>
      <c r="K255" s="124"/>
      <c r="L255" s="123"/>
      <c r="M255" s="123"/>
      <c r="N255" s="124"/>
      <c r="O255" s="300"/>
      <c r="P255" s="81"/>
      <c r="R255" s="73" t="str">
        <f t="shared" si="74"/>
        <v/>
      </c>
      <c r="S255" s="73" t="str">
        <f t="shared" si="75"/>
        <v/>
      </c>
      <c r="T255" s="73" t="str">
        <f t="shared" si="76"/>
        <v/>
      </c>
      <c r="AD255" s="73" t="s">
        <v>749</v>
      </c>
      <c r="AE255" s="73" t="s">
        <v>750</v>
      </c>
      <c r="AF255" s="73" t="str">
        <f t="shared" ref="AF255:AF318" si="77">LEFT(AD255,7)</f>
        <v>A679075</v>
      </c>
      <c r="AG255" s="73" t="str">
        <f>VLOOKUP(AF255,AKT!$C$4:$E$324,3,FALSE)</f>
        <v>0942</v>
      </c>
    </row>
    <row r="256" spans="1:33">
      <c r="A256" s="82"/>
      <c r="B256" s="77" t="str">
        <f t="shared" si="70"/>
        <v/>
      </c>
      <c r="C256" s="82"/>
      <c r="D256" s="77" t="str">
        <f t="shared" si="71"/>
        <v/>
      </c>
      <c r="E256" s="114"/>
      <c r="F256" s="77" t="str">
        <f t="shared" si="72"/>
        <v/>
      </c>
      <c r="G256" s="77" t="str">
        <f t="shared" si="73"/>
        <v/>
      </c>
      <c r="H256" s="113"/>
      <c r="I256" s="113"/>
      <c r="J256" s="113"/>
      <c r="K256" s="124"/>
      <c r="L256" s="123"/>
      <c r="M256" s="123"/>
      <c r="N256" s="124"/>
      <c r="O256" s="300"/>
      <c r="P256" s="81"/>
      <c r="R256" s="73" t="str">
        <f t="shared" si="74"/>
        <v/>
      </c>
      <c r="S256" s="73" t="str">
        <f t="shared" si="75"/>
        <v/>
      </c>
      <c r="T256" s="73" t="str">
        <f t="shared" si="76"/>
        <v/>
      </c>
      <c r="AD256" s="73" t="s">
        <v>1344</v>
      </c>
      <c r="AE256" s="73" t="s">
        <v>1345</v>
      </c>
      <c r="AF256" s="73" t="str">
        <f t="shared" si="77"/>
        <v>A679075</v>
      </c>
      <c r="AG256" s="73" t="str">
        <f>VLOOKUP(AF256,AKT!$C$4:$E$324,3,FALSE)</f>
        <v>0942</v>
      </c>
    </row>
    <row r="257" spans="1:33">
      <c r="A257" s="82"/>
      <c r="B257" s="77" t="str">
        <f t="shared" si="70"/>
        <v/>
      </c>
      <c r="C257" s="82"/>
      <c r="D257" s="77" t="str">
        <f t="shared" si="71"/>
        <v/>
      </c>
      <c r="E257" s="114"/>
      <c r="F257" s="77" t="str">
        <f t="shared" si="72"/>
        <v/>
      </c>
      <c r="G257" s="77" t="str">
        <f t="shared" si="73"/>
        <v/>
      </c>
      <c r="H257" s="113"/>
      <c r="I257" s="113"/>
      <c r="J257" s="113"/>
      <c r="K257" s="124"/>
      <c r="L257" s="123"/>
      <c r="M257" s="123"/>
      <c r="N257" s="124"/>
      <c r="O257" s="300"/>
      <c r="P257" s="81"/>
      <c r="R257" s="73" t="str">
        <f t="shared" si="74"/>
        <v/>
      </c>
      <c r="S257" s="73" t="str">
        <f t="shared" si="75"/>
        <v/>
      </c>
      <c r="T257" s="73" t="str">
        <f t="shared" si="76"/>
        <v/>
      </c>
      <c r="AD257" s="73" t="s">
        <v>1346</v>
      </c>
      <c r="AE257" s="73" t="s">
        <v>1347</v>
      </c>
      <c r="AF257" s="73" t="str">
        <f t="shared" si="77"/>
        <v>A679075</v>
      </c>
      <c r="AG257" s="73" t="str">
        <f>VLOOKUP(AF257,AKT!$C$4:$E$324,3,FALSE)</f>
        <v>0942</v>
      </c>
    </row>
    <row r="258" spans="1:33">
      <c r="A258" s="82"/>
      <c r="B258" s="77" t="str">
        <f t="shared" si="70"/>
        <v/>
      </c>
      <c r="C258" s="82"/>
      <c r="D258" s="77" t="str">
        <f t="shared" si="71"/>
        <v/>
      </c>
      <c r="E258" s="114"/>
      <c r="F258" s="77" t="str">
        <f t="shared" si="72"/>
        <v/>
      </c>
      <c r="G258" s="77" t="str">
        <f t="shared" si="73"/>
        <v/>
      </c>
      <c r="H258" s="113"/>
      <c r="I258" s="113"/>
      <c r="J258" s="113"/>
      <c r="K258" s="124"/>
      <c r="L258" s="123"/>
      <c r="M258" s="123"/>
      <c r="N258" s="124"/>
      <c r="O258" s="300"/>
      <c r="P258" s="81"/>
      <c r="R258" s="73" t="str">
        <f t="shared" si="74"/>
        <v/>
      </c>
      <c r="S258" s="73" t="str">
        <f t="shared" si="75"/>
        <v/>
      </c>
      <c r="T258" s="73" t="str">
        <f t="shared" si="76"/>
        <v/>
      </c>
      <c r="AD258" s="73" t="s">
        <v>2212</v>
      </c>
      <c r="AE258" s="73" t="s">
        <v>2213</v>
      </c>
      <c r="AF258" s="73" t="str">
        <f t="shared" si="77"/>
        <v>A679075</v>
      </c>
      <c r="AG258" s="73" t="str">
        <f>VLOOKUP(AF258,AKT!$C$4:$E$324,3,FALSE)</f>
        <v>0942</v>
      </c>
    </row>
    <row r="259" spans="1:33">
      <c r="A259" s="82"/>
      <c r="B259" s="77" t="str">
        <f t="shared" si="70"/>
        <v/>
      </c>
      <c r="C259" s="82"/>
      <c r="D259" s="77" t="str">
        <f t="shared" si="71"/>
        <v/>
      </c>
      <c r="E259" s="114"/>
      <c r="F259" s="77" t="str">
        <f t="shared" si="72"/>
        <v/>
      </c>
      <c r="G259" s="77" t="str">
        <f t="shared" si="73"/>
        <v/>
      </c>
      <c r="H259" s="113"/>
      <c r="I259" s="113"/>
      <c r="J259" s="113"/>
      <c r="K259" s="124"/>
      <c r="L259" s="123"/>
      <c r="M259" s="123"/>
      <c r="N259" s="124"/>
      <c r="O259" s="300"/>
      <c r="P259" s="81"/>
      <c r="R259" s="73" t="str">
        <f t="shared" si="74"/>
        <v/>
      </c>
      <c r="S259" s="73" t="str">
        <f t="shared" si="75"/>
        <v/>
      </c>
      <c r="T259" s="73" t="str">
        <f t="shared" si="76"/>
        <v/>
      </c>
      <c r="AD259" s="73" t="s">
        <v>2214</v>
      </c>
      <c r="AE259" s="73" t="s">
        <v>2215</v>
      </c>
      <c r="AF259" s="73" t="str">
        <f t="shared" si="77"/>
        <v>A679075</v>
      </c>
      <c r="AG259" s="73" t="str">
        <f>VLOOKUP(AF259,AKT!$C$4:$E$324,3,FALSE)</f>
        <v>0942</v>
      </c>
    </row>
    <row r="260" spans="1:33">
      <c r="A260" s="82"/>
      <c r="B260" s="77" t="str">
        <f t="shared" si="70"/>
        <v/>
      </c>
      <c r="C260" s="82"/>
      <c r="D260" s="77" t="str">
        <f t="shared" si="71"/>
        <v/>
      </c>
      <c r="E260" s="114"/>
      <c r="F260" s="77" t="str">
        <f t="shared" si="72"/>
        <v/>
      </c>
      <c r="G260" s="77" t="str">
        <f t="shared" si="73"/>
        <v/>
      </c>
      <c r="H260" s="113"/>
      <c r="I260" s="113"/>
      <c r="J260" s="113"/>
      <c r="K260" s="124"/>
      <c r="L260" s="123"/>
      <c r="M260" s="123"/>
      <c r="N260" s="124"/>
      <c r="O260" s="300"/>
      <c r="P260" s="81"/>
      <c r="R260" s="73" t="str">
        <f t="shared" si="74"/>
        <v/>
      </c>
      <c r="S260" s="73" t="str">
        <f t="shared" si="75"/>
        <v/>
      </c>
      <c r="T260" s="73" t="str">
        <f t="shared" si="76"/>
        <v/>
      </c>
      <c r="AD260" s="73" t="s">
        <v>2216</v>
      </c>
      <c r="AE260" s="73" t="s">
        <v>2217</v>
      </c>
      <c r="AF260" s="73" t="str">
        <f t="shared" si="77"/>
        <v>A679075</v>
      </c>
      <c r="AG260" s="73" t="str">
        <f>VLOOKUP(AF260,AKT!$C$4:$E$324,3,FALSE)</f>
        <v>0942</v>
      </c>
    </row>
    <row r="261" spans="1:33">
      <c r="A261" s="82"/>
      <c r="B261" s="77" t="str">
        <f t="shared" si="70"/>
        <v/>
      </c>
      <c r="C261" s="82"/>
      <c r="D261" s="77" t="str">
        <f t="shared" si="71"/>
        <v/>
      </c>
      <c r="E261" s="114"/>
      <c r="F261" s="77" t="str">
        <f t="shared" si="72"/>
        <v/>
      </c>
      <c r="G261" s="77" t="str">
        <f t="shared" si="73"/>
        <v/>
      </c>
      <c r="H261" s="113"/>
      <c r="I261" s="113"/>
      <c r="J261" s="113"/>
      <c r="K261" s="124"/>
      <c r="L261" s="123"/>
      <c r="M261" s="123"/>
      <c r="N261" s="124"/>
      <c r="O261" s="300"/>
      <c r="P261" s="81"/>
      <c r="R261" s="73" t="str">
        <f t="shared" si="74"/>
        <v/>
      </c>
      <c r="S261" s="73" t="str">
        <f t="shared" si="75"/>
        <v/>
      </c>
      <c r="T261" s="73" t="str">
        <f t="shared" si="76"/>
        <v/>
      </c>
      <c r="AD261" s="73" t="s">
        <v>2218</v>
      </c>
      <c r="AE261" s="73" t="s">
        <v>2219</v>
      </c>
      <c r="AF261" s="73" t="str">
        <f t="shared" si="77"/>
        <v>A679075</v>
      </c>
      <c r="AG261" s="73" t="str">
        <f>VLOOKUP(AF261,AKT!$C$4:$E$324,3,FALSE)</f>
        <v>0942</v>
      </c>
    </row>
    <row r="262" spans="1:33">
      <c r="A262" s="82"/>
      <c r="B262" s="77" t="str">
        <f t="shared" si="70"/>
        <v/>
      </c>
      <c r="C262" s="82"/>
      <c r="D262" s="77" t="str">
        <f t="shared" si="71"/>
        <v/>
      </c>
      <c r="E262" s="114"/>
      <c r="F262" s="77" t="str">
        <f t="shared" si="72"/>
        <v/>
      </c>
      <c r="G262" s="77" t="str">
        <f t="shared" si="73"/>
        <v/>
      </c>
      <c r="H262" s="113"/>
      <c r="I262" s="113"/>
      <c r="J262" s="113"/>
      <c r="K262" s="124"/>
      <c r="L262" s="123"/>
      <c r="M262" s="123"/>
      <c r="N262" s="124"/>
      <c r="O262" s="300"/>
      <c r="P262" s="81"/>
      <c r="R262" s="73" t="str">
        <f t="shared" si="74"/>
        <v/>
      </c>
      <c r="S262" s="73" t="str">
        <f t="shared" si="75"/>
        <v/>
      </c>
      <c r="T262" s="73" t="str">
        <f t="shared" si="76"/>
        <v/>
      </c>
      <c r="AD262" s="73" t="s">
        <v>2220</v>
      </c>
      <c r="AE262" s="73" t="s">
        <v>2221</v>
      </c>
      <c r="AF262" s="73" t="str">
        <f t="shared" si="77"/>
        <v>A679075</v>
      </c>
      <c r="AG262" s="73" t="str">
        <f>VLOOKUP(AF262,AKT!$C$4:$E$324,3,FALSE)</f>
        <v>0942</v>
      </c>
    </row>
    <row r="263" spans="1:33">
      <c r="A263" s="82"/>
      <c r="B263" s="77" t="str">
        <f t="shared" si="70"/>
        <v/>
      </c>
      <c r="C263" s="82"/>
      <c r="D263" s="77" t="str">
        <f t="shared" si="71"/>
        <v/>
      </c>
      <c r="E263" s="114"/>
      <c r="F263" s="77" t="str">
        <f t="shared" si="72"/>
        <v/>
      </c>
      <c r="G263" s="77" t="str">
        <f t="shared" si="73"/>
        <v/>
      </c>
      <c r="H263" s="113"/>
      <c r="I263" s="113"/>
      <c r="J263" s="113"/>
      <c r="K263" s="124"/>
      <c r="L263" s="123"/>
      <c r="M263" s="123"/>
      <c r="N263" s="124"/>
      <c r="O263" s="300"/>
      <c r="P263" s="81"/>
      <c r="R263" s="73" t="str">
        <f t="shared" si="74"/>
        <v/>
      </c>
      <c r="S263" s="73" t="str">
        <f t="shared" si="75"/>
        <v/>
      </c>
      <c r="T263" s="73" t="str">
        <f t="shared" si="76"/>
        <v/>
      </c>
      <c r="AD263" s="73" t="s">
        <v>3109</v>
      </c>
      <c r="AE263" s="73" t="s">
        <v>3110</v>
      </c>
      <c r="AF263" s="73" t="str">
        <f t="shared" si="77"/>
        <v>A679075</v>
      </c>
      <c r="AG263" s="73" t="str">
        <f>VLOOKUP(AF263,AKT!$C$4:$E$324,3,FALSE)</f>
        <v>0942</v>
      </c>
    </row>
    <row r="264" spans="1:33">
      <c r="A264" s="82"/>
      <c r="B264" s="77" t="str">
        <f t="shared" si="70"/>
        <v/>
      </c>
      <c r="C264" s="82"/>
      <c r="D264" s="77" t="str">
        <f t="shared" si="71"/>
        <v/>
      </c>
      <c r="E264" s="114"/>
      <c r="F264" s="77" t="str">
        <f t="shared" si="72"/>
        <v/>
      </c>
      <c r="G264" s="77" t="str">
        <f t="shared" si="73"/>
        <v/>
      </c>
      <c r="H264" s="113"/>
      <c r="I264" s="113"/>
      <c r="J264" s="113"/>
      <c r="K264" s="124"/>
      <c r="L264" s="123"/>
      <c r="M264" s="123"/>
      <c r="N264" s="124"/>
      <c r="O264" s="300"/>
      <c r="P264" s="81"/>
      <c r="R264" s="73" t="str">
        <f t="shared" si="74"/>
        <v/>
      </c>
      <c r="S264" s="73" t="str">
        <f t="shared" si="75"/>
        <v/>
      </c>
      <c r="T264" s="73" t="str">
        <f t="shared" si="76"/>
        <v/>
      </c>
      <c r="AD264" s="73" t="s">
        <v>3111</v>
      </c>
      <c r="AE264" s="73" t="s">
        <v>3112</v>
      </c>
      <c r="AF264" s="73" t="str">
        <f t="shared" si="77"/>
        <v>A679075</v>
      </c>
      <c r="AG264" s="73" t="str">
        <f>VLOOKUP(AF264,AKT!$C$4:$E$324,3,FALSE)</f>
        <v>0942</v>
      </c>
    </row>
    <row r="265" spans="1:33">
      <c r="A265" s="82"/>
      <c r="B265" s="77" t="str">
        <f t="shared" si="70"/>
        <v/>
      </c>
      <c r="C265" s="82"/>
      <c r="D265" s="77" t="str">
        <f t="shared" si="71"/>
        <v/>
      </c>
      <c r="E265" s="114"/>
      <c r="F265" s="77" t="str">
        <f t="shared" si="72"/>
        <v/>
      </c>
      <c r="G265" s="77" t="str">
        <f t="shared" si="73"/>
        <v/>
      </c>
      <c r="H265" s="113"/>
      <c r="I265" s="113"/>
      <c r="J265" s="113"/>
      <c r="K265" s="124"/>
      <c r="L265" s="123"/>
      <c r="M265" s="123"/>
      <c r="N265" s="124"/>
      <c r="O265" s="300"/>
      <c r="P265" s="81"/>
      <c r="R265" s="73" t="str">
        <f t="shared" si="74"/>
        <v/>
      </c>
      <c r="S265" s="73" t="str">
        <f t="shared" si="75"/>
        <v/>
      </c>
      <c r="T265" s="73" t="str">
        <f t="shared" si="76"/>
        <v/>
      </c>
      <c r="AD265" s="73" t="s">
        <v>3113</v>
      </c>
      <c r="AE265" s="73" t="s">
        <v>3114</v>
      </c>
      <c r="AF265" s="73" t="str">
        <f t="shared" si="77"/>
        <v>A679075</v>
      </c>
      <c r="AG265" s="73" t="str">
        <f>VLOOKUP(AF265,AKT!$C$4:$E$324,3,FALSE)</f>
        <v>0942</v>
      </c>
    </row>
    <row r="266" spans="1:33">
      <c r="A266" s="82"/>
      <c r="B266" s="77" t="str">
        <f t="shared" si="70"/>
        <v/>
      </c>
      <c r="C266" s="82"/>
      <c r="D266" s="77" t="str">
        <f t="shared" si="71"/>
        <v/>
      </c>
      <c r="E266" s="114"/>
      <c r="F266" s="77" t="str">
        <f t="shared" si="72"/>
        <v/>
      </c>
      <c r="G266" s="77" t="str">
        <f t="shared" si="73"/>
        <v/>
      </c>
      <c r="H266" s="113"/>
      <c r="I266" s="113"/>
      <c r="J266" s="113"/>
      <c r="K266" s="124"/>
      <c r="L266" s="123"/>
      <c r="M266" s="123"/>
      <c r="N266" s="124"/>
      <c r="O266" s="300"/>
      <c r="P266" s="81"/>
      <c r="R266" s="73" t="str">
        <f t="shared" si="74"/>
        <v/>
      </c>
      <c r="S266" s="73" t="str">
        <f t="shared" si="75"/>
        <v/>
      </c>
      <c r="T266" s="73" t="str">
        <f t="shared" si="76"/>
        <v/>
      </c>
      <c r="AD266" s="73" t="s">
        <v>3115</v>
      </c>
      <c r="AE266" s="73" t="s">
        <v>2221</v>
      </c>
      <c r="AF266" s="73" t="str">
        <f t="shared" si="77"/>
        <v>A679075</v>
      </c>
      <c r="AG266" s="73" t="str">
        <f>VLOOKUP(AF266,AKT!$C$4:$E$324,3,FALSE)</f>
        <v>0942</v>
      </c>
    </row>
    <row r="267" spans="1:33">
      <c r="A267" s="82"/>
      <c r="B267" s="77" t="str">
        <f t="shared" si="70"/>
        <v/>
      </c>
      <c r="C267" s="82"/>
      <c r="D267" s="77" t="str">
        <f t="shared" si="71"/>
        <v/>
      </c>
      <c r="E267" s="114"/>
      <c r="F267" s="77" t="str">
        <f t="shared" si="72"/>
        <v/>
      </c>
      <c r="G267" s="77" t="str">
        <f t="shared" si="73"/>
        <v/>
      </c>
      <c r="H267" s="113"/>
      <c r="I267" s="113"/>
      <c r="J267" s="113"/>
      <c r="K267" s="124"/>
      <c r="L267" s="123"/>
      <c r="M267" s="123"/>
      <c r="N267" s="124"/>
      <c r="O267" s="300"/>
      <c r="P267" s="81"/>
      <c r="R267" s="73" t="str">
        <f t="shared" si="74"/>
        <v/>
      </c>
      <c r="S267" s="73" t="str">
        <f t="shared" si="75"/>
        <v/>
      </c>
      <c r="T267" s="73" t="str">
        <f t="shared" si="76"/>
        <v/>
      </c>
      <c r="AD267" s="73" t="s">
        <v>3116</v>
      </c>
      <c r="AE267" s="73" t="s">
        <v>3117</v>
      </c>
      <c r="AF267" s="73" t="str">
        <f t="shared" si="77"/>
        <v>A679075</v>
      </c>
      <c r="AG267" s="73" t="str">
        <f>VLOOKUP(AF267,AKT!$C$4:$E$324,3,FALSE)</f>
        <v>0942</v>
      </c>
    </row>
    <row r="268" spans="1:33">
      <c r="A268" s="82"/>
      <c r="B268" s="77" t="str">
        <f t="shared" si="70"/>
        <v/>
      </c>
      <c r="C268" s="82"/>
      <c r="D268" s="77" t="str">
        <f t="shared" si="71"/>
        <v/>
      </c>
      <c r="E268" s="114"/>
      <c r="F268" s="77" t="str">
        <f t="shared" si="72"/>
        <v/>
      </c>
      <c r="G268" s="77" t="str">
        <f t="shared" si="73"/>
        <v/>
      </c>
      <c r="H268" s="113"/>
      <c r="I268" s="113"/>
      <c r="J268" s="113"/>
      <c r="K268" s="124"/>
      <c r="L268" s="123"/>
      <c r="M268" s="123"/>
      <c r="N268" s="124"/>
      <c r="O268" s="300"/>
      <c r="P268" s="81"/>
      <c r="R268" s="73" t="str">
        <f t="shared" si="74"/>
        <v/>
      </c>
      <c r="S268" s="73" t="str">
        <f t="shared" si="75"/>
        <v/>
      </c>
      <c r="T268" s="73" t="str">
        <f t="shared" si="76"/>
        <v/>
      </c>
      <c r="AD268" s="73" t="s">
        <v>3118</v>
      </c>
      <c r="AE268" s="73" t="s">
        <v>3119</v>
      </c>
      <c r="AF268" s="73" t="str">
        <f t="shared" si="77"/>
        <v>A679075</v>
      </c>
      <c r="AG268" s="73" t="str">
        <f>VLOOKUP(AF268,AKT!$C$4:$E$324,3,FALSE)</f>
        <v>0942</v>
      </c>
    </row>
    <row r="269" spans="1:33">
      <c r="A269" s="82"/>
      <c r="B269" s="77" t="str">
        <f t="shared" si="70"/>
        <v/>
      </c>
      <c r="C269" s="82"/>
      <c r="D269" s="77" t="str">
        <f t="shared" si="71"/>
        <v/>
      </c>
      <c r="E269" s="114"/>
      <c r="F269" s="77" t="str">
        <f t="shared" si="72"/>
        <v/>
      </c>
      <c r="G269" s="77" t="str">
        <f t="shared" si="73"/>
        <v/>
      </c>
      <c r="H269" s="113"/>
      <c r="I269" s="113"/>
      <c r="J269" s="113"/>
      <c r="K269" s="124"/>
      <c r="L269" s="123"/>
      <c r="M269" s="123"/>
      <c r="N269" s="124"/>
      <c r="O269" s="300"/>
      <c r="P269" s="81"/>
      <c r="R269" s="73" t="str">
        <f t="shared" si="74"/>
        <v/>
      </c>
      <c r="S269" s="73" t="str">
        <f t="shared" si="75"/>
        <v/>
      </c>
      <c r="T269" s="73" t="str">
        <f t="shared" si="76"/>
        <v/>
      </c>
      <c r="AD269" s="73" t="s">
        <v>3120</v>
      </c>
      <c r="AE269" s="73" t="s">
        <v>3121</v>
      </c>
      <c r="AF269" s="73" t="str">
        <f t="shared" si="77"/>
        <v>A679075</v>
      </c>
      <c r="AG269" s="73" t="str">
        <f>VLOOKUP(AF269,AKT!$C$4:$E$324,3,FALSE)</f>
        <v>0942</v>
      </c>
    </row>
    <row r="270" spans="1:33">
      <c r="A270" s="82"/>
      <c r="B270" s="77" t="str">
        <f t="shared" si="70"/>
        <v/>
      </c>
      <c r="C270" s="82"/>
      <c r="D270" s="77" t="str">
        <f t="shared" si="71"/>
        <v/>
      </c>
      <c r="E270" s="114"/>
      <c r="F270" s="77" t="str">
        <f t="shared" si="72"/>
        <v/>
      </c>
      <c r="G270" s="77" t="str">
        <f t="shared" si="73"/>
        <v/>
      </c>
      <c r="H270" s="113"/>
      <c r="I270" s="113"/>
      <c r="J270" s="113"/>
      <c r="K270" s="124"/>
      <c r="L270" s="123"/>
      <c r="M270" s="123"/>
      <c r="N270" s="124"/>
      <c r="O270" s="300"/>
      <c r="P270" s="81"/>
      <c r="R270" s="73" t="str">
        <f t="shared" si="74"/>
        <v/>
      </c>
      <c r="S270" s="73" t="str">
        <f t="shared" si="75"/>
        <v/>
      </c>
      <c r="T270" s="73" t="str">
        <f t="shared" si="76"/>
        <v/>
      </c>
      <c r="AD270" s="73" t="s">
        <v>3122</v>
      </c>
      <c r="AE270" s="73" t="s">
        <v>3123</v>
      </c>
      <c r="AF270" s="73" t="str">
        <f t="shared" si="77"/>
        <v>A679075</v>
      </c>
      <c r="AG270" s="73" t="str">
        <f>VLOOKUP(AF270,AKT!$C$4:$E$324,3,FALSE)</f>
        <v>0942</v>
      </c>
    </row>
    <row r="271" spans="1:33">
      <c r="A271" s="82"/>
      <c r="B271" s="77" t="str">
        <f t="shared" si="70"/>
        <v/>
      </c>
      <c r="C271" s="82"/>
      <c r="D271" s="77" t="str">
        <f t="shared" si="71"/>
        <v/>
      </c>
      <c r="E271" s="114"/>
      <c r="F271" s="77" t="str">
        <f t="shared" si="72"/>
        <v/>
      </c>
      <c r="G271" s="77" t="str">
        <f t="shared" si="73"/>
        <v/>
      </c>
      <c r="H271" s="113"/>
      <c r="I271" s="113"/>
      <c r="J271" s="113"/>
      <c r="K271" s="124"/>
      <c r="L271" s="123"/>
      <c r="M271" s="123"/>
      <c r="N271" s="124"/>
      <c r="O271" s="300"/>
      <c r="P271" s="81"/>
      <c r="R271" s="73" t="str">
        <f t="shared" si="74"/>
        <v/>
      </c>
      <c r="S271" s="73" t="str">
        <f t="shared" si="75"/>
        <v/>
      </c>
      <c r="T271" s="73" t="str">
        <f t="shared" si="76"/>
        <v/>
      </c>
      <c r="AD271" s="73" t="s">
        <v>751</v>
      </c>
      <c r="AE271" s="73" t="s">
        <v>752</v>
      </c>
      <c r="AF271" s="73" t="str">
        <f t="shared" si="77"/>
        <v>A679076</v>
      </c>
      <c r="AG271" s="73" t="str">
        <f>VLOOKUP(AF271,AKT!$C$4:$E$324,3,FALSE)</f>
        <v>0942</v>
      </c>
    </row>
    <row r="272" spans="1:33">
      <c r="A272" s="82"/>
      <c r="B272" s="77" t="str">
        <f t="shared" si="70"/>
        <v/>
      </c>
      <c r="C272" s="82"/>
      <c r="D272" s="77" t="str">
        <f t="shared" si="71"/>
        <v/>
      </c>
      <c r="E272" s="114"/>
      <c r="F272" s="77" t="str">
        <f t="shared" si="72"/>
        <v/>
      </c>
      <c r="G272" s="77" t="str">
        <f t="shared" si="73"/>
        <v/>
      </c>
      <c r="H272" s="113"/>
      <c r="I272" s="113"/>
      <c r="J272" s="113"/>
      <c r="K272" s="124"/>
      <c r="L272" s="123"/>
      <c r="M272" s="123"/>
      <c r="N272" s="124"/>
      <c r="O272" s="300"/>
      <c r="P272" s="81"/>
      <c r="R272" s="73" t="str">
        <f t="shared" si="74"/>
        <v/>
      </c>
      <c r="S272" s="73" t="str">
        <f t="shared" si="75"/>
        <v/>
      </c>
      <c r="T272" s="73" t="str">
        <f t="shared" si="76"/>
        <v/>
      </c>
      <c r="AD272" s="73" t="s">
        <v>753</v>
      </c>
      <c r="AE272" s="73" t="s">
        <v>754</v>
      </c>
      <c r="AF272" s="73" t="str">
        <f t="shared" si="77"/>
        <v>A679076</v>
      </c>
      <c r="AG272" s="73" t="str">
        <f>VLOOKUP(AF272,AKT!$C$4:$E$324,3,FALSE)</f>
        <v>0942</v>
      </c>
    </row>
    <row r="273" spans="1:33">
      <c r="A273" s="82"/>
      <c r="B273" s="77" t="str">
        <f t="shared" si="70"/>
        <v/>
      </c>
      <c r="C273" s="82"/>
      <c r="D273" s="77" t="str">
        <f t="shared" si="71"/>
        <v/>
      </c>
      <c r="E273" s="114"/>
      <c r="F273" s="77" t="str">
        <f t="shared" si="72"/>
        <v/>
      </c>
      <c r="G273" s="77" t="str">
        <f t="shared" si="73"/>
        <v/>
      </c>
      <c r="H273" s="113"/>
      <c r="I273" s="113"/>
      <c r="J273" s="113"/>
      <c r="K273" s="124"/>
      <c r="L273" s="123"/>
      <c r="M273" s="123"/>
      <c r="N273" s="124"/>
      <c r="O273" s="300"/>
      <c r="P273" s="81"/>
      <c r="R273" s="73" t="str">
        <f t="shared" si="74"/>
        <v/>
      </c>
      <c r="S273" s="73" t="str">
        <f t="shared" si="75"/>
        <v/>
      </c>
      <c r="T273" s="73" t="str">
        <f t="shared" si="76"/>
        <v/>
      </c>
      <c r="AD273" s="73" t="s">
        <v>755</v>
      </c>
      <c r="AE273" s="73" t="s">
        <v>756</v>
      </c>
      <c r="AF273" s="73" t="str">
        <f t="shared" si="77"/>
        <v>A679076</v>
      </c>
      <c r="AG273" s="73" t="str">
        <f>VLOOKUP(AF273,AKT!$C$4:$E$324,3,FALSE)</f>
        <v>0942</v>
      </c>
    </row>
    <row r="274" spans="1:33">
      <c r="A274" s="82"/>
      <c r="B274" s="77" t="str">
        <f t="shared" si="70"/>
        <v/>
      </c>
      <c r="C274" s="82"/>
      <c r="D274" s="77" t="str">
        <f t="shared" si="71"/>
        <v/>
      </c>
      <c r="E274" s="114"/>
      <c r="F274" s="77" t="str">
        <f t="shared" si="72"/>
        <v/>
      </c>
      <c r="G274" s="77" t="str">
        <f t="shared" si="73"/>
        <v/>
      </c>
      <c r="H274" s="113"/>
      <c r="I274" s="113"/>
      <c r="J274" s="113"/>
      <c r="K274" s="124"/>
      <c r="L274" s="123"/>
      <c r="M274" s="123"/>
      <c r="N274" s="124"/>
      <c r="O274" s="300"/>
      <c r="P274" s="81"/>
      <c r="R274" s="73" t="str">
        <f t="shared" si="74"/>
        <v/>
      </c>
      <c r="S274" s="73" t="str">
        <f t="shared" si="75"/>
        <v/>
      </c>
      <c r="T274" s="73" t="str">
        <f t="shared" si="76"/>
        <v/>
      </c>
      <c r="AD274" s="73" t="s">
        <v>2222</v>
      </c>
      <c r="AE274" s="73" t="s">
        <v>2223</v>
      </c>
      <c r="AF274" s="73" t="str">
        <f t="shared" si="77"/>
        <v>A679076</v>
      </c>
      <c r="AG274" s="73" t="str">
        <f>VLOOKUP(AF274,AKT!$C$4:$E$324,3,FALSE)</f>
        <v>0942</v>
      </c>
    </row>
    <row r="275" spans="1:33">
      <c r="A275" s="82"/>
      <c r="B275" s="77" t="str">
        <f t="shared" si="70"/>
        <v/>
      </c>
      <c r="C275" s="82"/>
      <c r="D275" s="77" t="str">
        <f t="shared" si="71"/>
        <v/>
      </c>
      <c r="E275" s="114"/>
      <c r="F275" s="77" t="str">
        <f t="shared" si="72"/>
        <v/>
      </c>
      <c r="G275" s="77" t="str">
        <f t="shared" si="73"/>
        <v/>
      </c>
      <c r="H275" s="113"/>
      <c r="I275" s="113"/>
      <c r="J275" s="113"/>
      <c r="K275" s="124"/>
      <c r="L275" s="123"/>
      <c r="M275" s="123"/>
      <c r="N275" s="124"/>
      <c r="O275" s="300"/>
      <c r="P275" s="81"/>
      <c r="R275" s="73" t="str">
        <f t="shared" si="74"/>
        <v/>
      </c>
      <c r="S275" s="73" t="str">
        <f t="shared" si="75"/>
        <v/>
      </c>
      <c r="T275" s="73" t="str">
        <f t="shared" si="76"/>
        <v/>
      </c>
      <c r="AD275" s="73" t="s">
        <v>2224</v>
      </c>
      <c r="AE275" s="73" t="s">
        <v>2225</v>
      </c>
      <c r="AF275" s="73" t="str">
        <f t="shared" si="77"/>
        <v>A679076</v>
      </c>
      <c r="AG275" s="73" t="str">
        <f>VLOOKUP(AF275,AKT!$C$4:$E$324,3,FALSE)</f>
        <v>0942</v>
      </c>
    </row>
    <row r="276" spans="1:33">
      <c r="A276" s="82"/>
      <c r="B276" s="77" t="str">
        <f t="shared" si="70"/>
        <v/>
      </c>
      <c r="C276" s="82"/>
      <c r="D276" s="77" t="str">
        <f t="shared" si="71"/>
        <v/>
      </c>
      <c r="E276" s="114"/>
      <c r="F276" s="77" t="str">
        <f t="shared" si="72"/>
        <v/>
      </c>
      <c r="G276" s="77" t="str">
        <f t="shared" si="73"/>
        <v/>
      </c>
      <c r="H276" s="113"/>
      <c r="I276" s="113"/>
      <c r="J276" s="113"/>
      <c r="K276" s="124"/>
      <c r="L276" s="123"/>
      <c r="M276" s="123"/>
      <c r="N276" s="124"/>
      <c r="O276" s="300"/>
      <c r="P276" s="81"/>
      <c r="R276" s="73" t="str">
        <f t="shared" si="74"/>
        <v/>
      </c>
      <c r="S276" s="73" t="str">
        <f t="shared" si="75"/>
        <v/>
      </c>
      <c r="T276" s="73" t="str">
        <f t="shared" si="76"/>
        <v/>
      </c>
      <c r="AD276" s="73" t="s">
        <v>2226</v>
      </c>
      <c r="AE276" s="73" t="s">
        <v>2227</v>
      </c>
      <c r="AF276" s="73" t="str">
        <f t="shared" si="77"/>
        <v>A679076</v>
      </c>
      <c r="AG276" s="73" t="str">
        <f>VLOOKUP(AF276,AKT!$C$4:$E$324,3,FALSE)</f>
        <v>0942</v>
      </c>
    </row>
    <row r="277" spans="1:33">
      <c r="A277" s="82"/>
      <c r="B277" s="77" t="str">
        <f t="shared" si="70"/>
        <v/>
      </c>
      <c r="C277" s="82"/>
      <c r="D277" s="77" t="str">
        <f t="shared" si="71"/>
        <v/>
      </c>
      <c r="E277" s="114"/>
      <c r="F277" s="77" t="str">
        <f t="shared" si="72"/>
        <v/>
      </c>
      <c r="G277" s="77" t="str">
        <f t="shared" si="73"/>
        <v/>
      </c>
      <c r="H277" s="113"/>
      <c r="I277" s="113"/>
      <c r="J277" s="113"/>
      <c r="K277" s="124"/>
      <c r="L277" s="123"/>
      <c r="M277" s="123"/>
      <c r="N277" s="124"/>
      <c r="O277" s="300"/>
      <c r="P277" s="81"/>
      <c r="R277" s="73" t="str">
        <f t="shared" si="74"/>
        <v/>
      </c>
      <c r="S277" s="73" t="str">
        <f t="shared" si="75"/>
        <v/>
      </c>
      <c r="T277" s="73" t="str">
        <f t="shared" si="76"/>
        <v/>
      </c>
      <c r="AD277" s="73" t="s">
        <v>2228</v>
      </c>
      <c r="AE277" s="73" t="s">
        <v>2229</v>
      </c>
      <c r="AF277" s="73" t="str">
        <f t="shared" si="77"/>
        <v>A679076</v>
      </c>
      <c r="AG277" s="73" t="str">
        <f>VLOOKUP(AF277,AKT!$C$4:$E$324,3,FALSE)</f>
        <v>0942</v>
      </c>
    </row>
    <row r="278" spans="1:33">
      <c r="A278" s="82"/>
      <c r="B278" s="77" t="str">
        <f t="shared" si="70"/>
        <v/>
      </c>
      <c r="C278" s="82"/>
      <c r="D278" s="77" t="str">
        <f t="shared" si="71"/>
        <v/>
      </c>
      <c r="E278" s="114"/>
      <c r="F278" s="77" t="str">
        <f t="shared" si="72"/>
        <v/>
      </c>
      <c r="G278" s="77" t="str">
        <f t="shared" si="73"/>
        <v/>
      </c>
      <c r="H278" s="113"/>
      <c r="I278" s="113"/>
      <c r="J278" s="113"/>
      <c r="K278" s="124"/>
      <c r="L278" s="123"/>
      <c r="M278" s="123"/>
      <c r="N278" s="124"/>
      <c r="O278" s="300"/>
      <c r="P278" s="81"/>
      <c r="R278" s="73" t="str">
        <f t="shared" si="74"/>
        <v/>
      </c>
      <c r="S278" s="73" t="str">
        <f t="shared" si="75"/>
        <v/>
      </c>
      <c r="T278" s="73" t="str">
        <f t="shared" si="76"/>
        <v/>
      </c>
      <c r="AD278" s="73" t="s">
        <v>2230</v>
      </c>
      <c r="AE278" s="73" t="s">
        <v>2231</v>
      </c>
      <c r="AF278" s="73" t="str">
        <f t="shared" si="77"/>
        <v>A679076</v>
      </c>
      <c r="AG278" s="73" t="str">
        <f>VLOOKUP(AF278,AKT!$C$4:$E$324,3,FALSE)</f>
        <v>0942</v>
      </c>
    </row>
    <row r="279" spans="1:33">
      <c r="A279" s="82"/>
      <c r="B279" s="77" t="str">
        <f t="shared" si="70"/>
        <v/>
      </c>
      <c r="C279" s="82"/>
      <c r="D279" s="77" t="str">
        <f t="shared" si="71"/>
        <v/>
      </c>
      <c r="E279" s="114"/>
      <c r="F279" s="77" t="str">
        <f t="shared" si="72"/>
        <v/>
      </c>
      <c r="G279" s="77" t="str">
        <f t="shared" si="73"/>
        <v/>
      </c>
      <c r="H279" s="113"/>
      <c r="I279" s="113"/>
      <c r="J279" s="113"/>
      <c r="K279" s="124"/>
      <c r="L279" s="123"/>
      <c r="M279" s="123"/>
      <c r="N279" s="124"/>
      <c r="O279" s="300"/>
      <c r="P279" s="81"/>
      <c r="R279" s="73" t="str">
        <f t="shared" si="74"/>
        <v/>
      </c>
      <c r="S279" s="73" t="str">
        <f t="shared" si="75"/>
        <v/>
      </c>
      <c r="T279" s="73" t="str">
        <f t="shared" si="76"/>
        <v/>
      </c>
      <c r="AD279" s="73" t="s">
        <v>2232</v>
      </c>
      <c r="AE279" s="73" t="s">
        <v>2233</v>
      </c>
      <c r="AF279" s="73" t="str">
        <f t="shared" si="77"/>
        <v>A679076</v>
      </c>
      <c r="AG279" s="73" t="str">
        <f>VLOOKUP(AF279,AKT!$C$4:$E$324,3,FALSE)</f>
        <v>0942</v>
      </c>
    </row>
    <row r="280" spans="1:33">
      <c r="A280" s="82"/>
      <c r="B280" s="77" t="str">
        <f t="shared" si="70"/>
        <v/>
      </c>
      <c r="C280" s="82"/>
      <c r="D280" s="77" t="str">
        <f t="shared" si="71"/>
        <v/>
      </c>
      <c r="E280" s="114"/>
      <c r="F280" s="77" t="str">
        <f t="shared" si="72"/>
        <v/>
      </c>
      <c r="G280" s="77" t="str">
        <f t="shared" si="73"/>
        <v/>
      </c>
      <c r="H280" s="113"/>
      <c r="I280" s="113"/>
      <c r="J280" s="113"/>
      <c r="K280" s="124"/>
      <c r="L280" s="123"/>
      <c r="M280" s="123"/>
      <c r="N280" s="124"/>
      <c r="O280" s="300"/>
      <c r="P280" s="81"/>
      <c r="R280" s="73" t="str">
        <f t="shared" si="74"/>
        <v/>
      </c>
      <c r="S280" s="73" t="str">
        <f t="shared" si="75"/>
        <v/>
      </c>
      <c r="T280" s="73" t="str">
        <f t="shared" si="76"/>
        <v/>
      </c>
      <c r="AD280" s="73" t="s">
        <v>2234</v>
      </c>
      <c r="AE280" s="73" t="s">
        <v>2235</v>
      </c>
      <c r="AF280" s="73" t="str">
        <f t="shared" si="77"/>
        <v>A679076</v>
      </c>
      <c r="AG280" s="73" t="str">
        <f>VLOOKUP(AF280,AKT!$C$4:$E$324,3,FALSE)</f>
        <v>0942</v>
      </c>
    </row>
    <row r="281" spans="1:33">
      <c r="A281" s="82"/>
      <c r="B281" s="77" t="str">
        <f t="shared" si="70"/>
        <v/>
      </c>
      <c r="C281" s="82"/>
      <c r="D281" s="77" t="str">
        <f t="shared" si="71"/>
        <v/>
      </c>
      <c r="E281" s="114"/>
      <c r="F281" s="77" t="str">
        <f t="shared" si="72"/>
        <v/>
      </c>
      <c r="G281" s="77" t="str">
        <f t="shared" si="73"/>
        <v/>
      </c>
      <c r="H281" s="113"/>
      <c r="I281" s="113"/>
      <c r="J281" s="113"/>
      <c r="K281" s="124"/>
      <c r="L281" s="123"/>
      <c r="M281" s="123"/>
      <c r="N281" s="124"/>
      <c r="O281" s="300"/>
      <c r="P281" s="81"/>
      <c r="R281" s="73" t="str">
        <f t="shared" si="74"/>
        <v/>
      </c>
      <c r="S281" s="73" t="str">
        <f t="shared" si="75"/>
        <v/>
      </c>
      <c r="T281" s="73" t="str">
        <f t="shared" si="76"/>
        <v/>
      </c>
      <c r="AD281" s="73" t="s">
        <v>2236</v>
      </c>
      <c r="AE281" s="73" t="s">
        <v>2237</v>
      </c>
      <c r="AF281" s="73" t="str">
        <f t="shared" si="77"/>
        <v>A679076</v>
      </c>
      <c r="AG281" s="73" t="str">
        <f>VLOOKUP(AF281,AKT!$C$4:$E$324,3,FALSE)</f>
        <v>0942</v>
      </c>
    </row>
    <row r="282" spans="1:33">
      <c r="A282" s="82"/>
      <c r="B282" s="77" t="str">
        <f t="shared" si="70"/>
        <v/>
      </c>
      <c r="C282" s="82"/>
      <c r="D282" s="77" t="str">
        <f t="shared" si="71"/>
        <v/>
      </c>
      <c r="E282" s="114"/>
      <c r="F282" s="77" t="str">
        <f t="shared" si="72"/>
        <v/>
      </c>
      <c r="G282" s="77" t="str">
        <f t="shared" si="73"/>
        <v/>
      </c>
      <c r="H282" s="113"/>
      <c r="I282" s="113"/>
      <c r="J282" s="113"/>
      <c r="K282" s="124"/>
      <c r="L282" s="123"/>
      <c r="M282" s="123"/>
      <c r="N282" s="124"/>
      <c r="O282" s="300"/>
      <c r="P282" s="81"/>
      <c r="R282" s="73" t="str">
        <f t="shared" si="74"/>
        <v/>
      </c>
      <c r="S282" s="73" t="str">
        <f t="shared" si="75"/>
        <v/>
      </c>
      <c r="T282" s="73" t="str">
        <f t="shared" si="76"/>
        <v/>
      </c>
      <c r="AD282" s="73" t="s">
        <v>2238</v>
      </c>
      <c r="AE282" s="73" t="s">
        <v>2239</v>
      </c>
      <c r="AF282" s="73" t="str">
        <f t="shared" si="77"/>
        <v>A679076</v>
      </c>
      <c r="AG282" s="73" t="str">
        <f>VLOOKUP(AF282,AKT!$C$4:$E$324,3,FALSE)</f>
        <v>0942</v>
      </c>
    </row>
    <row r="283" spans="1:33">
      <c r="A283" s="82"/>
      <c r="B283" s="77" t="str">
        <f t="shared" si="70"/>
        <v/>
      </c>
      <c r="C283" s="82"/>
      <c r="D283" s="77" t="str">
        <f t="shared" si="71"/>
        <v/>
      </c>
      <c r="E283" s="114"/>
      <c r="F283" s="77" t="str">
        <f t="shared" si="72"/>
        <v/>
      </c>
      <c r="G283" s="77" t="str">
        <f t="shared" si="73"/>
        <v/>
      </c>
      <c r="H283" s="113"/>
      <c r="I283" s="113"/>
      <c r="J283" s="113"/>
      <c r="K283" s="124"/>
      <c r="L283" s="123"/>
      <c r="M283" s="123"/>
      <c r="N283" s="124"/>
      <c r="O283" s="300"/>
      <c r="P283" s="81"/>
      <c r="R283" s="73" t="str">
        <f t="shared" si="74"/>
        <v/>
      </c>
      <c r="S283" s="73" t="str">
        <f t="shared" si="75"/>
        <v/>
      </c>
      <c r="T283" s="73" t="str">
        <f t="shared" si="76"/>
        <v/>
      </c>
      <c r="AD283" s="73" t="s">
        <v>3124</v>
      </c>
      <c r="AE283" s="73" t="s">
        <v>3125</v>
      </c>
      <c r="AF283" s="73" t="str">
        <f t="shared" si="77"/>
        <v>A679076</v>
      </c>
      <c r="AG283" s="73" t="str">
        <f>VLOOKUP(AF283,AKT!$C$4:$E$324,3,FALSE)</f>
        <v>0942</v>
      </c>
    </row>
    <row r="284" spans="1:33">
      <c r="A284" s="82"/>
      <c r="B284" s="77" t="str">
        <f t="shared" si="70"/>
        <v/>
      </c>
      <c r="C284" s="82"/>
      <c r="D284" s="77" t="str">
        <f t="shared" si="71"/>
        <v/>
      </c>
      <c r="E284" s="114"/>
      <c r="F284" s="77" t="str">
        <f t="shared" si="72"/>
        <v/>
      </c>
      <c r="G284" s="77" t="str">
        <f t="shared" si="73"/>
        <v/>
      </c>
      <c r="H284" s="113"/>
      <c r="I284" s="113"/>
      <c r="J284" s="113"/>
      <c r="K284" s="124"/>
      <c r="L284" s="123"/>
      <c r="M284" s="123"/>
      <c r="N284" s="124"/>
      <c r="O284" s="300"/>
      <c r="P284" s="81"/>
      <c r="R284" s="73" t="str">
        <f t="shared" si="74"/>
        <v/>
      </c>
      <c r="S284" s="73" t="str">
        <f t="shared" si="75"/>
        <v/>
      </c>
      <c r="T284" s="73" t="str">
        <f t="shared" si="76"/>
        <v/>
      </c>
      <c r="AD284" s="73" t="s">
        <v>3126</v>
      </c>
      <c r="AE284" s="73" t="s">
        <v>3127</v>
      </c>
      <c r="AF284" s="73" t="str">
        <f t="shared" si="77"/>
        <v>A679076</v>
      </c>
      <c r="AG284" s="73" t="str">
        <f>VLOOKUP(AF284,AKT!$C$4:$E$324,3,FALSE)</f>
        <v>0942</v>
      </c>
    </row>
    <row r="285" spans="1:33">
      <c r="A285" s="82"/>
      <c r="B285" s="77" t="str">
        <f t="shared" si="70"/>
        <v/>
      </c>
      <c r="C285" s="82"/>
      <c r="D285" s="77" t="str">
        <f t="shared" si="71"/>
        <v/>
      </c>
      <c r="E285" s="114"/>
      <c r="F285" s="77" t="str">
        <f t="shared" si="72"/>
        <v/>
      </c>
      <c r="G285" s="77" t="str">
        <f t="shared" si="73"/>
        <v/>
      </c>
      <c r="H285" s="113"/>
      <c r="I285" s="113"/>
      <c r="J285" s="113"/>
      <c r="K285" s="124"/>
      <c r="L285" s="123"/>
      <c r="M285" s="123"/>
      <c r="N285" s="124"/>
      <c r="O285" s="300"/>
      <c r="P285" s="81"/>
      <c r="R285" s="73" t="str">
        <f t="shared" si="74"/>
        <v/>
      </c>
      <c r="S285" s="73" t="str">
        <f t="shared" si="75"/>
        <v/>
      </c>
      <c r="T285" s="73" t="str">
        <f t="shared" si="76"/>
        <v/>
      </c>
      <c r="AD285" s="73" t="s">
        <v>3128</v>
      </c>
      <c r="AE285" s="73" t="s">
        <v>872</v>
      </c>
      <c r="AF285" s="73" t="str">
        <f t="shared" si="77"/>
        <v>A679076</v>
      </c>
      <c r="AG285" s="73" t="str">
        <f>VLOOKUP(AF285,AKT!$C$4:$E$324,3,FALSE)</f>
        <v>0942</v>
      </c>
    </row>
    <row r="286" spans="1:33">
      <c r="A286" s="82"/>
      <c r="B286" s="77" t="str">
        <f t="shared" si="70"/>
        <v/>
      </c>
      <c r="C286" s="82"/>
      <c r="D286" s="77" t="str">
        <f t="shared" si="71"/>
        <v/>
      </c>
      <c r="E286" s="114"/>
      <c r="F286" s="77" t="str">
        <f t="shared" si="72"/>
        <v/>
      </c>
      <c r="G286" s="77" t="str">
        <f t="shared" si="73"/>
        <v/>
      </c>
      <c r="H286" s="113"/>
      <c r="I286" s="113"/>
      <c r="J286" s="113"/>
      <c r="K286" s="124"/>
      <c r="L286" s="123"/>
      <c r="M286" s="123"/>
      <c r="N286" s="124"/>
      <c r="O286" s="300"/>
      <c r="P286" s="81"/>
      <c r="R286" s="73" t="str">
        <f t="shared" si="74"/>
        <v/>
      </c>
      <c r="S286" s="73" t="str">
        <f t="shared" si="75"/>
        <v/>
      </c>
      <c r="T286" s="73" t="str">
        <f t="shared" si="76"/>
        <v/>
      </c>
      <c r="AD286" s="73" t="s">
        <v>757</v>
      </c>
      <c r="AE286" s="73" t="s">
        <v>758</v>
      </c>
      <c r="AF286" s="73" t="str">
        <f t="shared" si="77"/>
        <v>A679077</v>
      </c>
      <c r="AG286" s="73" t="str">
        <f>VLOOKUP(AF286,AKT!$C$4:$E$324,3,FALSE)</f>
        <v>0942</v>
      </c>
    </row>
    <row r="287" spans="1:33">
      <c r="A287" s="82"/>
      <c r="B287" s="77" t="str">
        <f t="shared" si="70"/>
        <v/>
      </c>
      <c r="C287" s="82"/>
      <c r="D287" s="77" t="str">
        <f t="shared" si="71"/>
        <v/>
      </c>
      <c r="E287" s="114"/>
      <c r="F287" s="77" t="str">
        <f t="shared" si="72"/>
        <v/>
      </c>
      <c r="G287" s="77" t="str">
        <f t="shared" si="73"/>
        <v/>
      </c>
      <c r="H287" s="113"/>
      <c r="I287" s="113"/>
      <c r="J287" s="113"/>
      <c r="K287" s="124"/>
      <c r="L287" s="123"/>
      <c r="M287" s="123"/>
      <c r="N287" s="124"/>
      <c r="O287" s="300"/>
      <c r="P287" s="81"/>
      <c r="R287" s="73" t="str">
        <f t="shared" si="74"/>
        <v/>
      </c>
      <c r="S287" s="73" t="str">
        <f t="shared" si="75"/>
        <v/>
      </c>
      <c r="T287" s="73" t="str">
        <f t="shared" si="76"/>
        <v/>
      </c>
      <c r="AD287" s="73" t="s">
        <v>759</v>
      </c>
      <c r="AE287" s="73" t="s">
        <v>760</v>
      </c>
      <c r="AF287" s="73" t="str">
        <f t="shared" si="77"/>
        <v>A679077</v>
      </c>
      <c r="AG287" s="73" t="str">
        <f>VLOOKUP(AF287,AKT!$C$4:$E$324,3,FALSE)</f>
        <v>0942</v>
      </c>
    </row>
    <row r="288" spans="1:33">
      <c r="A288" s="82"/>
      <c r="B288" s="77" t="str">
        <f t="shared" si="70"/>
        <v/>
      </c>
      <c r="C288" s="82"/>
      <c r="D288" s="77" t="str">
        <f t="shared" si="71"/>
        <v/>
      </c>
      <c r="E288" s="114"/>
      <c r="F288" s="77" t="str">
        <f t="shared" si="72"/>
        <v/>
      </c>
      <c r="G288" s="77" t="str">
        <f t="shared" si="73"/>
        <v/>
      </c>
      <c r="H288" s="113"/>
      <c r="I288" s="113"/>
      <c r="J288" s="113"/>
      <c r="K288" s="124"/>
      <c r="L288" s="123"/>
      <c r="M288" s="123"/>
      <c r="N288" s="124"/>
      <c r="O288" s="300"/>
      <c r="P288" s="81"/>
      <c r="R288" s="73" t="str">
        <f t="shared" si="74"/>
        <v/>
      </c>
      <c r="S288" s="73" t="str">
        <f t="shared" si="75"/>
        <v/>
      </c>
      <c r="T288" s="73" t="str">
        <f t="shared" si="76"/>
        <v/>
      </c>
      <c r="AD288" s="73" t="s">
        <v>3129</v>
      </c>
      <c r="AE288" s="73" t="s">
        <v>3130</v>
      </c>
      <c r="AF288" s="73" t="str">
        <f t="shared" si="77"/>
        <v>A679077</v>
      </c>
      <c r="AG288" s="73" t="str">
        <f>VLOOKUP(AF288,AKT!$C$4:$E$324,3,FALSE)</f>
        <v>0942</v>
      </c>
    </row>
    <row r="289" spans="1:33">
      <c r="A289" s="82"/>
      <c r="B289" s="77" t="str">
        <f t="shared" si="70"/>
        <v/>
      </c>
      <c r="C289" s="82"/>
      <c r="D289" s="77" t="str">
        <f t="shared" si="71"/>
        <v/>
      </c>
      <c r="E289" s="114"/>
      <c r="F289" s="77" t="str">
        <f t="shared" si="72"/>
        <v/>
      </c>
      <c r="G289" s="77" t="str">
        <f t="shared" si="73"/>
        <v/>
      </c>
      <c r="H289" s="113"/>
      <c r="I289" s="113"/>
      <c r="J289" s="113"/>
      <c r="K289" s="124"/>
      <c r="L289" s="123"/>
      <c r="M289" s="123"/>
      <c r="N289" s="124"/>
      <c r="O289" s="300"/>
      <c r="P289" s="81"/>
      <c r="R289" s="73" t="str">
        <f t="shared" si="74"/>
        <v/>
      </c>
      <c r="S289" s="73" t="str">
        <f t="shared" si="75"/>
        <v/>
      </c>
      <c r="T289" s="73" t="str">
        <f t="shared" si="76"/>
        <v/>
      </c>
      <c r="AD289" s="73" t="s">
        <v>761</v>
      </c>
      <c r="AE289" s="73" t="s">
        <v>762</v>
      </c>
      <c r="AF289" s="73" t="str">
        <f t="shared" si="77"/>
        <v>A679077</v>
      </c>
      <c r="AG289" s="73" t="str">
        <f>VLOOKUP(AF289,AKT!$C$4:$E$324,3,FALSE)</f>
        <v>0942</v>
      </c>
    </row>
    <row r="290" spans="1:33">
      <c r="A290" s="82"/>
      <c r="B290" s="77" t="str">
        <f t="shared" si="70"/>
        <v/>
      </c>
      <c r="C290" s="82"/>
      <c r="D290" s="77" t="str">
        <f t="shared" si="71"/>
        <v/>
      </c>
      <c r="E290" s="114"/>
      <c r="F290" s="77" t="str">
        <f t="shared" si="72"/>
        <v/>
      </c>
      <c r="G290" s="77" t="str">
        <f t="shared" si="73"/>
        <v/>
      </c>
      <c r="H290" s="113"/>
      <c r="I290" s="113"/>
      <c r="J290" s="113"/>
      <c r="K290" s="124"/>
      <c r="L290" s="123"/>
      <c r="M290" s="123"/>
      <c r="N290" s="124"/>
      <c r="O290" s="300"/>
      <c r="P290" s="81"/>
      <c r="R290" s="73" t="str">
        <f t="shared" si="74"/>
        <v/>
      </c>
      <c r="S290" s="73" t="str">
        <f t="shared" si="75"/>
        <v/>
      </c>
      <c r="T290" s="73" t="str">
        <f t="shared" si="76"/>
        <v/>
      </c>
      <c r="AD290" s="73" t="s">
        <v>763</v>
      </c>
      <c r="AE290" s="73" t="s">
        <v>764</v>
      </c>
      <c r="AF290" s="73" t="str">
        <f t="shared" si="77"/>
        <v>A679077</v>
      </c>
      <c r="AG290" s="73" t="str">
        <f>VLOOKUP(AF290,AKT!$C$4:$E$324,3,FALSE)</f>
        <v>0942</v>
      </c>
    </row>
    <row r="291" spans="1:33">
      <c r="A291" s="82"/>
      <c r="B291" s="77" t="str">
        <f t="shared" ref="B291:B354" si="78">IFERROR(VLOOKUP(A291,$U$7:$V$21,2,FALSE),"")</f>
        <v/>
      </c>
      <c r="C291" s="82"/>
      <c r="D291" s="77" t="str">
        <f t="shared" ref="D291:D354" si="79">IFERROR(VLOOKUP(C291,$X$6:$Z$120,2,FALSE),"")</f>
        <v/>
      </c>
      <c r="E291" s="114"/>
      <c r="F291" s="77" t="str">
        <f t="shared" ref="F291:F354" si="80">IFERROR(VLOOKUP(E291,$AD$7:$AE$1081,2,FALSE),"")</f>
        <v/>
      </c>
      <c r="G291" s="77" t="str">
        <f t="shared" ref="G291:G354" si="81">IFERROR(VLOOKUP(E291,$AD$7:$AG$1081,4,FALSE),"")</f>
        <v/>
      </c>
      <c r="H291" s="113"/>
      <c r="I291" s="113"/>
      <c r="J291" s="113"/>
      <c r="K291" s="124"/>
      <c r="L291" s="123"/>
      <c r="M291" s="123"/>
      <c r="N291" s="124"/>
      <c r="O291" s="300"/>
      <c r="P291" s="81"/>
      <c r="R291" s="73" t="str">
        <f t="shared" si="74"/>
        <v/>
      </c>
      <c r="S291" s="73" t="str">
        <f t="shared" si="75"/>
        <v/>
      </c>
      <c r="T291" s="73" t="str">
        <f t="shared" si="76"/>
        <v/>
      </c>
      <c r="AD291" s="73" t="s">
        <v>765</v>
      </c>
      <c r="AE291" s="73" t="s">
        <v>766</v>
      </c>
      <c r="AF291" s="73" t="str">
        <f t="shared" si="77"/>
        <v>A679077</v>
      </c>
      <c r="AG291" s="73" t="str">
        <f>VLOOKUP(AF291,AKT!$C$4:$E$324,3,FALSE)</f>
        <v>0942</v>
      </c>
    </row>
    <row r="292" spans="1:33">
      <c r="A292" s="82"/>
      <c r="B292" s="77" t="str">
        <f t="shared" si="78"/>
        <v/>
      </c>
      <c r="C292" s="82"/>
      <c r="D292" s="77" t="str">
        <f t="shared" si="79"/>
        <v/>
      </c>
      <c r="E292" s="114"/>
      <c r="F292" s="77" t="str">
        <f t="shared" si="80"/>
        <v/>
      </c>
      <c r="G292" s="77" t="str">
        <f t="shared" si="81"/>
        <v/>
      </c>
      <c r="H292" s="113"/>
      <c r="I292" s="113"/>
      <c r="J292" s="113"/>
      <c r="K292" s="124"/>
      <c r="L292" s="123"/>
      <c r="M292" s="123"/>
      <c r="N292" s="124"/>
      <c r="O292" s="300"/>
      <c r="P292" s="81"/>
      <c r="R292" s="73" t="str">
        <f t="shared" si="74"/>
        <v/>
      </c>
      <c r="S292" s="73" t="str">
        <f t="shared" si="75"/>
        <v/>
      </c>
      <c r="T292" s="73" t="str">
        <f t="shared" si="76"/>
        <v/>
      </c>
      <c r="AD292" s="73" t="s">
        <v>767</v>
      </c>
      <c r="AE292" s="73" t="s">
        <v>768</v>
      </c>
      <c r="AF292" s="73" t="str">
        <f t="shared" si="77"/>
        <v>A679077</v>
      </c>
      <c r="AG292" s="73" t="str">
        <f>VLOOKUP(AF292,AKT!$C$4:$E$324,3,FALSE)</f>
        <v>0942</v>
      </c>
    </row>
    <row r="293" spans="1:33">
      <c r="A293" s="82"/>
      <c r="B293" s="77" t="str">
        <f t="shared" si="78"/>
        <v/>
      </c>
      <c r="C293" s="82"/>
      <c r="D293" s="77" t="str">
        <f t="shared" si="79"/>
        <v/>
      </c>
      <c r="E293" s="114"/>
      <c r="F293" s="77" t="str">
        <f t="shared" si="80"/>
        <v/>
      </c>
      <c r="G293" s="77" t="str">
        <f t="shared" si="81"/>
        <v/>
      </c>
      <c r="H293" s="113"/>
      <c r="I293" s="113"/>
      <c r="J293" s="113"/>
      <c r="K293" s="124"/>
      <c r="L293" s="123"/>
      <c r="M293" s="123"/>
      <c r="N293" s="124"/>
      <c r="O293" s="300"/>
      <c r="P293" s="81"/>
      <c r="R293" s="73" t="str">
        <f t="shared" si="74"/>
        <v/>
      </c>
      <c r="S293" s="73" t="str">
        <f t="shared" si="75"/>
        <v/>
      </c>
      <c r="T293" s="73" t="str">
        <f t="shared" si="76"/>
        <v/>
      </c>
      <c r="AD293" s="73" t="s">
        <v>769</v>
      </c>
      <c r="AE293" s="73" t="s">
        <v>770</v>
      </c>
      <c r="AF293" s="73" t="str">
        <f t="shared" si="77"/>
        <v>A679077</v>
      </c>
      <c r="AG293" s="73" t="str">
        <f>VLOOKUP(AF293,AKT!$C$4:$E$324,3,FALSE)</f>
        <v>0942</v>
      </c>
    </row>
    <row r="294" spans="1:33">
      <c r="A294" s="82"/>
      <c r="B294" s="77" t="str">
        <f t="shared" si="78"/>
        <v/>
      </c>
      <c r="C294" s="82"/>
      <c r="D294" s="77" t="str">
        <f t="shared" si="79"/>
        <v/>
      </c>
      <c r="E294" s="114"/>
      <c r="F294" s="77" t="str">
        <f t="shared" si="80"/>
        <v/>
      </c>
      <c r="G294" s="77" t="str">
        <f t="shared" si="81"/>
        <v/>
      </c>
      <c r="H294" s="113"/>
      <c r="I294" s="113"/>
      <c r="J294" s="113"/>
      <c r="K294" s="124"/>
      <c r="L294" s="123"/>
      <c r="M294" s="123"/>
      <c r="N294" s="124"/>
      <c r="O294" s="300"/>
      <c r="P294" s="81"/>
      <c r="R294" s="73" t="str">
        <f t="shared" si="74"/>
        <v/>
      </c>
      <c r="S294" s="73" t="str">
        <f t="shared" si="75"/>
        <v/>
      </c>
      <c r="T294" s="73" t="str">
        <f t="shared" si="76"/>
        <v/>
      </c>
      <c r="AD294" s="73" t="s">
        <v>3131</v>
      </c>
      <c r="AE294" s="73" t="s">
        <v>3132</v>
      </c>
      <c r="AF294" s="73" t="str">
        <f t="shared" si="77"/>
        <v>A679077</v>
      </c>
      <c r="AG294" s="73" t="str">
        <f>VLOOKUP(AF294,AKT!$C$4:$E$324,3,FALSE)</f>
        <v>0942</v>
      </c>
    </row>
    <row r="295" spans="1:33">
      <c r="A295" s="82"/>
      <c r="B295" s="77" t="str">
        <f t="shared" si="78"/>
        <v/>
      </c>
      <c r="C295" s="82"/>
      <c r="D295" s="77" t="str">
        <f t="shared" si="79"/>
        <v/>
      </c>
      <c r="E295" s="114"/>
      <c r="F295" s="77" t="str">
        <f t="shared" si="80"/>
        <v/>
      </c>
      <c r="G295" s="77" t="str">
        <f t="shared" si="81"/>
        <v/>
      </c>
      <c r="H295" s="113"/>
      <c r="I295" s="113"/>
      <c r="J295" s="113"/>
      <c r="K295" s="124"/>
      <c r="L295" s="123"/>
      <c r="M295" s="123"/>
      <c r="N295" s="124"/>
      <c r="O295" s="300"/>
      <c r="P295" s="81"/>
      <c r="R295" s="73" t="str">
        <f t="shared" si="74"/>
        <v/>
      </c>
      <c r="S295" s="73" t="str">
        <f t="shared" si="75"/>
        <v/>
      </c>
      <c r="T295" s="73" t="str">
        <f t="shared" si="76"/>
        <v/>
      </c>
      <c r="AD295" s="73" t="s">
        <v>771</v>
      </c>
      <c r="AE295" s="73" t="s">
        <v>772</v>
      </c>
      <c r="AF295" s="73" t="str">
        <f t="shared" si="77"/>
        <v>A679077</v>
      </c>
      <c r="AG295" s="73" t="str">
        <f>VLOOKUP(AF295,AKT!$C$4:$E$324,3,FALSE)</f>
        <v>0942</v>
      </c>
    </row>
    <row r="296" spans="1:33">
      <c r="A296" s="82"/>
      <c r="B296" s="77" t="str">
        <f t="shared" si="78"/>
        <v/>
      </c>
      <c r="C296" s="82"/>
      <c r="D296" s="77" t="str">
        <f t="shared" si="79"/>
        <v/>
      </c>
      <c r="E296" s="114"/>
      <c r="F296" s="77" t="str">
        <f t="shared" si="80"/>
        <v/>
      </c>
      <c r="G296" s="77" t="str">
        <f t="shared" si="81"/>
        <v/>
      </c>
      <c r="H296" s="113"/>
      <c r="I296" s="113"/>
      <c r="J296" s="113"/>
      <c r="K296" s="124"/>
      <c r="L296" s="123"/>
      <c r="M296" s="123"/>
      <c r="N296" s="124"/>
      <c r="O296" s="300"/>
      <c r="P296" s="81"/>
      <c r="R296" s="73" t="str">
        <f t="shared" si="74"/>
        <v/>
      </c>
      <c r="S296" s="73" t="str">
        <f t="shared" si="75"/>
        <v/>
      </c>
      <c r="T296" s="73" t="str">
        <f t="shared" si="76"/>
        <v/>
      </c>
      <c r="AD296" s="73" t="s">
        <v>773</v>
      </c>
      <c r="AE296" s="73" t="s">
        <v>774</v>
      </c>
      <c r="AF296" s="73" t="str">
        <f t="shared" si="77"/>
        <v>A679077</v>
      </c>
      <c r="AG296" s="73" t="str">
        <f>VLOOKUP(AF296,AKT!$C$4:$E$324,3,FALSE)</f>
        <v>0942</v>
      </c>
    </row>
    <row r="297" spans="1:33">
      <c r="A297" s="82"/>
      <c r="B297" s="77" t="str">
        <f t="shared" si="78"/>
        <v/>
      </c>
      <c r="C297" s="82"/>
      <c r="D297" s="77" t="str">
        <f t="shared" si="79"/>
        <v/>
      </c>
      <c r="E297" s="114"/>
      <c r="F297" s="77" t="str">
        <f t="shared" si="80"/>
        <v/>
      </c>
      <c r="G297" s="77" t="str">
        <f t="shared" si="81"/>
        <v/>
      </c>
      <c r="H297" s="113"/>
      <c r="I297" s="113"/>
      <c r="J297" s="113"/>
      <c r="K297" s="124"/>
      <c r="L297" s="123"/>
      <c r="M297" s="123"/>
      <c r="N297" s="124"/>
      <c r="O297" s="300"/>
      <c r="P297" s="81"/>
      <c r="R297" s="73" t="str">
        <f t="shared" si="74"/>
        <v/>
      </c>
      <c r="S297" s="73" t="str">
        <f t="shared" si="75"/>
        <v/>
      </c>
      <c r="T297" s="73" t="str">
        <f t="shared" si="76"/>
        <v/>
      </c>
      <c r="AD297" s="73" t="s">
        <v>775</v>
      </c>
      <c r="AE297" s="73" t="s">
        <v>776</v>
      </c>
      <c r="AF297" s="73" t="str">
        <f t="shared" si="77"/>
        <v>A679077</v>
      </c>
      <c r="AG297" s="73" t="str">
        <f>VLOOKUP(AF297,AKT!$C$4:$E$324,3,FALSE)</f>
        <v>0942</v>
      </c>
    </row>
    <row r="298" spans="1:33">
      <c r="A298" s="82"/>
      <c r="B298" s="77" t="str">
        <f t="shared" si="78"/>
        <v/>
      </c>
      <c r="C298" s="82"/>
      <c r="D298" s="77" t="str">
        <f t="shared" si="79"/>
        <v/>
      </c>
      <c r="E298" s="114"/>
      <c r="F298" s="77" t="str">
        <f t="shared" si="80"/>
        <v/>
      </c>
      <c r="G298" s="77" t="str">
        <f t="shared" si="81"/>
        <v/>
      </c>
      <c r="H298" s="113"/>
      <c r="I298" s="113"/>
      <c r="J298" s="113"/>
      <c r="K298" s="124"/>
      <c r="L298" s="123"/>
      <c r="M298" s="123"/>
      <c r="N298" s="124"/>
      <c r="O298" s="300"/>
      <c r="P298" s="81"/>
      <c r="R298" s="73" t="str">
        <f t="shared" si="74"/>
        <v/>
      </c>
      <c r="S298" s="73" t="str">
        <f t="shared" si="75"/>
        <v/>
      </c>
      <c r="T298" s="73" t="str">
        <f t="shared" si="76"/>
        <v/>
      </c>
      <c r="AD298" s="73" t="s">
        <v>777</v>
      </c>
      <c r="AE298" s="73" t="s">
        <v>778</v>
      </c>
      <c r="AF298" s="73" t="str">
        <f t="shared" si="77"/>
        <v>A679077</v>
      </c>
      <c r="AG298" s="73" t="str">
        <f>VLOOKUP(AF298,AKT!$C$4:$E$324,3,FALSE)</f>
        <v>0942</v>
      </c>
    </row>
    <row r="299" spans="1:33">
      <c r="A299" s="82"/>
      <c r="B299" s="77" t="str">
        <f t="shared" si="78"/>
        <v/>
      </c>
      <c r="C299" s="82"/>
      <c r="D299" s="77" t="str">
        <f t="shared" si="79"/>
        <v/>
      </c>
      <c r="E299" s="114"/>
      <c r="F299" s="77" t="str">
        <f t="shared" si="80"/>
        <v/>
      </c>
      <c r="G299" s="77" t="str">
        <f t="shared" si="81"/>
        <v/>
      </c>
      <c r="H299" s="113"/>
      <c r="I299" s="113"/>
      <c r="J299" s="113"/>
      <c r="K299" s="124"/>
      <c r="L299" s="123"/>
      <c r="M299" s="123"/>
      <c r="N299" s="124"/>
      <c r="O299" s="300"/>
      <c r="P299" s="81"/>
      <c r="R299" s="73" t="str">
        <f t="shared" si="74"/>
        <v/>
      </c>
      <c r="S299" s="73" t="str">
        <f t="shared" si="75"/>
        <v/>
      </c>
      <c r="T299" s="73" t="str">
        <f t="shared" si="76"/>
        <v/>
      </c>
      <c r="AD299" s="73" t="s">
        <v>779</v>
      </c>
      <c r="AE299" s="73" t="s">
        <v>780</v>
      </c>
      <c r="AF299" s="73" t="str">
        <f t="shared" si="77"/>
        <v>A679077</v>
      </c>
      <c r="AG299" s="73" t="str">
        <f>VLOOKUP(AF299,AKT!$C$4:$E$324,3,FALSE)</f>
        <v>0942</v>
      </c>
    </row>
    <row r="300" spans="1:33">
      <c r="A300" s="82"/>
      <c r="B300" s="77" t="str">
        <f t="shared" si="78"/>
        <v/>
      </c>
      <c r="C300" s="82"/>
      <c r="D300" s="77" t="str">
        <f t="shared" si="79"/>
        <v/>
      </c>
      <c r="E300" s="114"/>
      <c r="F300" s="77" t="str">
        <f t="shared" si="80"/>
        <v/>
      </c>
      <c r="G300" s="77" t="str">
        <f t="shared" si="81"/>
        <v/>
      </c>
      <c r="H300" s="113"/>
      <c r="I300" s="113"/>
      <c r="J300" s="113"/>
      <c r="K300" s="124"/>
      <c r="L300" s="123"/>
      <c r="M300" s="123"/>
      <c r="N300" s="124"/>
      <c r="O300" s="300"/>
      <c r="P300" s="81"/>
      <c r="R300" s="73" t="str">
        <f t="shared" si="74"/>
        <v/>
      </c>
      <c r="S300" s="73" t="str">
        <f t="shared" si="75"/>
        <v/>
      </c>
      <c r="T300" s="73" t="str">
        <f t="shared" si="76"/>
        <v/>
      </c>
      <c r="AD300" s="73" t="s">
        <v>781</v>
      </c>
      <c r="AE300" s="73" t="s">
        <v>782</v>
      </c>
      <c r="AF300" s="73" t="str">
        <f t="shared" si="77"/>
        <v>A679077</v>
      </c>
      <c r="AG300" s="73" t="str">
        <f>VLOOKUP(AF300,AKT!$C$4:$E$324,3,FALSE)</f>
        <v>0942</v>
      </c>
    </row>
    <row r="301" spans="1:33">
      <c r="A301" s="82"/>
      <c r="B301" s="77" t="str">
        <f t="shared" si="78"/>
        <v/>
      </c>
      <c r="C301" s="82"/>
      <c r="D301" s="77" t="str">
        <f t="shared" si="79"/>
        <v/>
      </c>
      <c r="E301" s="114"/>
      <c r="F301" s="77" t="str">
        <f t="shared" si="80"/>
        <v/>
      </c>
      <c r="G301" s="77" t="str">
        <f t="shared" si="81"/>
        <v/>
      </c>
      <c r="H301" s="113"/>
      <c r="I301" s="113"/>
      <c r="J301" s="113"/>
      <c r="K301" s="124"/>
      <c r="L301" s="123"/>
      <c r="M301" s="123"/>
      <c r="N301" s="124"/>
      <c r="O301" s="300"/>
      <c r="P301" s="81"/>
      <c r="R301" s="73" t="str">
        <f t="shared" si="74"/>
        <v/>
      </c>
      <c r="S301" s="73" t="str">
        <f t="shared" si="75"/>
        <v/>
      </c>
      <c r="T301" s="73" t="str">
        <f t="shared" si="76"/>
        <v/>
      </c>
      <c r="AD301" s="73" t="s">
        <v>783</v>
      </c>
      <c r="AE301" s="73" t="s">
        <v>784</v>
      </c>
      <c r="AF301" s="73" t="str">
        <f t="shared" si="77"/>
        <v>A679077</v>
      </c>
      <c r="AG301" s="73" t="str">
        <f>VLOOKUP(AF301,AKT!$C$4:$E$324,3,FALSE)</f>
        <v>0942</v>
      </c>
    </row>
    <row r="302" spans="1:33">
      <c r="A302" s="82"/>
      <c r="B302" s="77" t="str">
        <f t="shared" si="78"/>
        <v/>
      </c>
      <c r="C302" s="82"/>
      <c r="D302" s="77" t="str">
        <f t="shared" si="79"/>
        <v/>
      </c>
      <c r="E302" s="114"/>
      <c r="F302" s="77" t="str">
        <f t="shared" si="80"/>
        <v/>
      </c>
      <c r="G302" s="77" t="str">
        <f t="shared" si="81"/>
        <v/>
      </c>
      <c r="H302" s="113"/>
      <c r="I302" s="113"/>
      <c r="J302" s="113"/>
      <c r="K302" s="124"/>
      <c r="L302" s="123"/>
      <c r="M302" s="123"/>
      <c r="N302" s="124"/>
      <c r="O302" s="300"/>
      <c r="P302" s="81"/>
      <c r="R302" s="73" t="str">
        <f t="shared" si="74"/>
        <v/>
      </c>
      <c r="S302" s="73" t="str">
        <f t="shared" si="75"/>
        <v/>
      </c>
      <c r="T302" s="73" t="str">
        <f t="shared" si="76"/>
        <v/>
      </c>
      <c r="AD302" s="73" t="s">
        <v>785</v>
      </c>
      <c r="AE302" s="73" t="s">
        <v>786</v>
      </c>
      <c r="AF302" s="73" t="str">
        <f t="shared" si="77"/>
        <v>A679077</v>
      </c>
      <c r="AG302" s="73" t="str">
        <f>VLOOKUP(AF302,AKT!$C$4:$E$324,3,FALSE)</f>
        <v>0942</v>
      </c>
    </row>
    <row r="303" spans="1:33">
      <c r="A303" s="82"/>
      <c r="B303" s="77" t="str">
        <f t="shared" si="78"/>
        <v/>
      </c>
      <c r="C303" s="82"/>
      <c r="D303" s="77" t="str">
        <f t="shared" si="79"/>
        <v/>
      </c>
      <c r="E303" s="114"/>
      <c r="F303" s="77" t="str">
        <f t="shared" si="80"/>
        <v/>
      </c>
      <c r="G303" s="77" t="str">
        <f t="shared" si="81"/>
        <v/>
      </c>
      <c r="H303" s="113"/>
      <c r="I303" s="113"/>
      <c r="J303" s="113"/>
      <c r="K303" s="124"/>
      <c r="L303" s="123"/>
      <c r="M303" s="123"/>
      <c r="N303" s="124"/>
      <c r="O303" s="300"/>
      <c r="P303" s="81"/>
      <c r="R303" s="73" t="str">
        <f t="shared" si="74"/>
        <v/>
      </c>
      <c r="S303" s="73" t="str">
        <f t="shared" si="75"/>
        <v/>
      </c>
      <c r="T303" s="73" t="str">
        <f t="shared" si="76"/>
        <v/>
      </c>
      <c r="AD303" s="73" t="s">
        <v>787</v>
      </c>
      <c r="AE303" s="73" t="s">
        <v>788</v>
      </c>
      <c r="AF303" s="73" t="str">
        <f t="shared" si="77"/>
        <v>A679077</v>
      </c>
      <c r="AG303" s="73" t="str">
        <f>VLOOKUP(AF303,AKT!$C$4:$E$324,3,FALSE)</f>
        <v>0942</v>
      </c>
    </row>
    <row r="304" spans="1:33">
      <c r="A304" s="82"/>
      <c r="B304" s="77" t="str">
        <f t="shared" si="78"/>
        <v/>
      </c>
      <c r="C304" s="82"/>
      <c r="D304" s="77" t="str">
        <f t="shared" si="79"/>
        <v/>
      </c>
      <c r="E304" s="114"/>
      <c r="F304" s="77" t="str">
        <f t="shared" si="80"/>
        <v/>
      </c>
      <c r="G304" s="77" t="str">
        <f t="shared" si="81"/>
        <v/>
      </c>
      <c r="H304" s="113"/>
      <c r="I304" s="113"/>
      <c r="J304" s="113"/>
      <c r="K304" s="124"/>
      <c r="L304" s="123"/>
      <c r="M304" s="123"/>
      <c r="N304" s="124"/>
      <c r="O304" s="300"/>
      <c r="P304" s="81"/>
      <c r="R304" s="73" t="str">
        <f t="shared" si="74"/>
        <v/>
      </c>
      <c r="S304" s="73" t="str">
        <f t="shared" si="75"/>
        <v/>
      </c>
      <c r="T304" s="73" t="str">
        <f t="shared" si="76"/>
        <v/>
      </c>
      <c r="AD304" s="73" t="s">
        <v>789</v>
      </c>
      <c r="AE304" s="73" t="s">
        <v>790</v>
      </c>
      <c r="AF304" s="73" t="str">
        <f t="shared" si="77"/>
        <v>A679077</v>
      </c>
      <c r="AG304" s="73" t="str">
        <f>VLOOKUP(AF304,AKT!$C$4:$E$324,3,FALSE)</f>
        <v>0942</v>
      </c>
    </row>
    <row r="305" spans="1:33">
      <c r="A305" s="82"/>
      <c r="B305" s="77" t="str">
        <f t="shared" si="78"/>
        <v/>
      </c>
      <c r="C305" s="82"/>
      <c r="D305" s="77" t="str">
        <f t="shared" si="79"/>
        <v/>
      </c>
      <c r="E305" s="114"/>
      <c r="F305" s="77" t="str">
        <f t="shared" si="80"/>
        <v/>
      </c>
      <c r="G305" s="77" t="str">
        <f t="shared" si="81"/>
        <v/>
      </c>
      <c r="H305" s="113"/>
      <c r="I305" s="113"/>
      <c r="J305" s="113"/>
      <c r="K305" s="124"/>
      <c r="L305" s="123"/>
      <c r="M305" s="123"/>
      <c r="N305" s="124"/>
      <c r="O305" s="300"/>
      <c r="P305" s="81"/>
      <c r="R305" s="73" t="str">
        <f t="shared" si="74"/>
        <v/>
      </c>
      <c r="S305" s="73" t="str">
        <f t="shared" si="75"/>
        <v/>
      </c>
      <c r="T305" s="73" t="str">
        <f t="shared" si="76"/>
        <v/>
      </c>
      <c r="AD305" s="73" t="s">
        <v>791</v>
      </c>
      <c r="AE305" s="73" t="s">
        <v>792</v>
      </c>
      <c r="AF305" s="73" t="str">
        <f t="shared" si="77"/>
        <v>A679077</v>
      </c>
      <c r="AG305" s="73" t="str">
        <f>VLOOKUP(AF305,AKT!$C$4:$E$324,3,FALSE)</f>
        <v>0942</v>
      </c>
    </row>
    <row r="306" spans="1:33">
      <c r="A306" s="82"/>
      <c r="B306" s="77" t="str">
        <f t="shared" si="78"/>
        <v/>
      </c>
      <c r="C306" s="82"/>
      <c r="D306" s="77" t="str">
        <f t="shared" si="79"/>
        <v/>
      </c>
      <c r="E306" s="114"/>
      <c r="F306" s="77" t="str">
        <f t="shared" si="80"/>
        <v/>
      </c>
      <c r="G306" s="77" t="str">
        <f t="shared" si="81"/>
        <v/>
      </c>
      <c r="H306" s="113"/>
      <c r="I306" s="113"/>
      <c r="J306" s="113"/>
      <c r="K306" s="124"/>
      <c r="L306" s="123"/>
      <c r="M306" s="123"/>
      <c r="N306" s="124"/>
      <c r="O306" s="300"/>
      <c r="P306" s="81"/>
      <c r="R306" s="73" t="str">
        <f t="shared" si="74"/>
        <v/>
      </c>
      <c r="S306" s="73" t="str">
        <f t="shared" si="75"/>
        <v/>
      </c>
      <c r="T306" s="73" t="str">
        <f t="shared" si="76"/>
        <v/>
      </c>
      <c r="AD306" s="73" t="s">
        <v>793</v>
      </c>
      <c r="AE306" s="73" t="s">
        <v>794</v>
      </c>
      <c r="AF306" s="73" t="str">
        <f t="shared" si="77"/>
        <v>A679077</v>
      </c>
      <c r="AG306" s="73" t="str">
        <f>VLOOKUP(AF306,AKT!$C$4:$E$324,3,FALSE)</f>
        <v>0942</v>
      </c>
    </row>
    <row r="307" spans="1:33">
      <c r="A307" s="82"/>
      <c r="B307" s="77" t="str">
        <f t="shared" si="78"/>
        <v/>
      </c>
      <c r="C307" s="82"/>
      <c r="D307" s="77" t="str">
        <f t="shared" si="79"/>
        <v/>
      </c>
      <c r="E307" s="114"/>
      <c r="F307" s="77" t="str">
        <f t="shared" si="80"/>
        <v/>
      </c>
      <c r="G307" s="77" t="str">
        <f t="shared" si="81"/>
        <v/>
      </c>
      <c r="H307" s="113"/>
      <c r="I307" s="113"/>
      <c r="J307" s="113"/>
      <c r="K307" s="124"/>
      <c r="L307" s="123"/>
      <c r="M307" s="123"/>
      <c r="N307" s="124"/>
      <c r="O307" s="300"/>
      <c r="P307" s="81"/>
      <c r="R307" s="73" t="str">
        <f t="shared" si="74"/>
        <v/>
      </c>
      <c r="S307" s="73" t="str">
        <f t="shared" si="75"/>
        <v/>
      </c>
      <c r="T307" s="73" t="str">
        <f t="shared" si="76"/>
        <v/>
      </c>
      <c r="AD307" s="73" t="s">
        <v>795</v>
      </c>
      <c r="AE307" s="73" t="s">
        <v>794</v>
      </c>
      <c r="AF307" s="73" t="str">
        <f t="shared" si="77"/>
        <v>A679077</v>
      </c>
      <c r="AG307" s="73" t="str">
        <f>VLOOKUP(AF307,AKT!$C$4:$E$324,3,FALSE)</f>
        <v>0942</v>
      </c>
    </row>
    <row r="308" spans="1:33">
      <c r="A308" s="82"/>
      <c r="B308" s="77" t="str">
        <f t="shared" si="78"/>
        <v/>
      </c>
      <c r="C308" s="82"/>
      <c r="D308" s="77" t="str">
        <f t="shared" si="79"/>
        <v/>
      </c>
      <c r="E308" s="114"/>
      <c r="F308" s="77" t="str">
        <f t="shared" si="80"/>
        <v/>
      </c>
      <c r="G308" s="77" t="str">
        <f t="shared" si="81"/>
        <v/>
      </c>
      <c r="H308" s="113"/>
      <c r="I308" s="113"/>
      <c r="J308" s="113"/>
      <c r="K308" s="124"/>
      <c r="L308" s="123"/>
      <c r="M308" s="123"/>
      <c r="N308" s="124"/>
      <c r="O308" s="300"/>
      <c r="P308" s="81"/>
      <c r="R308" s="73" t="str">
        <f t="shared" si="74"/>
        <v/>
      </c>
      <c r="S308" s="73" t="str">
        <f t="shared" si="75"/>
        <v/>
      </c>
      <c r="T308" s="73" t="str">
        <f t="shared" si="76"/>
        <v/>
      </c>
      <c r="AD308" s="73" t="s">
        <v>796</v>
      </c>
      <c r="AE308" s="73" t="s">
        <v>797</v>
      </c>
      <c r="AF308" s="73" t="str">
        <f t="shared" si="77"/>
        <v>A679077</v>
      </c>
      <c r="AG308" s="73" t="str">
        <f>VLOOKUP(AF308,AKT!$C$4:$E$324,3,FALSE)</f>
        <v>0942</v>
      </c>
    </row>
    <row r="309" spans="1:33">
      <c r="A309" s="82"/>
      <c r="B309" s="77" t="str">
        <f t="shared" si="78"/>
        <v/>
      </c>
      <c r="C309" s="82"/>
      <c r="D309" s="77" t="str">
        <f t="shared" si="79"/>
        <v/>
      </c>
      <c r="E309" s="114"/>
      <c r="F309" s="77" t="str">
        <f t="shared" si="80"/>
        <v/>
      </c>
      <c r="G309" s="77" t="str">
        <f t="shared" si="81"/>
        <v/>
      </c>
      <c r="H309" s="113"/>
      <c r="I309" s="113"/>
      <c r="J309" s="113"/>
      <c r="K309" s="124"/>
      <c r="L309" s="123"/>
      <c r="M309" s="123"/>
      <c r="N309" s="124"/>
      <c r="O309" s="300"/>
      <c r="P309" s="81"/>
      <c r="R309" s="73" t="str">
        <f t="shared" si="74"/>
        <v/>
      </c>
      <c r="S309" s="73" t="str">
        <f t="shared" si="75"/>
        <v/>
      </c>
      <c r="T309" s="73" t="str">
        <f t="shared" si="76"/>
        <v/>
      </c>
      <c r="AD309" s="73" t="s">
        <v>798</v>
      </c>
      <c r="AE309" s="73" t="s">
        <v>797</v>
      </c>
      <c r="AF309" s="73" t="str">
        <f t="shared" si="77"/>
        <v>A679077</v>
      </c>
      <c r="AG309" s="73" t="str">
        <f>VLOOKUP(AF309,AKT!$C$4:$E$324,3,FALSE)</f>
        <v>0942</v>
      </c>
    </row>
    <row r="310" spans="1:33">
      <c r="A310" s="82"/>
      <c r="B310" s="77" t="str">
        <f t="shared" si="78"/>
        <v/>
      </c>
      <c r="C310" s="82"/>
      <c r="D310" s="77" t="str">
        <f t="shared" si="79"/>
        <v/>
      </c>
      <c r="E310" s="114"/>
      <c r="F310" s="77" t="str">
        <f t="shared" si="80"/>
        <v/>
      </c>
      <c r="G310" s="77" t="str">
        <f t="shared" si="81"/>
        <v/>
      </c>
      <c r="H310" s="113"/>
      <c r="I310" s="113"/>
      <c r="J310" s="113"/>
      <c r="K310" s="124"/>
      <c r="L310" s="123"/>
      <c r="M310" s="123"/>
      <c r="N310" s="124"/>
      <c r="O310" s="300"/>
      <c r="P310" s="81"/>
      <c r="R310" s="73" t="str">
        <f t="shared" si="74"/>
        <v/>
      </c>
      <c r="S310" s="73" t="str">
        <f t="shared" si="75"/>
        <v/>
      </c>
      <c r="T310" s="73" t="str">
        <f t="shared" si="76"/>
        <v/>
      </c>
      <c r="AD310" s="73" t="s">
        <v>1348</v>
      </c>
      <c r="AE310" s="73" t="s">
        <v>1349</v>
      </c>
      <c r="AF310" s="73" t="str">
        <f t="shared" si="77"/>
        <v>A679077</v>
      </c>
      <c r="AG310" s="73" t="str">
        <f>VLOOKUP(AF310,AKT!$C$4:$E$324,3,FALSE)</f>
        <v>0942</v>
      </c>
    </row>
    <row r="311" spans="1:33">
      <c r="A311" s="82"/>
      <c r="B311" s="77" t="str">
        <f t="shared" si="78"/>
        <v/>
      </c>
      <c r="C311" s="82"/>
      <c r="D311" s="77" t="str">
        <f t="shared" si="79"/>
        <v/>
      </c>
      <c r="E311" s="114"/>
      <c r="F311" s="77" t="str">
        <f t="shared" si="80"/>
        <v/>
      </c>
      <c r="G311" s="77" t="str">
        <f t="shared" si="81"/>
        <v/>
      </c>
      <c r="H311" s="113"/>
      <c r="I311" s="113"/>
      <c r="J311" s="113"/>
      <c r="K311" s="124"/>
      <c r="L311" s="123"/>
      <c r="M311" s="123"/>
      <c r="N311" s="124"/>
      <c r="O311" s="300"/>
      <c r="P311" s="81"/>
      <c r="R311" s="73" t="str">
        <f t="shared" si="74"/>
        <v/>
      </c>
      <c r="S311" s="73" t="str">
        <f t="shared" si="75"/>
        <v/>
      </c>
      <c r="T311" s="73" t="str">
        <f t="shared" si="76"/>
        <v/>
      </c>
      <c r="AD311" s="73" t="s">
        <v>1350</v>
      </c>
      <c r="AE311" s="73" t="s">
        <v>1351</v>
      </c>
      <c r="AF311" s="73" t="str">
        <f t="shared" si="77"/>
        <v>A679077</v>
      </c>
      <c r="AG311" s="73" t="str">
        <f>VLOOKUP(AF311,AKT!$C$4:$E$324,3,FALSE)</f>
        <v>0942</v>
      </c>
    </row>
    <row r="312" spans="1:33">
      <c r="A312" s="82"/>
      <c r="B312" s="77" t="str">
        <f t="shared" si="78"/>
        <v/>
      </c>
      <c r="C312" s="82"/>
      <c r="D312" s="77" t="str">
        <f t="shared" si="79"/>
        <v/>
      </c>
      <c r="E312" s="114"/>
      <c r="F312" s="77" t="str">
        <f t="shared" si="80"/>
        <v/>
      </c>
      <c r="G312" s="77" t="str">
        <f t="shared" si="81"/>
        <v/>
      </c>
      <c r="H312" s="113"/>
      <c r="I312" s="113"/>
      <c r="J312" s="113"/>
      <c r="K312" s="124"/>
      <c r="L312" s="123"/>
      <c r="M312" s="123"/>
      <c r="N312" s="124"/>
      <c r="O312" s="300"/>
      <c r="P312" s="81"/>
      <c r="R312" s="73" t="str">
        <f t="shared" si="74"/>
        <v/>
      </c>
      <c r="S312" s="73" t="str">
        <f t="shared" si="75"/>
        <v/>
      </c>
      <c r="T312" s="73" t="str">
        <f t="shared" si="76"/>
        <v/>
      </c>
      <c r="AD312" s="73" t="s">
        <v>1352</v>
      </c>
      <c r="AE312" s="73" t="s">
        <v>1353</v>
      </c>
      <c r="AF312" s="73" t="str">
        <f t="shared" si="77"/>
        <v>A679077</v>
      </c>
      <c r="AG312" s="73" t="str">
        <f>VLOOKUP(AF312,AKT!$C$4:$E$324,3,FALSE)</f>
        <v>0942</v>
      </c>
    </row>
    <row r="313" spans="1:33">
      <c r="A313" s="82"/>
      <c r="B313" s="77" t="str">
        <f t="shared" si="78"/>
        <v/>
      </c>
      <c r="C313" s="82"/>
      <c r="D313" s="77" t="str">
        <f t="shared" si="79"/>
        <v/>
      </c>
      <c r="E313" s="114"/>
      <c r="F313" s="77" t="str">
        <f t="shared" si="80"/>
        <v/>
      </c>
      <c r="G313" s="77" t="str">
        <f t="shared" si="81"/>
        <v/>
      </c>
      <c r="H313" s="113"/>
      <c r="I313" s="113"/>
      <c r="J313" s="113"/>
      <c r="K313" s="124"/>
      <c r="L313" s="123"/>
      <c r="M313" s="123"/>
      <c r="N313" s="124"/>
      <c r="O313" s="300"/>
      <c r="P313" s="81"/>
      <c r="R313" s="73" t="str">
        <f t="shared" si="74"/>
        <v/>
      </c>
      <c r="S313" s="73" t="str">
        <f t="shared" si="75"/>
        <v/>
      </c>
      <c r="T313" s="73" t="str">
        <f t="shared" si="76"/>
        <v/>
      </c>
      <c r="AD313" s="73" t="s">
        <v>1354</v>
      </c>
      <c r="AE313" s="73" t="s">
        <v>1355</v>
      </c>
      <c r="AF313" s="73" t="str">
        <f t="shared" si="77"/>
        <v>A679077</v>
      </c>
      <c r="AG313" s="73" t="str">
        <f>VLOOKUP(AF313,AKT!$C$4:$E$324,3,FALSE)</f>
        <v>0942</v>
      </c>
    </row>
    <row r="314" spans="1:33">
      <c r="A314" s="82"/>
      <c r="B314" s="77" t="str">
        <f t="shared" si="78"/>
        <v/>
      </c>
      <c r="C314" s="82"/>
      <c r="D314" s="77" t="str">
        <f t="shared" si="79"/>
        <v/>
      </c>
      <c r="E314" s="114"/>
      <c r="F314" s="77" t="str">
        <f t="shared" si="80"/>
        <v/>
      </c>
      <c r="G314" s="77" t="str">
        <f t="shared" si="81"/>
        <v/>
      </c>
      <c r="H314" s="113"/>
      <c r="I314" s="113"/>
      <c r="J314" s="113"/>
      <c r="K314" s="124"/>
      <c r="L314" s="123"/>
      <c r="M314" s="123"/>
      <c r="N314" s="124"/>
      <c r="O314" s="300"/>
      <c r="P314" s="81"/>
      <c r="R314" s="73" t="str">
        <f t="shared" si="74"/>
        <v/>
      </c>
      <c r="S314" s="73" t="str">
        <f t="shared" si="75"/>
        <v/>
      </c>
      <c r="T314" s="73" t="str">
        <f t="shared" si="76"/>
        <v/>
      </c>
      <c r="AD314" s="73" t="s">
        <v>1356</v>
      </c>
      <c r="AE314" s="73" t="s">
        <v>1357</v>
      </c>
      <c r="AF314" s="73" t="str">
        <f t="shared" si="77"/>
        <v>A679077</v>
      </c>
      <c r="AG314" s="73" t="str">
        <f>VLOOKUP(AF314,AKT!$C$4:$E$324,3,FALSE)</f>
        <v>0942</v>
      </c>
    </row>
    <row r="315" spans="1:33">
      <c r="A315" s="82"/>
      <c r="B315" s="77" t="str">
        <f t="shared" si="78"/>
        <v/>
      </c>
      <c r="C315" s="82"/>
      <c r="D315" s="77" t="str">
        <f t="shared" si="79"/>
        <v/>
      </c>
      <c r="E315" s="114"/>
      <c r="F315" s="77" t="str">
        <f t="shared" si="80"/>
        <v/>
      </c>
      <c r="G315" s="77" t="str">
        <f t="shared" si="81"/>
        <v/>
      </c>
      <c r="H315" s="113"/>
      <c r="I315" s="113"/>
      <c r="J315" s="113"/>
      <c r="K315" s="124"/>
      <c r="L315" s="123"/>
      <c r="M315" s="123"/>
      <c r="N315" s="124"/>
      <c r="O315" s="300"/>
      <c r="P315" s="81"/>
      <c r="R315" s="73" t="str">
        <f t="shared" ref="R315:R378" si="82">LEFT(C315,3)</f>
        <v/>
      </c>
      <c r="S315" s="73" t="str">
        <f t="shared" ref="S315:S378" si="83">LEFT(C315,2)</f>
        <v/>
      </c>
      <c r="T315" s="73" t="str">
        <f t="shared" ref="T315:T378" si="84">MID(G315,2,2)</f>
        <v/>
      </c>
      <c r="AD315" s="73" t="s">
        <v>1358</v>
      </c>
      <c r="AE315" s="73" t="s">
        <v>1359</v>
      </c>
      <c r="AF315" s="73" t="str">
        <f t="shared" si="77"/>
        <v>A679077</v>
      </c>
      <c r="AG315" s="73" t="str">
        <f>VLOOKUP(AF315,AKT!$C$4:$E$324,3,FALSE)</f>
        <v>0942</v>
      </c>
    </row>
    <row r="316" spans="1:33">
      <c r="A316" s="82"/>
      <c r="B316" s="77" t="str">
        <f t="shared" si="78"/>
        <v/>
      </c>
      <c r="C316" s="82"/>
      <c r="D316" s="77" t="str">
        <f t="shared" si="79"/>
        <v/>
      </c>
      <c r="E316" s="114"/>
      <c r="F316" s="77" t="str">
        <f t="shared" si="80"/>
        <v/>
      </c>
      <c r="G316" s="77" t="str">
        <f t="shared" si="81"/>
        <v/>
      </c>
      <c r="H316" s="113"/>
      <c r="I316" s="113"/>
      <c r="J316" s="113"/>
      <c r="K316" s="124"/>
      <c r="L316" s="123"/>
      <c r="M316" s="123"/>
      <c r="N316" s="124"/>
      <c r="O316" s="300"/>
      <c r="P316" s="81"/>
      <c r="R316" s="73" t="str">
        <f t="shared" si="82"/>
        <v/>
      </c>
      <c r="S316" s="73" t="str">
        <f t="shared" si="83"/>
        <v/>
      </c>
      <c r="T316" s="73" t="str">
        <f t="shared" si="84"/>
        <v/>
      </c>
      <c r="AD316" s="73" t="s">
        <v>1360</v>
      </c>
      <c r="AE316" s="73" t="s">
        <v>1361</v>
      </c>
      <c r="AF316" s="73" t="str">
        <f t="shared" si="77"/>
        <v>A679077</v>
      </c>
      <c r="AG316" s="73" t="str">
        <f>VLOOKUP(AF316,AKT!$C$4:$E$324,3,FALSE)</f>
        <v>0942</v>
      </c>
    </row>
    <row r="317" spans="1:33">
      <c r="A317" s="82"/>
      <c r="B317" s="77" t="str">
        <f t="shared" si="78"/>
        <v/>
      </c>
      <c r="C317" s="82"/>
      <c r="D317" s="77" t="str">
        <f t="shared" si="79"/>
        <v/>
      </c>
      <c r="E317" s="114"/>
      <c r="F317" s="77" t="str">
        <f t="shared" si="80"/>
        <v/>
      </c>
      <c r="G317" s="77" t="str">
        <f t="shared" si="81"/>
        <v/>
      </c>
      <c r="H317" s="113"/>
      <c r="I317" s="113"/>
      <c r="J317" s="113"/>
      <c r="K317" s="124"/>
      <c r="L317" s="123"/>
      <c r="M317" s="123"/>
      <c r="N317" s="124"/>
      <c r="O317" s="300"/>
      <c r="P317" s="81"/>
      <c r="R317" s="73" t="str">
        <f t="shared" si="82"/>
        <v/>
      </c>
      <c r="S317" s="73" t="str">
        <f t="shared" si="83"/>
        <v/>
      </c>
      <c r="T317" s="73" t="str">
        <f t="shared" si="84"/>
        <v/>
      </c>
      <c r="AD317" s="73" t="s">
        <v>1362</v>
      </c>
      <c r="AE317" s="73" t="s">
        <v>1363</v>
      </c>
      <c r="AF317" s="73" t="str">
        <f t="shared" si="77"/>
        <v>A679077</v>
      </c>
      <c r="AG317" s="73" t="str">
        <f>VLOOKUP(AF317,AKT!$C$4:$E$324,3,FALSE)</f>
        <v>0942</v>
      </c>
    </row>
    <row r="318" spans="1:33">
      <c r="A318" s="82"/>
      <c r="B318" s="77" t="str">
        <f t="shared" si="78"/>
        <v/>
      </c>
      <c r="C318" s="82"/>
      <c r="D318" s="77" t="str">
        <f t="shared" si="79"/>
        <v/>
      </c>
      <c r="E318" s="114"/>
      <c r="F318" s="77" t="str">
        <f t="shared" si="80"/>
        <v/>
      </c>
      <c r="G318" s="77" t="str">
        <f t="shared" si="81"/>
        <v/>
      </c>
      <c r="H318" s="113"/>
      <c r="I318" s="113"/>
      <c r="J318" s="113"/>
      <c r="K318" s="124"/>
      <c r="L318" s="123"/>
      <c r="M318" s="123"/>
      <c r="N318" s="124"/>
      <c r="O318" s="300"/>
      <c r="P318" s="81"/>
      <c r="R318" s="73" t="str">
        <f t="shared" si="82"/>
        <v/>
      </c>
      <c r="S318" s="73" t="str">
        <f t="shared" si="83"/>
        <v/>
      </c>
      <c r="T318" s="73" t="str">
        <f t="shared" si="84"/>
        <v/>
      </c>
      <c r="AD318" s="73" t="s">
        <v>1364</v>
      </c>
      <c r="AE318" s="73" t="s">
        <v>1365</v>
      </c>
      <c r="AF318" s="73" t="str">
        <f t="shared" si="77"/>
        <v>A679077</v>
      </c>
      <c r="AG318" s="73" t="str">
        <f>VLOOKUP(AF318,AKT!$C$4:$E$324,3,FALSE)</f>
        <v>0942</v>
      </c>
    </row>
    <row r="319" spans="1:33">
      <c r="A319" s="82"/>
      <c r="B319" s="77" t="str">
        <f t="shared" si="78"/>
        <v/>
      </c>
      <c r="C319" s="82"/>
      <c r="D319" s="77" t="str">
        <f t="shared" si="79"/>
        <v/>
      </c>
      <c r="E319" s="114"/>
      <c r="F319" s="77" t="str">
        <f t="shared" si="80"/>
        <v/>
      </c>
      <c r="G319" s="77" t="str">
        <f t="shared" si="81"/>
        <v/>
      </c>
      <c r="H319" s="113"/>
      <c r="I319" s="113"/>
      <c r="J319" s="113"/>
      <c r="K319" s="124"/>
      <c r="L319" s="123"/>
      <c r="M319" s="123"/>
      <c r="N319" s="124"/>
      <c r="O319" s="300"/>
      <c r="P319" s="81"/>
      <c r="R319" s="73" t="str">
        <f t="shared" si="82"/>
        <v/>
      </c>
      <c r="S319" s="73" t="str">
        <f t="shared" si="83"/>
        <v/>
      </c>
      <c r="T319" s="73" t="str">
        <f t="shared" si="84"/>
        <v/>
      </c>
      <c r="AD319" s="73" t="s">
        <v>1366</v>
      </c>
      <c r="AE319" s="73" t="s">
        <v>1367</v>
      </c>
      <c r="AF319" s="73" t="str">
        <f t="shared" ref="AF319:AF382" si="85">LEFT(AD319,7)</f>
        <v>A679077</v>
      </c>
      <c r="AG319" s="73" t="str">
        <f>VLOOKUP(AF319,AKT!$C$4:$E$324,3,FALSE)</f>
        <v>0942</v>
      </c>
    </row>
    <row r="320" spans="1:33">
      <c r="A320" s="82"/>
      <c r="B320" s="77" t="str">
        <f t="shared" si="78"/>
        <v/>
      </c>
      <c r="C320" s="82"/>
      <c r="D320" s="77" t="str">
        <f t="shared" si="79"/>
        <v/>
      </c>
      <c r="E320" s="114"/>
      <c r="F320" s="77" t="str">
        <f t="shared" si="80"/>
        <v/>
      </c>
      <c r="G320" s="77" t="str">
        <f t="shared" si="81"/>
        <v/>
      </c>
      <c r="H320" s="113"/>
      <c r="I320" s="113"/>
      <c r="J320" s="113"/>
      <c r="K320" s="124"/>
      <c r="L320" s="123"/>
      <c r="M320" s="123"/>
      <c r="N320" s="124"/>
      <c r="O320" s="300"/>
      <c r="P320" s="81"/>
      <c r="R320" s="73" t="str">
        <f t="shared" si="82"/>
        <v/>
      </c>
      <c r="S320" s="73" t="str">
        <f t="shared" si="83"/>
        <v/>
      </c>
      <c r="T320" s="73" t="str">
        <f t="shared" si="84"/>
        <v/>
      </c>
      <c r="AD320" s="73" t="s">
        <v>1368</v>
      </c>
      <c r="AE320" s="73" t="s">
        <v>1369</v>
      </c>
      <c r="AF320" s="73" t="str">
        <f t="shared" si="85"/>
        <v>A679077</v>
      </c>
      <c r="AG320" s="73" t="str">
        <f>VLOOKUP(AF320,AKT!$C$4:$E$324,3,FALSE)</f>
        <v>0942</v>
      </c>
    </row>
    <row r="321" spans="1:33">
      <c r="A321" s="82"/>
      <c r="B321" s="77" t="str">
        <f t="shared" si="78"/>
        <v/>
      </c>
      <c r="C321" s="82"/>
      <c r="D321" s="77" t="str">
        <f t="shared" si="79"/>
        <v/>
      </c>
      <c r="E321" s="114"/>
      <c r="F321" s="77" t="str">
        <f t="shared" si="80"/>
        <v/>
      </c>
      <c r="G321" s="77" t="str">
        <f t="shared" si="81"/>
        <v/>
      </c>
      <c r="H321" s="113"/>
      <c r="I321" s="113"/>
      <c r="J321" s="113"/>
      <c r="K321" s="124"/>
      <c r="L321" s="123"/>
      <c r="M321" s="123"/>
      <c r="N321" s="124"/>
      <c r="O321" s="300"/>
      <c r="P321" s="81"/>
      <c r="R321" s="73" t="str">
        <f t="shared" si="82"/>
        <v/>
      </c>
      <c r="S321" s="73" t="str">
        <f t="shared" si="83"/>
        <v/>
      </c>
      <c r="T321" s="73" t="str">
        <f t="shared" si="84"/>
        <v/>
      </c>
      <c r="AD321" s="73" t="s">
        <v>1370</v>
      </c>
      <c r="AE321" s="73" t="s">
        <v>1371</v>
      </c>
      <c r="AF321" s="73" t="str">
        <f t="shared" si="85"/>
        <v>A679077</v>
      </c>
      <c r="AG321" s="73" t="str">
        <f>VLOOKUP(AF321,AKT!$C$4:$E$324,3,FALSE)</f>
        <v>0942</v>
      </c>
    </row>
    <row r="322" spans="1:33">
      <c r="A322" s="82"/>
      <c r="B322" s="77" t="str">
        <f t="shared" si="78"/>
        <v/>
      </c>
      <c r="C322" s="82"/>
      <c r="D322" s="77" t="str">
        <f t="shared" si="79"/>
        <v/>
      </c>
      <c r="E322" s="114"/>
      <c r="F322" s="77" t="str">
        <f t="shared" si="80"/>
        <v/>
      </c>
      <c r="G322" s="77" t="str">
        <f t="shared" si="81"/>
        <v/>
      </c>
      <c r="H322" s="113"/>
      <c r="I322" s="113"/>
      <c r="J322" s="113"/>
      <c r="K322" s="124"/>
      <c r="L322" s="123"/>
      <c r="M322" s="123"/>
      <c r="N322" s="124"/>
      <c r="O322" s="300"/>
      <c r="P322" s="81"/>
      <c r="R322" s="73" t="str">
        <f t="shared" si="82"/>
        <v/>
      </c>
      <c r="S322" s="73" t="str">
        <f t="shared" si="83"/>
        <v/>
      </c>
      <c r="T322" s="73" t="str">
        <f t="shared" si="84"/>
        <v/>
      </c>
      <c r="AD322" s="73" t="s">
        <v>1372</v>
      </c>
      <c r="AE322" s="73" t="s">
        <v>1373</v>
      </c>
      <c r="AF322" s="73" t="str">
        <f t="shared" si="85"/>
        <v>A679077</v>
      </c>
      <c r="AG322" s="73" t="str">
        <f>VLOOKUP(AF322,AKT!$C$4:$E$324,3,FALSE)</f>
        <v>0942</v>
      </c>
    </row>
    <row r="323" spans="1:33">
      <c r="A323" s="82"/>
      <c r="B323" s="77" t="str">
        <f t="shared" si="78"/>
        <v/>
      </c>
      <c r="C323" s="82"/>
      <c r="D323" s="77" t="str">
        <f t="shared" si="79"/>
        <v/>
      </c>
      <c r="E323" s="114"/>
      <c r="F323" s="77" t="str">
        <f t="shared" si="80"/>
        <v/>
      </c>
      <c r="G323" s="77" t="str">
        <f t="shared" si="81"/>
        <v/>
      </c>
      <c r="H323" s="113"/>
      <c r="I323" s="113"/>
      <c r="J323" s="113"/>
      <c r="K323" s="124"/>
      <c r="L323" s="123"/>
      <c r="M323" s="123"/>
      <c r="N323" s="124"/>
      <c r="O323" s="300"/>
      <c r="P323" s="81"/>
      <c r="R323" s="73" t="str">
        <f t="shared" si="82"/>
        <v/>
      </c>
      <c r="S323" s="73" t="str">
        <f t="shared" si="83"/>
        <v/>
      </c>
      <c r="T323" s="73" t="str">
        <f t="shared" si="84"/>
        <v/>
      </c>
      <c r="AD323" s="73" t="s">
        <v>1374</v>
      </c>
      <c r="AE323" s="73" t="s">
        <v>1375</v>
      </c>
      <c r="AF323" s="73" t="str">
        <f t="shared" si="85"/>
        <v>A679077</v>
      </c>
      <c r="AG323" s="73" t="str">
        <f>VLOOKUP(AF323,AKT!$C$4:$E$324,3,FALSE)</f>
        <v>0942</v>
      </c>
    </row>
    <row r="324" spans="1:33">
      <c r="A324" s="82"/>
      <c r="B324" s="77" t="str">
        <f t="shared" si="78"/>
        <v/>
      </c>
      <c r="C324" s="82"/>
      <c r="D324" s="77" t="str">
        <f t="shared" si="79"/>
        <v/>
      </c>
      <c r="E324" s="114"/>
      <c r="F324" s="77" t="str">
        <f t="shared" si="80"/>
        <v/>
      </c>
      <c r="G324" s="77" t="str">
        <f t="shared" si="81"/>
        <v/>
      </c>
      <c r="H324" s="113"/>
      <c r="I324" s="113"/>
      <c r="J324" s="113"/>
      <c r="K324" s="124"/>
      <c r="L324" s="123"/>
      <c r="M324" s="123"/>
      <c r="N324" s="124"/>
      <c r="O324" s="300"/>
      <c r="P324" s="81"/>
      <c r="R324" s="73" t="str">
        <f t="shared" si="82"/>
        <v/>
      </c>
      <c r="S324" s="73" t="str">
        <f t="shared" si="83"/>
        <v/>
      </c>
      <c r="T324" s="73" t="str">
        <f t="shared" si="84"/>
        <v/>
      </c>
      <c r="AD324" s="73" t="s">
        <v>1376</v>
      </c>
      <c r="AE324" s="73" t="s">
        <v>1377</v>
      </c>
      <c r="AF324" s="73" t="str">
        <f t="shared" si="85"/>
        <v>A679077</v>
      </c>
      <c r="AG324" s="73" t="str">
        <f>VLOOKUP(AF324,AKT!$C$4:$E$324,3,FALSE)</f>
        <v>0942</v>
      </c>
    </row>
    <row r="325" spans="1:33">
      <c r="A325" s="82"/>
      <c r="B325" s="77" t="str">
        <f t="shared" si="78"/>
        <v/>
      </c>
      <c r="C325" s="82"/>
      <c r="D325" s="77" t="str">
        <f t="shared" si="79"/>
        <v/>
      </c>
      <c r="E325" s="114"/>
      <c r="F325" s="77" t="str">
        <f t="shared" si="80"/>
        <v/>
      </c>
      <c r="G325" s="77" t="str">
        <f t="shared" si="81"/>
        <v/>
      </c>
      <c r="H325" s="113"/>
      <c r="I325" s="113"/>
      <c r="J325" s="113"/>
      <c r="K325" s="124"/>
      <c r="L325" s="123"/>
      <c r="M325" s="123"/>
      <c r="N325" s="124"/>
      <c r="O325" s="300"/>
      <c r="P325" s="81"/>
      <c r="R325" s="73" t="str">
        <f t="shared" si="82"/>
        <v/>
      </c>
      <c r="S325" s="73" t="str">
        <f t="shared" si="83"/>
        <v/>
      </c>
      <c r="T325" s="73" t="str">
        <f t="shared" si="84"/>
        <v/>
      </c>
      <c r="AD325" s="73" t="s">
        <v>1378</v>
      </c>
      <c r="AE325" s="73" t="s">
        <v>1379</v>
      </c>
      <c r="AF325" s="73" t="str">
        <f t="shared" si="85"/>
        <v>A679077</v>
      </c>
      <c r="AG325" s="73" t="str">
        <f>VLOOKUP(AF325,AKT!$C$4:$E$324,3,FALSE)</f>
        <v>0942</v>
      </c>
    </row>
    <row r="326" spans="1:33">
      <c r="A326" s="82"/>
      <c r="B326" s="77" t="str">
        <f t="shared" si="78"/>
        <v/>
      </c>
      <c r="C326" s="82"/>
      <c r="D326" s="77" t="str">
        <f t="shared" si="79"/>
        <v/>
      </c>
      <c r="E326" s="114"/>
      <c r="F326" s="77" t="str">
        <f t="shared" si="80"/>
        <v/>
      </c>
      <c r="G326" s="77" t="str">
        <f t="shared" si="81"/>
        <v/>
      </c>
      <c r="H326" s="113"/>
      <c r="I326" s="113"/>
      <c r="J326" s="113"/>
      <c r="K326" s="124"/>
      <c r="L326" s="123"/>
      <c r="M326" s="123"/>
      <c r="N326" s="124"/>
      <c r="O326" s="300"/>
      <c r="P326" s="81"/>
      <c r="R326" s="73" t="str">
        <f t="shared" si="82"/>
        <v/>
      </c>
      <c r="S326" s="73" t="str">
        <f t="shared" si="83"/>
        <v/>
      </c>
      <c r="T326" s="73" t="str">
        <f t="shared" si="84"/>
        <v/>
      </c>
      <c r="AD326" s="73" t="s">
        <v>1380</v>
      </c>
      <c r="AE326" s="73" t="s">
        <v>1381</v>
      </c>
      <c r="AF326" s="73" t="str">
        <f t="shared" si="85"/>
        <v>A679077</v>
      </c>
      <c r="AG326" s="73" t="str">
        <f>VLOOKUP(AF326,AKT!$C$4:$E$324,3,FALSE)</f>
        <v>0942</v>
      </c>
    </row>
    <row r="327" spans="1:33">
      <c r="A327" s="82"/>
      <c r="B327" s="77" t="str">
        <f t="shared" si="78"/>
        <v/>
      </c>
      <c r="C327" s="82"/>
      <c r="D327" s="77" t="str">
        <f t="shared" si="79"/>
        <v/>
      </c>
      <c r="E327" s="114"/>
      <c r="F327" s="77" t="str">
        <f t="shared" si="80"/>
        <v/>
      </c>
      <c r="G327" s="77" t="str">
        <f t="shared" si="81"/>
        <v/>
      </c>
      <c r="H327" s="113"/>
      <c r="I327" s="113"/>
      <c r="J327" s="113"/>
      <c r="K327" s="124"/>
      <c r="L327" s="123"/>
      <c r="M327" s="123"/>
      <c r="N327" s="124"/>
      <c r="O327" s="300"/>
      <c r="P327" s="81"/>
      <c r="R327" s="73" t="str">
        <f t="shared" si="82"/>
        <v/>
      </c>
      <c r="S327" s="73" t="str">
        <f t="shared" si="83"/>
        <v/>
      </c>
      <c r="T327" s="73" t="str">
        <f t="shared" si="84"/>
        <v/>
      </c>
      <c r="AD327" s="73" t="s">
        <v>1382</v>
      </c>
      <c r="AE327" s="73" t="s">
        <v>1383</v>
      </c>
      <c r="AF327" s="73" t="str">
        <f t="shared" si="85"/>
        <v>A679077</v>
      </c>
      <c r="AG327" s="73" t="str">
        <f>VLOOKUP(AF327,AKT!$C$4:$E$324,3,FALSE)</f>
        <v>0942</v>
      </c>
    </row>
    <row r="328" spans="1:33">
      <c r="A328" s="82"/>
      <c r="B328" s="77" t="str">
        <f t="shared" si="78"/>
        <v/>
      </c>
      <c r="C328" s="82"/>
      <c r="D328" s="77" t="str">
        <f t="shared" si="79"/>
        <v/>
      </c>
      <c r="E328" s="114"/>
      <c r="F328" s="77" t="str">
        <f t="shared" si="80"/>
        <v/>
      </c>
      <c r="G328" s="77" t="str">
        <f t="shared" si="81"/>
        <v/>
      </c>
      <c r="H328" s="113"/>
      <c r="I328" s="113"/>
      <c r="J328" s="113"/>
      <c r="K328" s="124"/>
      <c r="L328" s="123"/>
      <c r="M328" s="123"/>
      <c r="N328" s="124"/>
      <c r="O328" s="300"/>
      <c r="P328" s="81"/>
      <c r="R328" s="73" t="str">
        <f t="shared" si="82"/>
        <v/>
      </c>
      <c r="S328" s="73" t="str">
        <f t="shared" si="83"/>
        <v/>
      </c>
      <c r="T328" s="73" t="str">
        <f t="shared" si="84"/>
        <v/>
      </c>
      <c r="AD328" s="73" t="s">
        <v>1384</v>
      </c>
      <c r="AE328" s="73" t="s">
        <v>1385</v>
      </c>
      <c r="AF328" s="73" t="str">
        <f t="shared" si="85"/>
        <v>A679077</v>
      </c>
      <c r="AG328" s="73" t="str">
        <f>VLOOKUP(AF328,AKT!$C$4:$E$324,3,FALSE)</f>
        <v>0942</v>
      </c>
    </row>
    <row r="329" spans="1:33">
      <c r="A329" s="82"/>
      <c r="B329" s="77" t="str">
        <f t="shared" si="78"/>
        <v/>
      </c>
      <c r="C329" s="82"/>
      <c r="D329" s="77" t="str">
        <f t="shared" si="79"/>
        <v/>
      </c>
      <c r="E329" s="114"/>
      <c r="F329" s="77" t="str">
        <f t="shared" si="80"/>
        <v/>
      </c>
      <c r="G329" s="77" t="str">
        <f t="shared" si="81"/>
        <v/>
      </c>
      <c r="H329" s="113"/>
      <c r="I329" s="113"/>
      <c r="J329" s="113"/>
      <c r="K329" s="124"/>
      <c r="L329" s="123"/>
      <c r="M329" s="123"/>
      <c r="N329" s="124"/>
      <c r="O329" s="300"/>
      <c r="P329" s="81"/>
      <c r="R329" s="73" t="str">
        <f t="shared" si="82"/>
        <v/>
      </c>
      <c r="S329" s="73" t="str">
        <f t="shared" si="83"/>
        <v/>
      </c>
      <c r="T329" s="73" t="str">
        <f t="shared" si="84"/>
        <v/>
      </c>
      <c r="AD329" s="73" t="s">
        <v>1386</v>
      </c>
      <c r="AE329" s="73" t="s">
        <v>1387</v>
      </c>
      <c r="AF329" s="73" t="str">
        <f t="shared" si="85"/>
        <v>A679077</v>
      </c>
      <c r="AG329" s="73" t="str">
        <f>VLOOKUP(AF329,AKT!$C$4:$E$324,3,FALSE)</f>
        <v>0942</v>
      </c>
    </row>
    <row r="330" spans="1:33">
      <c r="A330" s="82"/>
      <c r="B330" s="77" t="str">
        <f t="shared" si="78"/>
        <v/>
      </c>
      <c r="C330" s="82"/>
      <c r="D330" s="77" t="str">
        <f t="shared" si="79"/>
        <v/>
      </c>
      <c r="E330" s="114"/>
      <c r="F330" s="77" t="str">
        <f t="shared" si="80"/>
        <v/>
      </c>
      <c r="G330" s="77" t="str">
        <f t="shared" si="81"/>
        <v/>
      </c>
      <c r="H330" s="113"/>
      <c r="I330" s="113"/>
      <c r="J330" s="113"/>
      <c r="K330" s="124"/>
      <c r="L330" s="123"/>
      <c r="M330" s="123"/>
      <c r="N330" s="124"/>
      <c r="O330" s="300"/>
      <c r="P330" s="81"/>
      <c r="R330" s="73" t="str">
        <f t="shared" si="82"/>
        <v/>
      </c>
      <c r="S330" s="73" t="str">
        <f t="shared" si="83"/>
        <v/>
      </c>
      <c r="T330" s="73" t="str">
        <f t="shared" si="84"/>
        <v/>
      </c>
      <c r="AD330" s="73" t="s">
        <v>1388</v>
      </c>
      <c r="AE330" s="73" t="s">
        <v>1389</v>
      </c>
      <c r="AF330" s="73" t="str">
        <f t="shared" si="85"/>
        <v>A679077</v>
      </c>
      <c r="AG330" s="73" t="str">
        <f>VLOOKUP(AF330,AKT!$C$4:$E$324,3,FALSE)</f>
        <v>0942</v>
      </c>
    </row>
    <row r="331" spans="1:33">
      <c r="A331" s="82"/>
      <c r="B331" s="77" t="str">
        <f t="shared" si="78"/>
        <v/>
      </c>
      <c r="C331" s="82"/>
      <c r="D331" s="77" t="str">
        <f t="shared" si="79"/>
        <v/>
      </c>
      <c r="E331" s="114"/>
      <c r="F331" s="77" t="str">
        <f t="shared" si="80"/>
        <v/>
      </c>
      <c r="G331" s="77" t="str">
        <f t="shared" si="81"/>
        <v/>
      </c>
      <c r="H331" s="113"/>
      <c r="I331" s="113"/>
      <c r="J331" s="113"/>
      <c r="K331" s="124"/>
      <c r="L331" s="123"/>
      <c r="M331" s="123"/>
      <c r="N331" s="124"/>
      <c r="O331" s="300"/>
      <c r="P331" s="81"/>
      <c r="R331" s="73" t="str">
        <f t="shared" si="82"/>
        <v/>
      </c>
      <c r="S331" s="73" t="str">
        <f t="shared" si="83"/>
        <v/>
      </c>
      <c r="T331" s="73" t="str">
        <f t="shared" si="84"/>
        <v/>
      </c>
      <c r="AD331" s="73" t="s">
        <v>1390</v>
      </c>
      <c r="AE331" s="73" t="s">
        <v>1391</v>
      </c>
      <c r="AF331" s="73" t="str">
        <f t="shared" si="85"/>
        <v>A679077</v>
      </c>
      <c r="AG331" s="73" t="str">
        <f>VLOOKUP(AF331,AKT!$C$4:$E$324,3,FALSE)</f>
        <v>0942</v>
      </c>
    </row>
    <row r="332" spans="1:33">
      <c r="A332" s="82"/>
      <c r="B332" s="77" t="str">
        <f t="shared" si="78"/>
        <v/>
      </c>
      <c r="C332" s="82"/>
      <c r="D332" s="77" t="str">
        <f t="shared" si="79"/>
        <v/>
      </c>
      <c r="E332" s="114"/>
      <c r="F332" s="77" t="str">
        <f t="shared" si="80"/>
        <v/>
      </c>
      <c r="G332" s="77" t="str">
        <f t="shared" si="81"/>
        <v/>
      </c>
      <c r="H332" s="113"/>
      <c r="I332" s="113"/>
      <c r="J332" s="113"/>
      <c r="K332" s="124"/>
      <c r="L332" s="123"/>
      <c r="M332" s="123"/>
      <c r="N332" s="124"/>
      <c r="O332" s="300"/>
      <c r="P332" s="81"/>
      <c r="R332" s="73" t="str">
        <f t="shared" si="82"/>
        <v/>
      </c>
      <c r="S332" s="73" t="str">
        <f t="shared" si="83"/>
        <v/>
      </c>
      <c r="T332" s="73" t="str">
        <f t="shared" si="84"/>
        <v/>
      </c>
      <c r="AD332" s="73" t="s">
        <v>1392</v>
      </c>
      <c r="AE332" s="73" t="s">
        <v>1393</v>
      </c>
      <c r="AF332" s="73" t="str">
        <f t="shared" si="85"/>
        <v>A679077</v>
      </c>
      <c r="AG332" s="73" t="str">
        <f>VLOOKUP(AF332,AKT!$C$4:$E$324,3,FALSE)</f>
        <v>0942</v>
      </c>
    </row>
    <row r="333" spans="1:33">
      <c r="A333" s="82"/>
      <c r="B333" s="77" t="str">
        <f t="shared" si="78"/>
        <v/>
      </c>
      <c r="C333" s="82"/>
      <c r="D333" s="77" t="str">
        <f t="shared" si="79"/>
        <v/>
      </c>
      <c r="E333" s="114"/>
      <c r="F333" s="77" t="str">
        <f t="shared" si="80"/>
        <v/>
      </c>
      <c r="G333" s="77" t="str">
        <f t="shared" si="81"/>
        <v/>
      </c>
      <c r="H333" s="113"/>
      <c r="I333" s="113"/>
      <c r="J333" s="113"/>
      <c r="K333" s="124"/>
      <c r="L333" s="123"/>
      <c r="M333" s="123"/>
      <c r="N333" s="124"/>
      <c r="O333" s="300"/>
      <c r="P333" s="81"/>
      <c r="R333" s="73" t="str">
        <f t="shared" si="82"/>
        <v/>
      </c>
      <c r="S333" s="73" t="str">
        <f t="shared" si="83"/>
        <v/>
      </c>
      <c r="T333" s="73" t="str">
        <f t="shared" si="84"/>
        <v/>
      </c>
      <c r="AD333" s="73" t="s">
        <v>1394</v>
      </c>
      <c r="AE333" s="73" t="s">
        <v>1395</v>
      </c>
      <c r="AF333" s="73" t="str">
        <f t="shared" si="85"/>
        <v>A679077</v>
      </c>
      <c r="AG333" s="73" t="str">
        <f>VLOOKUP(AF333,AKT!$C$4:$E$324,3,FALSE)</f>
        <v>0942</v>
      </c>
    </row>
    <row r="334" spans="1:33">
      <c r="A334" s="82"/>
      <c r="B334" s="77" t="str">
        <f t="shared" si="78"/>
        <v/>
      </c>
      <c r="C334" s="82"/>
      <c r="D334" s="77" t="str">
        <f t="shared" si="79"/>
        <v/>
      </c>
      <c r="E334" s="114"/>
      <c r="F334" s="77" t="str">
        <f t="shared" si="80"/>
        <v/>
      </c>
      <c r="G334" s="77" t="str">
        <f t="shared" si="81"/>
        <v/>
      </c>
      <c r="H334" s="113"/>
      <c r="I334" s="113"/>
      <c r="J334" s="113"/>
      <c r="K334" s="124"/>
      <c r="L334" s="123"/>
      <c r="M334" s="123"/>
      <c r="N334" s="124"/>
      <c r="O334" s="300"/>
      <c r="P334" s="81"/>
      <c r="R334" s="73" t="str">
        <f t="shared" si="82"/>
        <v/>
      </c>
      <c r="S334" s="73" t="str">
        <f t="shared" si="83"/>
        <v/>
      </c>
      <c r="T334" s="73" t="str">
        <f t="shared" si="84"/>
        <v/>
      </c>
      <c r="AD334" s="73" t="s">
        <v>1396</v>
      </c>
      <c r="AE334" s="73" t="s">
        <v>1397</v>
      </c>
      <c r="AF334" s="73" t="str">
        <f t="shared" si="85"/>
        <v>A679077</v>
      </c>
      <c r="AG334" s="73" t="str">
        <f>VLOOKUP(AF334,AKT!$C$4:$E$324,3,FALSE)</f>
        <v>0942</v>
      </c>
    </row>
    <row r="335" spans="1:33">
      <c r="A335" s="82"/>
      <c r="B335" s="77" t="str">
        <f t="shared" si="78"/>
        <v/>
      </c>
      <c r="C335" s="82"/>
      <c r="D335" s="77" t="str">
        <f t="shared" si="79"/>
        <v/>
      </c>
      <c r="E335" s="114"/>
      <c r="F335" s="77" t="str">
        <f t="shared" si="80"/>
        <v/>
      </c>
      <c r="G335" s="77" t="str">
        <f t="shared" si="81"/>
        <v/>
      </c>
      <c r="H335" s="113"/>
      <c r="I335" s="113"/>
      <c r="J335" s="113"/>
      <c r="K335" s="124"/>
      <c r="L335" s="123"/>
      <c r="M335" s="123"/>
      <c r="N335" s="124"/>
      <c r="O335" s="300"/>
      <c r="P335" s="81"/>
      <c r="R335" s="73" t="str">
        <f t="shared" si="82"/>
        <v/>
      </c>
      <c r="S335" s="73" t="str">
        <f t="shared" si="83"/>
        <v/>
      </c>
      <c r="T335" s="73" t="str">
        <f t="shared" si="84"/>
        <v/>
      </c>
      <c r="AD335" s="73" t="s">
        <v>1398</v>
      </c>
      <c r="AE335" s="73" t="s">
        <v>1399</v>
      </c>
      <c r="AF335" s="73" t="str">
        <f t="shared" si="85"/>
        <v>A679077</v>
      </c>
      <c r="AG335" s="73" t="str">
        <f>VLOOKUP(AF335,AKT!$C$4:$E$324,3,FALSE)</f>
        <v>0942</v>
      </c>
    </row>
    <row r="336" spans="1:33">
      <c r="A336" s="82"/>
      <c r="B336" s="77" t="str">
        <f t="shared" si="78"/>
        <v/>
      </c>
      <c r="C336" s="82"/>
      <c r="D336" s="77" t="str">
        <f t="shared" si="79"/>
        <v/>
      </c>
      <c r="E336" s="114"/>
      <c r="F336" s="77" t="str">
        <f t="shared" si="80"/>
        <v/>
      </c>
      <c r="G336" s="77" t="str">
        <f t="shared" si="81"/>
        <v/>
      </c>
      <c r="H336" s="113"/>
      <c r="I336" s="113"/>
      <c r="J336" s="113"/>
      <c r="K336" s="124"/>
      <c r="L336" s="123"/>
      <c r="M336" s="123"/>
      <c r="N336" s="124"/>
      <c r="O336" s="300"/>
      <c r="P336" s="81"/>
      <c r="R336" s="73" t="str">
        <f t="shared" si="82"/>
        <v/>
      </c>
      <c r="S336" s="73" t="str">
        <f t="shared" si="83"/>
        <v/>
      </c>
      <c r="T336" s="73" t="str">
        <f t="shared" si="84"/>
        <v/>
      </c>
      <c r="AD336" s="73" t="s">
        <v>1400</v>
      </c>
      <c r="AE336" s="73" t="s">
        <v>1401</v>
      </c>
      <c r="AF336" s="73" t="str">
        <f t="shared" si="85"/>
        <v>A679077</v>
      </c>
      <c r="AG336" s="73" t="str">
        <f>VLOOKUP(AF336,AKT!$C$4:$E$324,3,FALSE)</f>
        <v>0942</v>
      </c>
    </row>
    <row r="337" spans="1:33">
      <c r="A337" s="82"/>
      <c r="B337" s="77" t="str">
        <f t="shared" si="78"/>
        <v/>
      </c>
      <c r="C337" s="82"/>
      <c r="D337" s="77" t="str">
        <f t="shared" si="79"/>
        <v/>
      </c>
      <c r="E337" s="114"/>
      <c r="F337" s="77" t="str">
        <f t="shared" si="80"/>
        <v/>
      </c>
      <c r="G337" s="77" t="str">
        <f t="shared" si="81"/>
        <v/>
      </c>
      <c r="H337" s="113"/>
      <c r="I337" s="113"/>
      <c r="J337" s="113"/>
      <c r="K337" s="124"/>
      <c r="L337" s="123"/>
      <c r="M337" s="123"/>
      <c r="N337" s="124"/>
      <c r="O337" s="300"/>
      <c r="P337" s="81"/>
      <c r="R337" s="73" t="str">
        <f t="shared" si="82"/>
        <v/>
      </c>
      <c r="S337" s="73" t="str">
        <f t="shared" si="83"/>
        <v/>
      </c>
      <c r="T337" s="73" t="str">
        <f t="shared" si="84"/>
        <v/>
      </c>
      <c r="AD337" s="73" t="s">
        <v>1402</v>
      </c>
      <c r="AE337" s="73" t="s">
        <v>1403</v>
      </c>
      <c r="AF337" s="73" t="str">
        <f t="shared" si="85"/>
        <v>A679077</v>
      </c>
      <c r="AG337" s="73" t="str">
        <f>VLOOKUP(AF337,AKT!$C$4:$E$324,3,FALSE)</f>
        <v>0942</v>
      </c>
    </row>
    <row r="338" spans="1:33">
      <c r="A338" s="82"/>
      <c r="B338" s="77" t="str">
        <f t="shared" si="78"/>
        <v/>
      </c>
      <c r="C338" s="82"/>
      <c r="D338" s="77" t="str">
        <f t="shared" si="79"/>
        <v/>
      </c>
      <c r="E338" s="114"/>
      <c r="F338" s="77" t="str">
        <f t="shared" si="80"/>
        <v/>
      </c>
      <c r="G338" s="77" t="str">
        <f t="shared" si="81"/>
        <v/>
      </c>
      <c r="H338" s="113"/>
      <c r="I338" s="113"/>
      <c r="J338" s="113"/>
      <c r="K338" s="124"/>
      <c r="L338" s="123"/>
      <c r="M338" s="123"/>
      <c r="N338" s="124"/>
      <c r="O338" s="300"/>
      <c r="P338" s="81"/>
      <c r="R338" s="73" t="str">
        <f t="shared" si="82"/>
        <v/>
      </c>
      <c r="S338" s="73" t="str">
        <f t="shared" si="83"/>
        <v/>
      </c>
      <c r="T338" s="73" t="str">
        <f t="shared" si="84"/>
        <v/>
      </c>
      <c r="AD338" s="73" t="s">
        <v>1404</v>
      </c>
      <c r="AE338" s="73" t="s">
        <v>1405</v>
      </c>
      <c r="AF338" s="73" t="str">
        <f t="shared" si="85"/>
        <v>A679077</v>
      </c>
      <c r="AG338" s="73" t="str">
        <f>VLOOKUP(AF338,AKT!$C$4:$E$324,3,FALSE)</f>
        <v>0942</v>
      </c>
    </row>
    <row r="339" spans="1:33">
      <c r="A339" s="82"/>
      <c r="B339" s="77" t="str">
        <f t="shared" si="78"/>
        <v/>
      </c>
      <c r="C339" s="82"/>
      <c r="D339" s="77" t="str">
        <f t="shared" si="79"/>
        <v/>
      </c>
      <c r="E339" s="114"/>
      <c r="F339" s="77" t="str">
        <f t="shared" si="80"/>
        <v/>
      </c>
      <c r="G339" s="77" t="str">
        <f t="shared" si="81"/>
        <v/>
      </c>
      <c r="H339" s="113"/>
      <c r="I339" s="113"/>
      <c r="J339" s="113"/>
      <c r="K339" s="124"/>
      <c r="L339" s="123"/>
      <c r="M339" s="123"/>
      <c r="N339" s="124"/>
      <c r="O339" s="300"/>
      <c r="P339" s="81"/>
      <c r="R339" s="73" t="str">
        <f t="shared" si="82"/>
        <v/>
      </c>
      <c r="S339" s="73" t="str">
        <f t="shared" si="83"/>
        <v/>
      </c>
      <c r="T339" s="73" t="str">
        <f t="shared" si="84"/>
        <v/>
      </c>
      <c r="AD339" s="73" t="s">
        <v>1406</v>
      </c>
      <c r="AE339" s="73" t="s">
        <v>1407</v>
      </c>
      <c r="AF339" s="73" t="str">
        <f t="shared" si="85"/>
        <v>A679077</v>
      </c>
      <c r="AG339" s="73" t="str">
        <f>VLOOKUP(AF339,AKT!$C$4:$E$324,3,FALSE)</f>
        <v>0942</v>
      </c>
    </row>
    <row r="340" spans="1:33">
      <c r="A340" s="82"/>
      <c r="B340" s="77" t="str">
        <f t="shared" si="78"/>
        <v/>
      </c>
      <c r="C340" s="82"/>
      <c r="D340" s="77" t="str">
        <f t="shared" si="79"/>
        <v/>
      </c>
      <c r="E340" s="114"/>
      <c r="F340" s="77" t="str">
        <f t="shared" si="80"/>
        <v/>
      </c>
      <c r="G340" s="77" t="str">
        <f t="shared" si="81"/>
        <v/>
      </c>
      <c r="H340" s="113"/>
      <c r="I340" s="113"/>
      <c r="J340" s="113"/>
      <c r="K340" s="124"/>
      <c r="L340" s="123"/>
      <c r="M340" s="123"/>
      <c r="N340" s="124"/>
      <c r="O340" s="300"/>
      <c r="P340" s="81"/>
      <c r="R340" s="73" t="str">
        <f t="shared" si="82"/>
        <v/>
      </c>
      <c r="S340" s="73" t="str">
        <f t="shared" si="83"/>
        <v/>
      </c>
      <c r="T340" s="73" t="str">
        <f t="shared" si="84"/>
        <v/>
      </c>
      <c r="AD340" s="73" t="s">
        <v>1408</v>
      </c>
      <c r="AE340" s="73" t="s">
        <v>1409</v>
      </c>
      <c r="AF340" s="73" t="str">
        <f t="shared" si="85"/>
        <v>A679077</v>
      </c>
      <c r="AG340" s="73" t="str">
        <f>VLOOKUP(AF340,AKT!$C$4:$E$324,3,FALSE)</f>
        <v>0942</v>
      </c>
    </row>
    <row r="341" spans="1:33">
      <c r="A341" s="82"/>
      <c r="B341" s="77" t="str">
        <f t="shared" si="78"/>
        <v/>
      </c>
      <c r="C341" s="82"/>
      <c r="D341" s="77" t="str">
        <f t="shared" si="79"/>
        <v/>
      </c>
      <c r="E341" s="114"/>
      <c r="F341" s="77" t="str">
        <f t="shared" si="80"/>
        <v/>
      </c>
      <c r="G341" s="77" t="str">
        <f t="shared" si="81"/>
        <v/>
      </c>
      <c r="H341" s="113"/>
      <c r="I341" s="113"/>
      <c r="J341" s="113"/>
      <c r="K341" s="124"/>
      <c r="L341" s="123"/>
      <c r="M341" s="123"/>
      <c r="N341" s="124"/>
      <c r="O341" s="300"/>
      <c r="P341" s="81"/>
      <c r="R341" s="73" t="str">
        <f t="shared" si="82"/>
        <v/>
      </c>
      <c r="S341" s="73" t="str">
        <f t="shared" si="83"/>
        <v/>
      </c>
      <c r="T341" s="73" t="str">
        <f t="shared" si="84"/>
        <v/>
      </c>
      <c r="AD341" s="73" t="s">
        <v>2240</v>
      </c>
      <c r="AE341" s="73" t="s">
        <v>2241</v>
      </c>
      <c r="AF341" s="73" t="str">
        <f t="shared" si="85"/>
        <v>A679077</v>
      </c>
      <c r="AG341" s="73" t="str">
        <f>VLOOKUP(AF341,AKT!$C$4:$E$324,3,FALSE)</f>
        <v>0942</v>
      </c>
    </row>
    <row r="342" spans="1:33">
      <c r="A342" s="82"/>
      <c r="B342" s="77" t="str">
        <f t="shared" si="78"/>
        <v/>
      </c>
      <c r="C342" s="82"/>
      <c r="D342" s="77" t="str">
        <f t="shared" si="79"/>
        <v/>
      </c>
      <c r="E342" s="114"/>
      <c r="F342" s="77" t="str">
        <f t="shared" si="80"/>
        <v/>
      </c>
      <c r="G342" s="77" t="str">
        <f t="shared" si="81"/>
        <v/>
      </c>
      <c r="H342" s="113"/>
      <c r="I342" s="113"/>
      <c r="J342" s="113"/>
      <c r="K342" s="124"/>
      <c r="L342" s="123"/>
      <c r="M342" s="123"/>
      <c r="N342" s="124"/>
      <c r="O342" s="300"/>
      <c r="P342" s="81"/>
      <c r="R342" s="73" t="str">
        <f t="shared" si="82"/>
        <v/>
      </c>
      <c r="S342" s="73" t="str">
        <f t="shared" si="83"/>
        <v/>
      </c>
      <c r="T342" s="73" t="str">
        <f t="shared" si="84"/>
        <v/>
      </c>
      <c r="AD342" s="73" t="s">
        <v>2242</v>
      </c>
      <c r="AE342" s="73" t="s">
        <v>2243</v>
      </c>
      <c r="AF342" s="73" t="str">
        <f t="shared" si="85"/>
        <v>A679077</v>
      </c>
      <c r="AG342" s="73" t="str">
        <f>VLOOKUP(AF342,AKT!$C$4:$E$324,3,FALSE)</f>
        <v>0942</v>
      </c>
    </row>
    <row r="343" spans="1:33">
      <c r="A343" s="82"/>
      <c r="B343" s="77" t="str">
        <f t="shared" si="78"/>
        <v/>
      </c>
      <c r="C343" s="82"/>
      <c r="D343" s="77" t="str">
        <f t="shared" si="79"/>
        <v/>
      </c>
      <c r="E343" s="114"/>
      <c r="F343" s="77" t="str">
        <f t="shared" si="80"/>
        <v/>
      </c>
      <c r="G343" s="77" t="str">
        <f t="shared" si="81"/>
        <v/>
      </c>
      <c r="H343" s="113"/>
      <c r="I343" s="113"/>
      <c r="J343" s="113"/>
      <c r="K343" s="124"/>
      <c r="L343" s="123"/>
      <c r="M343" s="123"/>
      <c r="N343" s="124"/>
      <c r="O343" s="300"/>
      <c r="P343" s="81"/>
      <c r="R343" s="73" t="str">
        <f t="shared" si="82"/>
        <v/>
      </c>
      <c r="S343" s="73" t="str">
        <f t="shared" si="83"/>
        <v/>
      </c>
      <c r="T343" s="73" t="str">
        <f t="shared" si="84"/>
        <v/>
      </c>
      <c r="AD343" s="73" t="s">
        <v>2244</v>
      </c>
      <c r="AE343" s="73" t="s">
        <v>2245</v>
      </c>
      <c r="AF343" s="73" t="str">
        <f t="shared" si="85"/>
        <v>A679077</v>
      </c>
      <c r="AG343" s="73" t="str">
        <f>VLOOKUP(AF343,AKT!$C$4:$E$324,3,FALSE)</f>
        <v>0942</v>
      </c>
    </row>
    <row r="344" spans="1:33">
      <c r="A344" s="82"/>
      <c r="B344" s="77" t="str">
        <f t="shared" si="78"/>
        <v/>
      </c>
      <c r="C344" s="82"/>
      <c r="D344" s="77" t="str">
        <f t="shared" si="79"/>
        <v/>
      </c>
      <c r="E344" s="114"/>
      <c r="F344" s="77" t="str">
        <f t="shared" si="80"/>
        <v/>
      </c>
      <c r="G344" s="77" t="str">
        <f t="shared" si="81"/>
        <v/>
      </c>
      <c r="H344" s="113"/>
      <c r="I344" s="113"/>
      <c r="J344" s="113"/>
      <c r="K344" s="124"/>
      <c r="L344" s="123"/>
      <c r="M344" s="123"/>
      <c r="N344" s="124"/>
      <c r="O344" s="300"/>
      <c r="P344" s="81"/>
      <c r="R344" s="73" t="str">
        <f t="shared" si="82"/>
        <v/>
      </c>
      <c r="S344" s="73" t="str">
        <f t="shared" si="83"/>
        <v/>
      </c>
      <c r="T344" s="73" t="str">
        <f t="shared" si="84"/>
        <v/>
      </c>
      <c r="AD344" s="73" t="s">
        <v>2246</v>
      </c>
      <c r="AE344" s="73" t="s">
        <v>2247</v>
      </c>
      <c r="AF344" s="73" t="str">
        <f t="shared" si="85"/>
        <v>A679077</v>
      </c>
      <c r="AG344" s="73" t="str">
        <f>VLOOKUP(AF344,AKT!$C$4:$E$324,3,FALSE)</f>
        <v>0942</v>
      </c>
    </row>
    <row r="345" spans="1:33">
      <c r="A345" s="82"/>
      <c r="B345" s="77" t="str">
        <f t="shared" si="78"/>
        <v/>
      </c>
      <c r="C345" s="82"/>
      <c r="D345" s="77" t="str">
        <f t="shared" si="79"/>
        <v/>
      </c>
      <c r="E345" s="114"/>
      <c r="F345" s="77" t="str">
        <f t="shared" si="80"/>
        <v/>
      </c>
      <c r="G345" s="77" t="str">
        <f t="shared" si="81"/>
        <v/>
      </c>
      <c r="H345" s="113"/>
      <c r="I345" s="113"/>
      <c r="J345" s="113"/>
      <c r="K345" s="124"/>
      <c r="L345" s="123"/>
      <c r="M345" s="123"/>
      <c r="N345" s="124"/>
      <c r="O345" s="300"/>
      <c r="P345" s="81"/>
      <c r="R345" s="73" t="str">
        <f t="shared" si="82"/>
        <v/>
      </c>
      <c r="S345" s="73" t="str">
        <f t="shared" si="83"/>
        <v/>
      </c>
      <c r="T345" s="73" t="str">
        <f t="shared" si="84"/>
        <v/>
      </c>
      <c r="AD345" s="73" t="s">
        <v>2248</v>
      </c>
      <c r="AE345" s="73" t="s">
        <v>2249</v>
      </c>
      <c r="AF345" s="73" t="str">
        <f t="shared" si="85"/>
        <v>A679077</v>
      </c>
      <c r="AG345" s="73" t="str">
        <f>VLOOKUP(AF345,AKT!$C$4:$E$324,3,FALSE)</f>
        <v>0942</v>
      </c>
    </row>
    <row r="346" spans="1:33">
      <c r="A346" s="82"/>
      <c r="B346" s="77" t="str">
        <f t="shared" si="78"/>
        <v/>
      </c>
      <c r="C346" s="82"/>
      <c r="D346" s="77" t="str">
        <f t="shared" si="79"/>
        <v/>
      </c>
      <c r="E346" s="114"/>
      <c r="F346" s="77" t="str">
        <f t="shared" si="80"/>
        <v/>
      </c>
      <c r="G346" s="77" t="str">
        <f t="shared" si="81"/>
        <v/>
      </c>
      <c r="H346" s="113"/>
      <c r="I346" s="113"/>
      <c r="J346" s="113"/>
      <c r="K346" s="124"/>
      <c r="L346" s="123"/>
      <c r="M346" s="123"/>
      <c r="N346" s="124"/>
      <c r="O346" s="300"/>
      <c r="P346" s="81"/>
      <c r="R346" s="73" t="str">
        <f t="shared" si="82"/>
        <v/>
      </c>
      <c r="S346" s="73" t="str">
        <f t="shared" si="83"/>
        <v/>
      </c>
      <c r="T346" s="73" t="str">
        <f t="shared" si="84"/>
        <v/>
      </c>
      <c r="AD346" s="73" t="s">
        <v>2250</v>
      </c>
      <c r="AE346" s="73" t="s">
        <v>2251</v>
      </c>
      <c r="AF346" s="73" t="str">
        <f t="shared" si="85"/>
        <v>A679077</v>
      </c>
      <c r="AG346" s="73" t="str">
        <f>VLOOKUP(AF346,AKT!$C$4:$E$324,3,FALSE)</f>
        <v>0942</v>
      </c>
    </row>
    <row r="347" spans="1:33">
      <c r="A347" s="82"/>
      <c r="B347" s="77" t="str">
        <f t="shared" si="78"/>
        <v/>
      </c>
      <c r="C347" s="82"/>
      <c r="D347" s="77" t="str">
        <f t="shared" si="79"/>
        <v/>
      </c>
      <c r="E347" s="114"/>
      <c r="F347" s="77" t="str">
        <f t="shared" si="80"/>
        <v/>
      </c>
      <c r="G347" s="77" t="str">
        <f t="shared" si="81"/>
        <v/>
      </c>
      <c r="H347" s="113"/>
      <c r="I347" s="113"/>
      <c r="J347" s="113"/>
      <c r="K347" s="124"/>
      <c r="L347" s="123"/>
      <c r="M347" s="123"/>
      <c r="N347" s="124"/>
      <c r="O347" s="300"/>
      <c r="P347" s="81"/>
      <c r="R347" s="73" t="str">
        <f t="shared" si="82"/>
        <v/>
      </c>
      <c r="S347" s="73" t="str">
        <f t="shared" si="83"/>
        <v/>
      </c>
      <c r="T347" s="73" t="str">
        <f t="shared" si="84"/>
        <v/>
      </c>
      <c r="AD347" s="73" t="s">
        <v>2252</v>
      </c>
      <c r="AE347" s="73" t="s">
        <v>2253</v>
      </c>
      <c r="AF347" s="73" t="str">
        <f t="shared" si="85"/>
        <v>A679077</v>
      </c>
      <c r="AG347" s="73" t="str">
        <f>VLOOKUP(AF347,AKT!$C$4:$E$324,3,FALSE)</f>
        <v>0942</v>
      </c>
    </row>
    <row r="348" spans="1:33">
      <c r="A348" s="82"/>
      <c r="B348" s="77" t="str">
        <f t="shared" si="78"/>
        <v/>
      </c>
      <c r="C348" s="82"/>
      <c r="D348" s="77" t="str">
        <f t="shared" si="79"/>
        <v/>
      </c>
      <c r="E348" s="114"/>
      <c r="F348" s="77" t="str">
        <f t="shared" si="80"/>
        <v/>
      </c>
      <c r="G348" s="77" t="str">
        <f t="shared" si="81"/>
        <v/>
      </c>
      <c r="H348" s="113"/>
      <c r="I348" s="113"/>
      <c r="J348" s="113"/>
      <c r="K348" s="124"/>
      <c r="L348" s="123"/>
      <c r="M348" s="123"/>
      <c r="N348" s="124"/>
      <c r="O348" s="300"/>
      <c r="P348" s="81"/>
      <c r="R348" s="73" t="str">
        <f t="shared" si="82"/>
        <v/>
      </c>
      <c r="S348" s="73" t="str">
        <f t="shared" si="83"/>
        <v/>
      </c>
      <c r="T348" s="73" t="str">
        <f t="shared" si="84"/>
        <v/>
      </c>
      <c r="AD348" s="73" t="s">
        <v>2254</v>
      </c>
      <c r="AE348" s="73" t="s">
        <v>2255</v>
      </c>
      <c r="AF348" s="73" t="str">
        <f t="shared" si="85"/>
        <v>A679077</v>
      </c>
      <c r="AG348" s="73" t="str">
        <f>VLOOKUP(AF348,AKT!$C$4:$E$324,3,FALSE)</f>
        <v>0942</v>
      </c>
    </row>
    <row r="349" spans="1:33">
      <c r="A349" s="82"/>
      <c r="B349" s="77" t="str">
        <f t="shared" si="78"/>
        <v/>
      </c>
      <c r="C349" s="82"/>
      <c r="D349" s="77" t="str">
        <f t="shared" si="79"/>
        <v/>
      </c>
      <c r="E349" s="114"/>
      <c r="F349" s="77" t="str">
        <f t="shared" si="80"/>
        <v/>
      </c>
      <c r="G349" s="77" t="str">
        <f t="shared" si="81"/>
        <v/>
      </c>
      <c r="H349" s="113"/>
      <c r="I349" s="113"/>
      <c r="J349" s="113"/>
      <c r="K349" s="124"/>
      <c r="L349" s="123"/>
      <c r="M349" s="123"/>
      <c r="N349" s="124"/>
      <c r="O349" s="300"/>
      <c r="P349" s="81"/>
      <c r="R349" s="73" t="str">
        <f t="shared" si="82"/>
        <v/>
      </c>
      <c r="S349" s="73" t="str">
        <f t="shared" si="83"/>
        <v/>
      </c>
      <c r="T349" s="73" t="str">
        <f t="shared" si="84"/>
        <v/>
      </c>
      <c r="AD349" s="73" t="s">
        <v>2256</v>
      </c>
      <c r="AE349" s="73" t="s">
        <v>2257</v>
      </c>
      <c r="AF349" s="73" t="str">
        <f t="shared" si="85"/>
        <v>A679077</v>
      </c>
      <c r="AG349" s="73" t="str">
        <f>VLOOKUP(AF349,AKT!$C$4:$E$324,3,FALSE)</f>
        <v>0942</v>
      </c>
    </row>
    <row r="350" spans="1:33">
      <c r="A350" s="82"/>
      <c r="B350" s="77" t="str">
        <f t="shared" si="78"/>
        <v/>
      </c>
      <c r="C350" s="82"/>
      <c r="D350" s="77" t="str">
        <f t="shared" si="79"/>
        <v/>
      </c>
      <c r="E350" s="114"/>
      <c r="F350" s="77" t="str">
        <f t="shared" si="80"/>
        <v/>
      </c>
      <c r="G350" s="77" t="str">
        <f t="shared" si="81"/>
        <v/>
      </c>
      <c r="H350" s="113"/>
      <c r="I350" s="113"/>
      <c r="J350" s="113"/>
      <c r="K350" s="124"/>
      <c r="L350" s="123"/>
      <c r="M350" s="123"/>
      <c r="N350" s="124"/>
      <c r="O350" s="300"/>
      <c r="P350" s="81"/>
      <c r="R350" s="73" t="str">
        <f t="shared" si="82"/>
        <v/>
      </c>
      <c r="S350" s="73" t="str">
        <f t="shared" si="83"/>
        <v/>
      </c>
      <c r="T350" s="73" t="str">
        <f t="shared" si="84"/>
        <v/>
      </c>
      <c r="AD350" s="73" t="s">
        <v>2258</v>
      </c>
      <c r="AE350" s="73" t="s">
        <v>2259</v>
      </c>
      <c r="AF350" s="73" t="str">
        <f t="shared" si="85"/>
        <v>A679077</v>
      </c>
      <c r="AG350" s="73" t="str">
        <f>VLOOKUP(AF350,AKT!$C$4:$E$324,3,FALSE)</f>
        <v>0942</v>
      </c>
    </row>
    <row r="351" spans="1:33">
      <c r="A351" s="82"/>
      <c r="B351" s="77" t="str">
        <f t="shared" si="78"/>
        <v/>
      </c>
      <c r="C351" s="82"/>
      <c r="D351" s="77" t="str">
        <f t="shared" si="79"/>
        <v/>
      </c>
      <c r="E351" s="114"/>
      <c r="F351" s="77" t="str">
        <f t="shared" si="80"/>
        <v/>
      </c>
      <c r="G351" s="77" t="str">
        <f t="shared" si="81"/>
        <v/>
      </c>
      <c r="H351" s="113"/>
      <c r="I351" s="113"/>
      <c r="J351" s="113"/>
      <c r="K351" s="124"/>
      <c r="L351" s="123"/>
      <c r="M351" s="123"/>
      <c r="N351" s="124"/>
      <c r="O351" s="300"/>
      <c r="P351" s="81"/>
      <c r="R351" s="73" t="str">
        <f t="shared" si="82"/>
        <v/>
      </c>
      <c r="S351" s="73" t="str">
        <f t="shared" si="83"/>
        <v/>
      </c>
      <c r="T351" s="73" t="str">
        <f t="shared" si="84"/>
        <v/>
      </c>
      <c r="AD351" s="73" t="s">
        <v>2260</v>
      </c>
      <c r="AE351" s="73" t="s">
        <v>2261</v>
      </c>
      <c r="AF351" s="73" t="str">
        <f t="shared" si="85"/>
        <v>A679077</v>
      </c>
      <c r="AG351" s="73" t="str">
        <f>VLOOKUP(AF351,AKT!$C$4:$E$324,3,FALSE)</f>
        <v>0942</v>
      </c>
    </row>
    <row r="352" spans="1:33">
      <c r="A352" s="82"/>
      <c r="B352" s="77" t="str">
        <f t="shared" si="78"/>
        <v/>
      </c>
      <c r="C352" s="82"/>
      <c r="D352" s="77" t="str">
        <f t="shared" si="79"/>
        <v/>
      </c>
      <c r="E352" s="114"/>
      <c r="F352" s="77" t="str">
        <f t="shared" si="80"/>
        <v/>
      </c>
      <c r="G352" s="77" t="str">
        <f t="shared" si="81"/>
        <v/>
      </c>
      <c r="H352" s="113"/>
      <c r="I352" s="113"/>
      <c r="J352" s="113"/>
      <c r="K352" s="124"/>
      <c r="L352" s="123"/>
      <c r="M352" s="123"/>
      <c r="N352" s="124"/>
      <c r="O352" s="300"/>
      <c r="P352" s="81"/>
      <c r="R352" s="73" t="str">
        <f t="shared" si="82"/>
        <v/>
      </c>
      <c r="S352" s="73" t="str">
        <f t="shared" si="83"/>
        <v/>
      </c>
      <c r="T352" s="73" t="str">
        <f t="shared" si="84"/>
        <v/>
      </c>
      <c r="AD352" s="73" t="s">
        <v>2262</v>
      </c>
      <c r="AE352" s="73" t="s">
        <v>2263</v>
      </c>
      <c r="AF352" s="73" t="str">
        <f t="shared" si="85"/>
        <v>A679077</v>
      </c>
      <c r="AG352" s="73" t="str">
        <f>VLOOKUP(AF352,AKT!$C$4:$E$324,3,FALSE)</f>
        <v>0942</v>
      </c>
    </row>
    <row r="353" spans="1:33">
      <c r="A353" s="82"/>
      <c r="B353" s="77" t="str">
        <f t="shared" si="78"/>
        <v/>
      </c>
      <c r="C353" s="82"/>
      <c r="D353" s="77" t="str">
        <f t="shared" si="79"/>
        <v/>
      </c>
      <c r="E353" s="114"/>
      <c r="F353" s="77" t="str">
        <f t="shared" si="80"/>
        <v/>
      </c>
      <c r="G353" s="77" t="str">
        <f t="shared" si="81"/>
        <v/>
      </c>
      <c r="H353" s="113"/>
      <c r="I353" s="113"/>
      <c r="J353" s="113"/>
      <c r="K353" s="124"/>
      <c r="L353" s="123"/>
      <c r="M353" s="123"/>
      <c r="N353" s="124"/>
      <c r="O353" s="300"/>
      <c r="P353" s="81"/>
      <c r="R353" s="73" t="str">
        <f t="shared" si="82"/>
        <v/>
      </c>
      <c r="S353" s="73" t="str">
        <f t="shared" si="83"/>
        <v/>
      </c>
      <c r="T353" s="73" t="str">
        <f t="shared" si="84"/>
        <v/>
      </c>
      <c r="AD353" s="73" t="s">
        <v>2264</v>
      </c>
      <c r="AE353" s="73" t="s">
        <v>2265</v>
      </c>
      <c r="AF353" s="73" t="str">
        <f t="shared" si="85"/>
        <v>A679077</v>
      </c>
      <c r="AG353" s="73" t="str">
        <f>VLOOKUP(AF353,AKT!$C$4:$E$324,3,FALSE)</f>
        <v>0942</v>
      </c>
    </row>
    <row r="354" spans="1:33">
      <c r="A354" s="82"/>
      <c r="B354" s="77" t="str">
        <f t="shared" si="78"/>
        <v/>
      </c>
      <c r="C354" s="82"/>
      <c r="D354" s="77" t="str">
        <f t="shared" si="79"/>
        <v/>
      </c>
      <c r="E354" s="114"/>
      <c r="F354" s="77" t="str">
        <f t="shared" si="80"/>
        <v/>
      </c>
      <c r="G354" s="77" t="str">
        <f t="shared" si="81"/>
        <v/>
      </c>
      <c r="H354" s="113"/>
      <c r="I354" s="113"/>
      <c r="J354" s="113"/>
      <c r="K354" s="124"/>
      <c r="L354" s="123"/>
      <c r="M354" s="123"/>
      <c r="N354" s="124"/>
      <c r="O354" s="300"/>
      <c r="P354" s="81"/>
      <c r="R354" s="73" t="str">
        <f t="shared" si="82"/>
        <v/>
      </c>
      <c r="S354" s="73" t="str">
        <f t="shared" si="83"/>
        <v/>
      </c>
      <c r="T354" s="73" t="str">
        <f t="shared" si="84"/>
        <v/>
      </c>
      <c r="AD354" s="73" t="s">
        <v>2266</v>
      </c>
      <c r="AE354" s="73" t="s">
        <v>2267</v>
      </c>
      <c r="AF354" s="73" t="str">
        <f t="shared" si="85"/>
        <v>A679077</v>
      </c>
      <c r="AG354" s="73" t="str">
        <f>VLOOKUP(AF354,AKT!$C$4:$E$324,3,FALSE)</f>
        <v>0942</v>
      </c>
    </row>
    <row r="355" spans="1:33">
      <c r="A355" s="82"/>
      <c r="B355" s="77" t="str">
        <f t="shared" ref="B355:B418" si="86">IFERROR(VLOOKUP(A355,$U$7:$V$21,2,FALSE),"")</f>
        <v/>
      </c>
      <c r="C355" s="82"/>
      <c r="D355" s="77" t="str">
        <f t="shared" ref="D355:D418" si="87">IFERROR(VLOOKUP(C355,$X$6:$Z$120,2,FALSE),"")</f>
        <v/>
      </c>
      <c r="E355" s="114"/>
      <c r="F355" s="77" t="str">
        <f t="shared" ref="F355:F418" si="88">IFERROR(VLOOKUP(E355,$AD$7:$AE$1081,2,FALSE),"")</f>
        <v/>
      </c>
      <c r="G355" s="77" t="str">
        <f t="shared" ref="G355:G418" si="89">IFERROR(VLOOKUP(E355,$AD$7:$AG$1081,4,FALSE),"")</f>
        <v/>
      </c>
      <c r="H355" s="113"/>
      <c r="I355" s="113"/>
      <c r="J355" s="113"/>
      <c r="K355" s="124"/>
      <c r="L355" s="123"/>
      <c r="M355" s="123"/>
      <c r="N355" s="124"/>
      <c r="O355" s="300"/>
      <c r="P355" s="81"/>
      <c r="R355" s="73" t="str">
        <f t="shared" si="82"/>
        <v/>
      </c>
      <c r="S355" s="73" t="str">
        <f t="shared" si="83"/>
        <v/>
      </c>
      <c r="T355" s="73" t="str">
        <f t="shared" si="84"/>
        <v/>
      </c>
      <c r="AD355" s="73" t="s">
        <v>2268</v>
      </c>
      <c r="AE355" s="73" t="s">
        <v>2269</v>
      </c>
      <c r="AF355" s="73" t="str">
        <f t="shared" si="85"/>
        <v>A679077</v>
      </c>
      <c r="AG355" s="73" t="str">
        <f>VLOOKUP(AF355,AKT!$C$4:$E$324,3,FALSE)</f>
        <v>0942</v>
      </c>
    </row>
    <row r="356" spans="1:33">
      <c r="A356" s="82"/>
      <c r="B356" s="77" t="str">
        <f t="shared" si="86"/>
        <v/>
      </c>
      <c r="C356" s="82"/>
      <c r="D356" s="77" t="str">
        <f t="shared" si="87"/>
        <v/>
      </c>
      <c r="E356" s="114"/>
      <c r="F356" s="77" t="str">
        <f t="shared" si="88"/>
        <v/>
      </c>
      <c r="G356" s="77" t="str">
        <f t="shared" si="89"/>
        <v/>
      </c>
      <c r="H356" s="113"/>
      <c r="I356" s="113"/>
      <c r="J356" s="113"/>
      <c r="K356" s="124"/>
      <c r="L356" s="123"/>
      <c r="M356" s="123"/>
      <c r="N356" s="124"/>
      <c r="O356" s="300"/>
      <c r="P356" s="81"/>
      <c r="R356" s="73" t="str">
        <f t="shared" si="82"/>
        <v/>
      </c>
      <c r="S356" s="73" t="str">
        <f t="shared" si="83"/>
        <v/>
      </c>
      <c r="T356" s="73" t="str">
        <f t="shared" si="84"/>
        <v/>
      </c>
      <c r="AD356" s="73" t="s">
        <v>2270</v>
      </c>
      <c r="AE356" s="73" t="s">
        <v>2271</v>
      </c>
      <c r="AF356" s="73" t="str">
        <f t="shared" si="85"/>
        <v>A679077</v>
      </c>
      <c r="AG356" s="73" t="str">
        <f>VLOOKUP(AF356,AKT!$C$4:$E$324,3,FALSE)</f>
        <v>0942</v>
      </c>
    </row>
    <row r="357" spans="1:33">
      <c r="A357" s="82"/>
      <c r="B357" s="77" t="str">
        <f t="shared" si="86"/>
        <v/>
      </c>
      <c r="C357" s="82"/>
      <c r="D357" s="77" t="str">
        <f t="shared" si="87"/>
        <v/>
      </c>
      <c r="E357" s="114"/>
      <c r="F357" s="77" t="str">
        <f t="shared" si="88"/>
        <v/>
      </c>
      <c r="G357" s="77" t="str">
        <f t="shared" si="89"/>
        <v/>
      </c>
      <c r="H357" s="113"/>
      <c r="I357" s="113"/>
      <c r="J357" s="113"/>
      <c r="K357" s="124"/>
      <c r="L357" s="123"/>
      <c r="M357" s="123"/>
      <c r="N357" s="124"/>
      <c r="O357" s="300"/>
      <c r="P357" s="81"/>
      <c r="R357" s="73" t="str">
        <f t="shared" si="82"/>
        <v/>
      </c>
      <c r="S357" s="73" t="str">
        <f t="shared" si="83"/>
        <v/>
      </c>
      <c r="T357" s="73" t="str">
        <f t="shared" si="84"/>
        <v/>
      </c>
      <c r="AD357" s="73" t="s">
        <v>2272</v>
      </c>
      <c r="AE357" s="73" t="s">
        <v>2273</v>
      </c>
      <c r="AF357" s="73" t="str">
        <f t="shared" si="85"/>
        <v>A679077</v>
      </c>
      <c r="AG357" s="73" t="str">
        <f>VLOOKUP(AF357,AKT!$C$4:$E$324,3,FALSE)</f>
        <v>0942</v>
      </c>
    </row>
    <row r="358" spans="1:33">
      <c r="A358" s="82"/>
      <c r="B358" s="77" t="str">
        <f t="shared" si="86"/>
        <v/>
      </c>
      <c r="C358" s="82"/>
      <c r="D358" s="77" t="str">
        <f t="shared" si="87"/>
        <v/>
      </c>
      <c r="E358" s="114"/>
      <c r="F358" s="77" t="str">
        <f t="shared" si="88"/>
        <v/>
      </c>
      <c r="G358" s="77" t="str">
        <f t="shared" si="89"/>
        <v/>
      </c>
      <c r="H358" s="113"/>
      <c r="I358" s="113"/>
      <c r="J358" s="113"/>
      <c r="K358" s="124"/>
      <c r="L358" s="123"/>
      <c r="M358" s="123"/>
      <c r="N358" s="124"/>
      <c r="O358" s="300"/>
      <c r="P358" s="81"/>
      <c r="R358" s="73" t="str">
        <f t="shared" si="82"/>
        <v/>
      </c>
      <c r="S358" s="73" t="str">
        <f t="shared" si="83"/>
        <v/>
      </c>
      <c r="T358" s="73" t="str">
        <f t="shared" si="84"/>
        <v/>
      </c>
      <c r="AD358" s="73" t="s">
        <v>2274</v>
      </c>
      <c r="AE358" s="73" t="s">
        <v>2275</v>
      </c>
      <c r="AF358" s="73" t="str">
        <f t="shared" si="85"/>
        <v>A679077</v>
      </c>
      <c r="AG358" s="73" t="str">
        <f>VLOOKUP(AF358,AKT!$C$4:$E$324,3,FALSE)</f>
        <v>0942</v>
      </c>
    </row>
    <row r="359" spans="1:33">
      <c r="A359" s="82"/>
      <c r="B359" s="77" t="str">
        <f t="shared" si="86"/>
        <v/>
      </c>
      <c r="C359" s="82"/>
      <c r="D359" s="77" t="str">
        <f t="shared" si="87"/>
        <v/>
      </c>
      <c r="E359" s="114"/>
      <c r="F359" s="77" t="str">
        <f t="shared" si="88"/>
        <v/>
      </c>
      <c r="G359" s="77" t="str">
        <f t="shared" si="89"/>
        <v/>
      </c>
      <c r="H359" s="113"/>
      <c r="I359" s="113"/>
      <c r="J359" s="113"/>
      <c r="K359" s="124"/>
      <c r="L359" s="123"/>
      <c r="M359" s="123"/>
      <c r="N359" s="124"/>
      <c r="O359" s="300"/>
      <c r="P359" s="81"/>
      <c r="R359" s="73" t="str">
        <f t="shared" si="82"/>
        <v/>
      </c>
      <c r="S359" s="73" t="str">
        <f t="shared" si="83"/>
        <v/>
      </c>
      <c r="T359" s="73" t="str">
        <f t="shared" si="84"/>
        <v/>
      </c>
      <c r="AD359" s="73" t="s">
        <v>2276</v>
      </c>
      <c r="AE359" s="73" t="s">
        <v>2277</v>
      </c>
      <c r="AF359" s="73" t="str">
        <f t="shared" si="85"/>
        <v>A679077</v>
      </c>
      <c r="AG359" s="73" t="str">
        <f>VLOOKUP(AF359,AKT!$C$4:$E$324,3,FALSE)</f>
        <v>0942</v>
      </c>
    </row>
    <row r="360" spans="1:33">
      <c r="A360" s="82"/>
      <c r="B360" s="77" t="str">
        <f t="shared" si="86"/>
        <v/>
      </c>
      <c r="C360" s="82"/>
      <c r="D360" s="77" t="str">
        <f t="shared" si="87"/>
        <v/>
      </c>
      <c r="E360" s="114"/>
      <c r="F360" s="77" t="str">
        <f t="shared" si="88"/>
        <v/>
      </c>
      <c r="G360" s="77" t="str">
        <f t="shared" si="89"/>
        <v/>
      </c>
      <c r="H360" s="113"/>
      <c r="I360" s="113"/>
      <c r="J360" s="113"/>
      <c r="K360" s="124"/>
      <c r="L360" s="123"/>
      <c r="M360" s="123"/>
      <c r="N360" s="124"/>
      <c r="O360" s="300"/>
      <c r="P360" s="81"/>
      <c r="R360" s="73" t="str">
        <f t="shared" si="82"/>
        <v/>
      </c>
      <c r="S360" s="73" t="str">
        <f t="shared" si="83"/>
        <v/>
      </c>
      <c r="T360" s="73" t="str">
        <f t="shared" si="84"/>
        <v/>
      </c>
      <c r="AD360" s="73" t="s">
        <v>2278</v>
      </c>
      <c r="AE360" s="73" t="s">
        <v>2279</v>
      </c>
      <c r="AF360" s="73" t="str">
        <f t="shared" si="85"/>
        <v>A679077</v>
      </c>
      <c r="AG360" s="73" t="str">
        <f>VLOOKUP(AF360,AKT!$C$4:$E$324,3,FALSE)</f>
        <v>0942</v>
      </c>
    </row>
    <row r="361" spans="1:33">
      <c r="A361" s="82"/>
      <c r="B361" s="77" t="str">
        <f t="shared" si="86"/>
        <v/>
      </c>
      <c r="C361" s="82"/>
      <c r="D361" s="77" t="str">
        <f t="shared" si="87"/>
        <v/>
      </c>
      <c r="E361" s="114"/>
      <c r="F361" s="77" t="str">
        <f t="shared" si="88"/>
        <v/>
      </c>
      <c r="G361" s="77" t="str">
        <f t="shared" si="89"/>
        <v/>
      </c>
      <c r="H361" s="113"/>
      <c r="I361" s="113"/>
      <c r="J361" s="113"/>
      <c r="K361" s="124"/>
      <c r="L361" s="123"/>
      <c r="M361" s="123"/>
      <c r="N361" s="124"/>
      <c r="O361" s="300"/>
      <c r="P361" s="81"/>
      <c r="R361" s="73" t="str">
        <f t="shared" si="82"/>
        <v/>
      </c>
      <c r="S361" s="73" t="str">
        <f t="shared" si="83"/>
        <v/>
      </c>
      <c r="T361" s="73" t="str">
        <f t="shared" si="84"/>
        <v/>
      </c>
      <c r="AD361" s="73" t="s">
        <v>2280</v>
      </c>
      <c r="AE361" s="73" t="s">
        <v>2281</v>
      </c>
      <c r="AF361" s="73" t="str">
        <f t="shared" si="85"/>
        <v>A679077</v>
      </c>
      <c r="AG361" s="73" t="str">
        <f>VLOOKUP(AF361,AKT!$C$4:$E$324,3,FALSE)</f>
        <v>0942</v>
      </c>
    </row>
    <row r="362" spans="1:33">
      <c r="A362" s="82"/>
      <c r="B362" s="77" t="str">
        <f t="shared" si="86"/>
        <v/>
      </c>
      <c r="C362" s="82"/>
      <c r="D362" s="77" t="str">
        <f t="shared" si="87"/>
        <v/>
      </c>
      <c r="E362" s="114"/>
      <c r="F362" s="77" t="str">
        <f t="shared" si="88"/>
        <v/>
      </c>
      <c r="G362" s="77" t="str">
        <f t="shared" si="89"/>
        <v/>
      </c>
      <c r="H362" s="113"/>
      <c r="I362" s="113"/>
      <c r="J362" s="113"/>
      <c r="K362" s="124"/>
      <c r="L362" s="123"/>
      <c r="M362" s="123"/>
      <c r="N362" s="124"/>
      <c r="O362" s="300"/>
      <c r="P362" s="81"/>
      <c r="R362" s="73" t="str">
        <f t="shared" si="82"/>
        <v/>
      </c>
      <c r="S362" s="73" t="str">
        <f t="shared" si="83"/>
        <v/>
      </c>
      <c r="T362" s="73" t="str">
        <f t="shared" si="84"/>
        <v/>
      </c>
      <c r="AD362" s="73" t="s">
        <v>2282</v>
      </c>
      <c r="AE362" s="73" t="s">
        <v>2283</v>
      </c>
      <c r="AF362" s="73" t="str">
        <f t="shared" si="85"/>
        <v>A679077</v>
      </c>
      <c r="AG362" s="73" t="str">
        <f>VLOOKUP(AF362,AKT!$C$4:$E$324,3,FALSE)</f>
        <v>0942</v>
      </c>
    </row>
    <row r="363" spans="1:33">
      <c r="A363" s="82"/>
      <c r="B363" s="77" t="str">
        <f t="shared" si="86"/>
        <v/>
      </c>
      <c r="C363" s="82"/>
      <c r="D363" s="77" t="str">
        <f t="shared" si="87"/>
        <v/>
      </c>
      <c r="E363" s="114"/>
      <c r="F363" s="77" t="str">
        <f t="shared" si="88"/>
        <v/>
      </c>
      <c r="G363" s="77" t="str">
        <f t="shared" si="89"/>
        <v/>
      </c>
      <c r="H363" s="113"/>
      <c r="I363" s="113"/>
      <c r="J363" s="113"/>
      <c r="K363" s="124"/>
      <c r="L363" s="123"/>
      <c r="M363" s="123"/>
      <c r="N363" s="124"/>
      <c r="O363" s="300"/>
      <c r="P363" s="81"/>
      <c r="R363" s="73" t="str">
        <f t="shared" si="82"/>
        <v/>
      </c>
      <c r="S363" s="73" t="str">
        <f t="shared" si="83"/>
        <v/>
      </c>
      <c r="T363" s="73" t="str">
        <f t="shared" si="84"/>
        <v/>
      </c>
      <c r="AD363" s="73" t="s">
        <v>2284</v>
      </c>
      <c r="AE363" s="73" t="s">
        <v>2285</v>
      </c>
      <c r="AF363" s="73" t="str">
        <f t="shared" si="85"/>
        <v>A679077</v>
      </c>
      <c r="AG363" s="73" t="str">
        <f>VLOOKUP(AF363,AKT!$C$4:$E$324,3,FALSE)</f>
        <v>0942</v>
      </c>
    </row>
    <row r="364" spans="1:33">
      <c r="A364" s="82"/>
      <c r="B364" s="77" t="str">
        <f t="shared" si="86"/>
        <v/>
      </c>
      <c r="C364" s="82"/>
      <c r="D364" s="77" t="str">
        <f t="shared" si="87"/>
        <v/>
      </c>
      <c r="E364" s="114"/>
      <c r="F364" s="77" t="str">
        <f t="shared" si="88"/>
        <v/>
      </c>
      <c r="G364" s="77" t="str">
        <f t="shared" si="89"/>
        <v/>
      </c>
      <c r="H364" s="113"/>
      <c r="I364" s="113"/>
      <c r="J364" s="113"/>
      <c r="K364" s="124"/>
      <c r="L364" s="123"/>
      <c r="M364" s="123"/>
      <c r="N364" s="124"/>
      <c r="O364" s="300"/>
      <c r="P364" s="81"/>
      <c r="R364" s="73" t="str">
        <f t="shared" si="82"/>
        <v/>
      </c>
      <c r="S364" s="73" t="str">
        <f t="shared" si="83"/>
        <v/>
      </c>
      <c r="T364" s="73" t="str">
        <f t="shared" si="84"/>
        <v/>
      </c>
      <c r="AD364" s="73" t="s">
        <v>2286</v>
      </c>
      <c r="AE364" s="73" t="s">
        <v>2287</v>
      </c>
      <c r="AF364" s="73" t="str">
        <f t="shared" si="85"/>
        <v>A679077</v>
      </c>
      <c r="AG364" s="73" t="str">
        <f>VLOOKUP(AF364,AKT!$C$4:$E$324,3,FALSE)</f>
        <v>0942</v>
      </c>
    </row>
    <row r="365" spans="1:33">
      <c r="A365" s="82"/>
      <c r="B365" s="77" t="str">
        <f t="shared" si="86"/>
        <v/>
      </c>
      <c r="C365" s="82"/>
      <c r="D365" s="77" t="str">
        <f t="shared" si="87"/>
        <v/>
      </c>
      <c r="E365" s="114"/>
      <c r="F365" s="77" t="str">
        <f t="shared" si="88"/>
        <v/>
      </c>
      <c r="G365" s="77" t="str">
        <f t="shared" si="89"/>
        <v/>
      </c>
      <c r="H365" s="113"/>
      <c r="I365" s="113"/>
      <c r="J365" s="113"/>
      <c r="K365" s="124"/>
      <c r="L365" s="123"/>
      <c r="M365" s="123"/>
      <c r="N365" s="124"/>
      <c r="O365" s="300"/>
      <c r="P365" s="81"/>
      <c r="R365" s="73" t="str">
        <f t="shared" si="82"/>
        <v/>
      </c>
      <c r="S365" s="73" t="str">
        <f t="shared" si="83"/>
        <v/>
      </c>
      <c r="T365" s="73" t="str">
        <f t="shared" si="84"/>
        <v/>
      </c>
      <c r="AD365" s="73" t="s">
        <v>2288</v>
      </c>
      <c r="AE365" s="73" t="s">
        <v>2289</v>
      </c>
      <c r="AF365" s="73" t="str">
        <f t="shared" si="85"/>
        <v>A679077</v>
      </c>
      <c r="AG365" s="73" t="str">
        <f>VLOOKUP(AF365,AKT!$C$4:$E$324,3,FALSE)</f>
        <v>0942</v>
      </c>
    </row>
    <row r="366" spans="1:33">
      <c r="A366" s="82"/>
      <c r="B366" s="77" t="str">
        <f t="shared" si="86"/>
        <v/>
      </c>
      <c r="C366" s="82"/>
      <c r="D366" s="77" t="str">
        <f t="shared" si="87"/>
        <v/>
      </c>
      <c r="E366" s="114"/>
      <c r="F366" s="77" t="str">
        <f t="shared" si="88"/>
        <v/>
      </c>
      <c r="G366" s="77" t="str">
        <f t="shared" si="89"/>
        <v/>
      </c>
      <c r="H366" s="113"/>
      <c r="I366" s="113"/>
      <c r="J366" s="113"/>
      <c r="K366" s="124"/>
      <c r="L366" s="123"/>
      <c r="M366" s="123"/>
      <c r="N366" s="124"/>
      <c r="O366" s="300"/>
      <c r="P366" s="81"/>
      <c r="R366" s="73" t="str">
        <f t="shared" si="82"/>
        <v/>
      </c>
      <c r="S366" s="73" t="str">
        <f t="shared" si="83"/>
        <v/>
      </c>
      <c r="T366" s="73" t="str">
        <f t="shared" si="84"/>
        <v/>
      </c>
      <c r="AD366" s="73" t="s">
        <v>2290</v>
      </c>
      <c r="AE366" s="73" t="s">
        <v>2291</v>
      </c>
      <c r="AF366" s="73" t="str">
        <f t="shared" si="85"/>
        <v>A679077</v>
      </c>
      <c r="AG366" s="73" t="str">
        <f>VLOOKUP(AF366,AKT!$C$4:$E$324,3,FALSE)</f>
        <v>0942</v>
      </c>
    </row>
    <row r="367" spans="1:33">
      <c r="A367" s="82"/>
      <c r="B367" s="77" t="str">
        <f t="shared" si="86"/>
        <v/>
      </c>
      <c r="C367" s="82"/>
      <c r="D367" s="77" t="str">
        <f t="shared" si="87"/>
        <v/>
      </c>
      <c r="E367" s="114"/>
      <c r="F367" s="77" t="str">
        <f t="shared" si="88"/>
        <v/>
      </c>
      <c r="G367" s="77" t="str">
        <f t="shared" si="89"/>
        <v/>
      </c>
      <c r="H367" s="113"/>
      <c r="I367" s="113"/>
      <c r="J367" s="113"/>
      <c r="K367" s="124"/>
      <c r="L367" s="123"/>
      <c r="M367" s="123"/>
      <c r="N367" s="124"/>
      <c r="O367" s="300"/>
      <c r="P367" s="81"/>
      <c r="R367" s="73" t="str">
        <f t="shared" si="82"/>
        <v/>
      </c>
      <c r="S367" s="73" t="str">
        <f t="shared" si="83"/>
        <v/>
      </c>
      <c r="T367" s="73" t="str">
        <f t="shared" si="84"/>
        <v/>
      </c>
      <c r="AD367" s="73" t="s">
        <v>2292</v>
      </c>
      <c r="AE367" s="73" t="s">
        <v>2293</v>
      </c>
      <c r="AF367" s="73" t="str">
        <f t="shared" si="85"/>
        <v>A679077</v>
      </c>
      <c r="AG367" s="73" t="str">
        <f>VLOOKUP(AF367,AKT!$C$4:$E$324,3,FALSE)</f>
        <v>0942</v>
      </c>
    </row>
    <row r="368" spans="1:33">
      <c r="A368" s="82"/>
      <c r="B368" s="77" t="str">
        <f t="shared" si="86"/>
        <v/>
      </c>
      <c r="C368" s="82"/>
      <c r="D368" s="77" t="str">
        <f t="shared" si="87"/>
        <v/>
      </c>
      <c r="E368" s="114"/>
      <c r="F368" s="77" t="str">
        <f t="shared" si="88"/>
        <v/>
      </c>
      <c r="G368" s="77" t="str">
        <f t="shared" si="89"/>
        <v/>
      </c>
      <c r="H368" s="113"/>
      <c r="I368" s="113"/>
      <c r="J368" s="113"/>
      <c r="K368" s="124"/>
      <c r="L368" s="123"/>
      <c r="M368" s="123"/>
      <c r="N368" s="124"/>
      <c r="O368" s="300"/>
      <c r="P368" s="81"/>
      <c r="R368" s="73" t="str">
        <f t="shared" si="82"/>
        <v/>
      </c>
      <c r="S368" s="73" t="str">
        <f t="shared" si="83"/>
        <v/>
      </c>
      <c r="T368" s="73" t="str">
        <f t="shared" si="84"/>
        <v/>
      </c>
      <c r="AD368" s="73" t="s">
        <v>2294</v>
      </c>
      <c r="AE368" s="73" t="s">
        <v>2295</v>
      </c>
      <c r="AF368" s="73" t="str">
        <f t="shared" si="85"/>
        <v>A679077</v>
      </c>
      <c r="AG368" s="73" t="str">
        <f>VLOOKUP(AF368,AKT!$C$4:$E$324,3,FALSE)</f>
        <v>0942</v>
      </c>
    </row>
    <row r="369" spans="1:33">
      <c r="A369" s="82"/>
      <c r="B369" s="77" t="str">
        <f t="shared" si="86"/>
        <v/>
      </c>
      <c r="C369" s="82"/>
      <c r="D369" s="77" t="str">
        <f t="shared" si="87"/>
        <v/>
      </c>
      <c r="E369" s="114"/>
      <c r="F369" s="77" t="str">
        <f t="shared" si="88"/>
        <v/>
      </c>
      <c r="G369" s="77" t="str">
        <f t="shared" si="89"/>
        <v/>
      </c>
      <c r="H369" s="113"/>
      <c r="I369" s="113"/>
      <c r="J369" s="113"/>
      <c r="K369" s="124"/>
      <c r="L369" s="123"/>
      <c r="M369" s="123"/>
      <c r="N369" s="124"/>
      <c r="O369" s="300"/>
      <c r="P369" s="81"/>
      <c r="R369" s="73" t="str">
        <f t="shared" si="82"/>
        <v/>
      </c>
      <c r="S369" s="73" t="str">
        <f t="shared" si="83"/>
        <v/>
      </c>
      <c r="T369" s="73" t="str">
        <f t="shared" si="84"/>
        <v/>
      </c>
      <c r="AD369" s="73" t="s">
        <v>2296</v>
      </c>
      <c r="AE369" s="73" t="s">
        <v>2297</v>
      </c>
      <c r="AF369" s="73" t="str">
        <f t="shared" si="85"/>
        <v>A679077</v>
      </c>
      <c r="AG369" s="73" t="str">
        <f>VLOOKUP(AF369,AKT!$C$4:$E$324,3,FALSE)</f>
        <v>0942</v>
      </c>
    </row>
    <row r="370" spans="1:33">
      <c r="A370" s="82"/>
      <c r="B370" s="77" t="str">
        <f t="shared" si="86"/>
        <v/>
      </c>
      <c r="C370" s="82"/>
      <c r="D370" s="77" t="str">
        <f t="shared" si="87"/>
        <v/>
      </c>
      <c r="E370" s="114"/>
      <c r="F370" s="77" t="str">
        <f t="shared" si="88"/>
        <v/>
      </c>
      <c r="G370" s="77" t="str">
        <f t="shared" si="89"/>
        <v/>
      </c>
      <c r="H370" s="113"/>
      <c r="I370" s="113"/>
      <c r="J370" s="113"/>
      <c r="K370" s="124"/>
      <c r="L370" s="123"/>
      <c r="M370" s="123"/>
      <c r="N370" s="124"/>
      <c r="O370" s="300"/>
      <c r="P370" s="81"/>
      <c r="R370" s="73" t="str">
        <f t="shared" si="82"/>
        <v/>
      </c>
      <c r="S370" s="73" t="str">
        <f t="shared" si="83"/>
        <v/>
      </c>
      <c r="T370" s="73" t="str">
        <f t="shared" si="84"/>
        <v/>
      </c>
      <c r="AD370" s="73" t="s">
        <v>2298</v>
      </c>
      <c r="AE370" s="73" t="s">
        <v>870</v>
      </c>
      <c r="AF370" s="73" t="str">
        <f t="shared" si="85"/>
        <v>A679077</v>
      </c>
      <c r="AG370" s="73" t="str">
        <f>VLOOKUP(AF370,AKT!$C$4:$E$324,3,FALSE)</f>
        <v>0942</v>
      </c>
    </row>
    <row r="371" spans="1:33">
      <c r="A371" s="82"/>
      <c r="B371" s="77" t="str">
        <f t="shared" si="86"/>
        <v/>
      </c>
      <c r="C371" s="82"/>
      <c r="D371" s="77" t="str">
        <f t="shared" si="87"/>
        <v/>
      </c>
      <c r="E371" s="114"/>
      <c r="F371" s="77" t="str">
        <f t="shared" si="88"/>
        <v/>
      </c>
      <c r="G371" s="77" t="str">
        <f t="shared" si="89"/>
        <v/>
      </c>
      <c r="H371" s="113"/>
      <c r="I371" s="113"/>
      <c r="J371" s="113"/>
      <c r="K371" s="124"/>
      <c r="L371" s="123"/>
      <c r="M371" s="123"/>
      <c r="N371" s="124"/>
      <c r="O371" s="300"/>
      <c r="P371" s="81"/>
      <c r="R371" s="73" t="str">
        <f t="shared" si="82"/>
        <v/>
      </c>
      <c r="S371" s="73" t="str">
        <f t="shared" si="83"/>
        <v/>
      </c>
      <c r="T371" s="73" t="str">
        <f t="shared" si="84"/>
        <v/>
      </c>
      <c r="AD371" s="73" t="s">
        <v>2299</v>
      </c>
      <c r="AE371" s="73" t="s">
        <v>1143</v>
      </c>
      <c r="AF371" s="73" t="str">
        <f t="shared" si="85"/>
        <v>A679077</v>
      </c>
      <c r="AG371" s="73" t="str">
        <f>VLOOKUP(AF371,AKT!$C$4:$E$324,3,FALSE)</f>
        <v>0942</v>
      </c>
    </row>
    <row r="372" spans="1:33">
      <c r="A372" s="82"/>
      <c r="B372" s="77" t="str">
        <f t="shared" si="86"/>
        <v/>
      </c>
      <c r="C372" s="82"/>
      <c r="D372" s="77" t="str">
        <f t="shared" si="87"/>
        <v/>
      </c>
      <c r="E372" s="114"/>
      <c r="F372" s="77" t="str">
        <f t="shared" si="88"/>
        <v/>
      </c>
      <c r="G372" s="77" t="str">
        <f t="shared" si="89"/>
        <v/>
      </c>
      <c r="H372" s="113"/>
      <c r="I372" s="113"/>
      <c r="J372" s="113"/>
      <c r="K372" s="124"/>
      <c r="L372" s="123"/>
      <c r="M372" s="123"/>
      <c r="N372" s="124"/>
      <c r="O372" s="300"/>
      <c r="P372" s="81"/>
      <c r="R372" s="73" t="str">
        <f t="shared" si="82"/>
        <v/>
      </c>
      <c r="S372" s="73" t="str">
        <f t="shared" si="83"/>
        <v/>
      </c>
      <c r="T372" s="73" t="str">
        <f t="shared" si="84"/>
        <v/>
      </c>
      <c r="AD372" s="73" t="s">
        <v>2300</v>
      </c>
      <c r="AE372" s="73" t="s">
        <v>2301</v>
      </c>
      <c r="AF372" s="73" t="str">
        <f t="shared" si="85"/>
        <v>A679077</v>
      </c>
      <c r="AG372" s="73" t="str">
        <f>VLOOKUP(AF372,AKT!$C$4:$E$324,3,FALSE)</f>
        <v>0942</v>
      </c>
    </row>
    <row r="373" spans="1:33">
      <c r="A373" s="82"/>
      <c r="B373" s="77" t="str">
        <f t="shared" si="86"/>
        <v/>
      </c>
      <c r="C373" s="82"/>
      <c r="D373" s="77" t="str">
        <f t="shared" si="87"/>
        <v/>
      </c>
      <c r="E373" s="114"/>
      <c r="F373" s="77" t="str">
        <f t="shared" si="88"/>
        <v/>
      </c>
      <c r="G373" s="77" t="str">
        <f t="shared" si="89"/>
        <v/>
      </c>
      <c r="H373" s="113"/>
      <c r="I373" s="113"/>
      <c r="J373" s="113"/>
      <c r="K373" s="124"/>
      <c r="L373" s="123"/>
      <c r="M373" s="123"/>
      <c r="N373" s="124"/>
      <c r="O373" s="300"/>
      <c r="P373" s="81"/>
      <c r="R373" s="73" t="str">
        <f t="shared" si="82"/>
        <v/>
      </c>
      <c r="S373" s="73" t="str">
        <f t="shared" si="83"/>
        <v/>
      </c>
      <c r="T373" s="73" t="str">
        <f t="shared" si="84"/>
        <v/>
      </c>
      <c r="AD373" s="73" t="s">
        <v>2302</v>
      </c>
      <c r="AE373" s="73" t="s">
        <v>2303</v>
      </c>
      <c r="AF373" s="73" t="str">
        <f t="shared" si="85"/>
        <v>A679077</v>
      </c>
      <c r="AG373" s="73" t="str">
        <f>VLOOKUP(AF373,AKT!$C$4:$E$324,3,FALSE)</f>
        <v>0942</v>
      </c>
    </row>
    <row r="374" spans="1:33">
      <c r="A374" s="82"/>
      <c r="B374" s="77" t="str">
        <f t="shared" si="86"/>
        <v/>
      </c>
      <c r="C374" s="82"/>
      <c r="D374" s="77" t="str">
        <f t="shared" si="87"/>
        <v/>
      </c>
      <c r="E374" s="114"/>
      <c r="F374" s="77" t="str">
        <f t="shared" si="88"/>
        <v/>
      </c>
      <c r="G374" s="77" t="str">
        <f t="shared" si="89"/>
        <v/>
      </c>
      <c r="H374" s="113"/>
      <c r="I374" s="113"/>
      <c r="J374" s="113"/>
      <c r="K374" s="124"/>
      <c r="L374" s="123"/>
      <c r="M374" s="123"/>
      <c r="N374" s="124"/>
      <c r="O374" s="300"/>
      <c r="P374" s="81"/>
      <c r="R374" s="73" t="str">
        <f t="shared" si="82"/>
        <v/>
      </c>
      <c r="S374" s="73" t="str">
        <f t="shared" si="83"/>
        <v/>
      </c>
      <c r="T374" s="73" t="str">
        <f t="shared" si="84"/>
        <v/>
      </c>
      <c r="AD374" s="73" t="s">
        <v>2304</v>
      </c>
      <c r="AE374" s="73" t="s">
        <v>2305</v>
      </c>
      <c r="AF374" s="73" t="str">
        <f t="shared" si="85"/>
        <v>A679077</v>
      </c>
      <c r="AG374" s="73" t="str">
        <f>VLOOKUP(AF374,AKT!$C$4:$E$324,3,FALSE)</f>
        <v>0942</v>
      </c>
    </row>
    <row r="375" spans="1:33">
      <c r="A375" s="82"/>
      <c r="B375" s="77" t="str">
        <f t="shared" si="86"/>
        <v/>
      </c>
      <c r="C375" s="82"/>
      <c r="D375" s="77" t="str">
        <f t="shared" si="87"/>
        <v/>
      </c>
      <c r="E375" s="114"/>
      <c r="F375" s="77" t="str">
        <f t="shared" si="88"/>
        <v/>
      </c>
      <c r="G375" s="77" t="str">
        <f t="shared" si="89"/>
        <v/>
      </c>
      <c r="H375" s="113"/>
      <c r="I375" s="113"/>
      <c r="J375" s="113"/>
      <c r="K375" s="124"/>
      <c r="L375" s="123"/>
      <c r="M375" s="123"/>
      <c r="N375" s="124"/>
      <c r="O375" s="300"/>
      <c r="P375" s="81"/>
      <c r="R375" s="73" t="str">
        <f t="shared" si="82"/>
        <v/>
      </c>
      <c r="S375" s="73" t="str">
        <f t="shared" si="83"/>
        <v/>
      </c>
      <c r="T375" s="73" t="str">
        <f t="shared" si="84"/>
        <v/>
      </c>
      <c r="AD375" s="73" t="s">
        <v>2306</v>
      </c>
      <c r="AE375" s="73" t="s">
        <v>2307</v>
      </c>
      <c r="AF375" s="73" t="str">
        <f t="shared" si="85"/>
        <v>A679077</v>
      </c>
      <c r="AG375" s="73" t="str">
        <f>VLOOKUP(AF375,AKT!$C$4:$E$324,3,FALSE)</f>
        <v>0942</v>
      </c>
    </row>
    <row r="376" spans="1:33">
      <c r="A376" s="82"/>
      <c r="B376" s="77" t="str">
        <f t="shared" si="86"/>
        <v/>
      </c>
      <c r="C376" s="82"/>
      <c r="D376" s="77" t="str">
        <f t="shared" si="87"/>
        <v/>
      </c>
      <c r="E376" s="114"/>
      <c r="F376" s="77" t="str">
        <f t="shared" si="88"/>
        <v/>
      </c>
      <c r="G376" s="77" t="str">
        <f t="shared" si="89"/>
        <v/>
      </c>
      <c r="H376" s="113"/>
      <c r="I376" s="113"/>
      <c r="J376" s="113"/>
      <c r="K376" s="124"/>
      <c r="L376" s="123"/>
      <c r="M376" s="123"/>
      <c r="N376" s="124"/>
      <c r="O376" s="300"/>
      <c r="P376" s="81"/>
      <c r="R376" s="73" t="str">
        <f t="shared" si="82"/>
        <v/>
      </c>
      <c r="S376" s="73" t="str">
        <f t="shared" si="83"/>
        <v/>
      </c>
      <c r="T376" s="73" t="str">
        <f t="shared" si="84"/>
        <v/>
      </c>
      <c r="AD376" s="73" t="s">
        <v>2308</v>
      </c>
      <c r="AE376" s="73" t="s">
        <v>2309</v>
      </c>
      <c r="AF376" s="73" t="str">
        <f t="shared" si="85"/>
        <v>A679077</v>
      </c>
      <c r="AG376" s="73" t="str">
        <f>VLOOKUP(AF376,AKT!$C$4:$E$324,3,FALSE)</f>
        <v>0942</v>
      </c>
    </row>
    <row r="377" spans="1:33">
      <c r="A377" s="82"/>
      <c r="B377" s="77" t="str">
        <f t="shared" si="86"/>
        <v/>
      </c>
      <c r="C377" s="82"/>
      <c r="D377" s="77" t="str">
        <f t="shared" si="87"/>
        <v/>
      </c>
      <c r="E377" s="114"/>
      <c r="F377" s="77" t="str">
        <f t="shared" si="88"/>
        <v/>
      </c>
      <c r="G377" s="77" t="str">
        <f t="shared" si="89"/>
        <v/>
      </c>
      <c r="H377" s="113"/>
      <c r="I377" s="113"/>
      <c r="J377" s="113"/>
      <c r="K377" s="124"/>
      <c r="L377" s="123"/>
      <c r="M377" s="123"/>
      <c r="N377" s="124"/>
      <c r="O377" s="300"/>
      <c r="P377" s="81"/>
      <c r="R377" s="73" t="str">
        <f t="shared" si="82"/>
        <v/>
      </c>
      <c r="S377" s="73" t="str">
        <f t="shared" si="83"/>
        <v/>
      </c>
      <c r="T377" s="73" t="str">
        <f t="shared" si="84"/>
        <v/>
      </c>
      <c r="AD377" s="73" t="s">
        <v>2310</v>
      </c>
      <c r="AE377" s="73" t="s">
        <v>2311</v>
      </c>
      <c r="AF377" s="73" t="str">
        <f t="shared" si="85"/>
        <v>A679077</v>
      </c>
      <c r="AG377" s="73" t="str">
        <f>VLOOKUP(AF377,AKT!$C$4:$E$324,3,FALSE)</f>
        <v>0942</v>
      </c>
    </row>
    <row r="378" spans="1:33">
      <c r="A378" s="82"/>
      <c r="B378" s="77" t="str">
        <f t="shared" si="86"/>
        <v/>
      </c>
      <c r="C378" s="82"/>
      <c r="D378" s="77" t="str">
        <f t="shared" si="87"/>
        <v/>
      </c>
      <c r="E378" s="114"/>
      <c r="F378" s="77" t="str">
        <f t="shared" si="88"/>
        <v/>
      </c>
      <c r="G378" s="77" t="str">
        <f t="shared" si="89"/>
        <v/>
      </c>
      <c r="H378" s="113"/>
      <c r="I378" s="113"/>
      <c r="J378" s="113"/>
      <c r="K378" s="124"/>
      <c r="L378" s="123"/>
      <c r="M378" s="123"/>
      <c r="N378" s="124"/>
      <c r="O378" s="300"/>
      <c r="P378" s="81"/>
      <c r="R378" s="73" t="str">
        <f t="shared" si="82"/>
        <v/>
      </c>
      <c r="S378" s="73" t="str">
        <f t="shared" si="83"/>
        <v/>
      </c>
      <c r="T378" s="73" t="str">
        <f t="shared" si="84"/>
        <v/>
      </c>
      <c r="AD378" s="73" t="s">
        <v>2312</v>
      </c>
      <c r="AE378" s="73" t="s">
        <v>2313</v>
      </c>
      <c r="AF378" s="73" t="str">
        <f t="shared" si="85"/>
        <v>A679077</v>
      </c>
      <c r="AG378" s="73" t="str">
        <f>VLOOKUP(AF378,AKT!$C$4:$E$324,3,FALSE)</f>
        <v>0942</v>
      </c>
    </row>
    <row r="379" spans="1:33">
      <c r="A379" s="82"/>
      <c r="B379" s="77" t="str">
        <f t="shared" si="86"/>
        <v/>
      </c>
      <c r="C379" s="82"/>
      <c r="D379" s="77" t="str">
        <f t="shared" si="87"/>
        <v/>
      </c>
      <c r="E379" s="114"/>
      <c r="F379" s="77" t="str">
        <f t="shared" si="88"/>
        <v/>
      </c>
      <c r="G379" s="77" t="str">
        <f t="shared" si="89"/>
        <v/>
      </c>
      <c r="H379" s="113"/>
      <c r="I379" s="113"/>
      <c r="J379" s="113"/>
      <c r="K379" s="124"/>
      <c r="L379" s="123"/>
      <c r="M379" s="123"/>
      <c r="N379" s="124"/>
      <c r="O379" s="300"/>
      <c r="P379" s="81"/>
      <c r="R379" s="73" t="str">
        <f t="shared" ref="R379:R442" si="90">LEFT(C379,3)</f>
        <v/>
      </c>
      <c r="S379" s="73" t="str">
        <f t="shared" ref="S379:S442" si="91">LEFT(C379,2)</f>
        <v/>
      </c>
      <c r="T379" s="73" t="str">
        <f t="shared" ref="T379:T442" si="92">MID(G379,2,2)</f>
        <v/>
      </c>
      <c r="AD379" s="73" t="s">
        <v>2314</v>
      </c>
      <c r="AE379" s="73" t="s">
        <v>2315</v>
      </c>
      <c r="AF379" s="73" t="str">
        <f t="shared" si="85"/>
        <v>A679077</v>
      </c>
      <c r="AG379" s="73" t="str">
        <f>VLOOKUP(AF379,AKT!$C$4:$E$324,3,FALSE)</f>
        <v>0942</v>
      </c>
    </row>
    <row r="380" spans="1:33">
      <c r="A380" s="82"/>
      <c r="B380" s="77" t="str">
        <f t="shared" si="86"/>
        <v/>
      </c>
      <c r="C380" s="82"/>
      <c r="D380" s="77" t="str">
        <f t="shared" si="87"/>
        <v/>
      </c>
      <c r="E380" s="114"/>
      <c r="F380" s="77" t="str">
        <f t="shared" si="88"/>
        <v/>
      </c>
      <c r="G380" s="77" t="str">
        <f t="shared" si="89"/>
        <v/>
      </c>
      <c r="H380" s="113"/>
      <c r="I380" s="113"/>
      <c r="J380" s="113"/>
      <c r="K380" s="124"/>
      <c r="L380" s="123"/>
      <c r="M380" s="123"/>
      <c r="N380" s="124"/>
      <c r="O380" s="300"/>
      <c r="P380" s="81"/>
      <c r="R380" s="73" t="str">
        <f t="shared" si="90"/>
        <v/>
      </c>
      <c r="S380" s="73" t="str">
        <f t="shared" si="91"/>
        <v/>
      </c>
      <c r="T380" s="73" t="str">
        <f t="shared" si="92"/>
        <v/>
      </c>
      <c r="AD380" s="73" t="s">
        <v>2316</v>
      </c>
      <c r="AE380" s="73" t="s">
        <v>2317</v>
      </c>
      <c r="AF380" s="73" t="str">
        <f t="shared" si="85"/>
        <v>A679077</v>
      </c>
      <c r="AG380" s="73" t="str">
        <f>VLOOKUP(AF380,AKT!$C$4:$E$324,3,FALSE)</f>
        <v>0942</v>
      </c>
    </row>
    <row r="381" spans="1:33">
      <c r="A381" s="82"/>
      <c r="B381" s="77" t="str">
        <f t="shared" si="86"/>
        <v/>
      </c>
      <c r="C381" s="82"/>
      <c r="D381" s="77" t="str">
        <f t="shared" si="87"/>
        <v/>
      </c>
      <c r="E381" s="114"/>
      <c r="F381" s="77" t="str">
        <f t="shared" si="88"/>
        <v/>
      </c>
      <c r="G381" s="77" t="str">
        <f t="shared" si="89"/>
        <v/>
      </c>
      <c r="H381" s="113"/>
      <c r="I381" s="113"/>
      <c r="J381" s="113"/>
      <c r="K381" s="124"/>
      <c r="L381" s="123"/>
      <c r="M381" s="123"/>
      <c r="N381" s="124"/>
      <c r="O381" s="300"/>
      <c r="P381" s="81"/>
      <c r="R381" s="73" t="str">
        <f t="shared" si="90"/>
        <v/>
      </c>
      <c r="S381" s="73" t="str">
        <f t="shared" si="91"/>
        <v/>
      </c>
      <c r="T381" s="73" t="str">
        <f t="shared" si="92"/>
        <v/>
      </c>
      <c r="AD381" s="73" t="s">
        <v>2318</v>
      </c>
      <c r="AE381" s="73" t="s">
        <v>2319</v>
      </c>
      <c r="AF381" s="73" t="str">
        <f t="shared" si="85"/>
        <v>A679077</v>
      </c>
      <c r="AG381" s="73" t="str">
        <f>VLOOKUP(AF381,AKT!$C$4:$E$324,3,FALSE)</f>
        <v>0942</v>
      </c>
    </row>
    <row r="382" spans="1:33">
      <c r="A382" s="82"/>
      <c r="B382" s="77" t="str">
        <f t="shared" si="86"/>
        <v/>
      </c>
      <c r="C382" s="82"/>
      <c r="D382" s="77" t="str">
        <f t="shared" si="87"/>
        <v/>
      </c>
      <c r="E382" s="114"/>
      <c r="F382" s="77" t="str">
        <f t="shared" si="88"/>
        <v/>
      </c>
      <c r="G382" s="77" t="str">
        <f t="shared" si="89"/>
        <v/>
      </c>
      <c r="H382" s="113"/>
      <c r="I382" s="113"/>
      <c r="J382" s="113"/>
      <c r="K382" s="124"/>
      <c r="L382" s="123"/>
      <c r="M382" s="123"/>
      <c r="N382" s="124"/>
      <c r="O382" s="300"/>
      <c r="P382" s="81"/>
      <c r="R382" s="73" t="str">
        <f t="shared" si="90"/>
        <v/>
      </c>
      <c r="S382" s="73" t="str">
        <f t="shared" si="91"/>
        <v/>
      </c>
      <c r="T382" s="73" t="str">
        <f t="shared" si="92"/>
        <v/>
      </c>
      <c r="AD382" s="73" t="s">
        <v>3133</v>
      </c>
      <c r="AE382" s="73" t="s">
        <v>3134</v>
      </c>
      <c r="AF382" s="73" t="str">
        <f t="shared" si="85"/>
        <v>A679077</v>
      </c>
      <c r="AG382" s="73" t="str">
        <f>VLOOKUP(AF382,AKT!$C$4:$E$324,3,FALSE)</f>
        <v>0942</v>
      </c>
    </row>
    <row r="383" spans="1:33">
      <c r="A383" s="82"/>
      <c r="B383" s="77" t="str">
        <f t="shared" si="86"/>
        <v/>
      </c>
      <c r="C383" s="82"/>
      <c r="D383" s="77" t="str">
        <f t="shared" si="87"/>
        <v/>
      </c>
      <c r="E383" s="114"/>
      <c r="F383" s="77" t="str">
        <f t="shared" si="88"/>
        <v/>
      </c>
      <c r="G383" s="77" t="str">
        <f t="shared" si="89"/>
        <v/>
      </c>
      <c r="H383" s="113"/>
      <c r="I383" s="113"/>
      <c r="J383" s="113"/>
      <c r="K383" s="124"/>
      <c r="L383" s="123"/>
      <c r="M383" s="123"/>
      <c r="N383" s="124"/>
      <c r="O383" s="300"/>
      <c r="P383" s="81"/>
      <c r="R383" s="73" t="str">
        <f t="shared" si="90"/>
        <v/>
      </c>
      <c r="S383" s="73" t="str">
        <f t="shared" si="91"/>
        <v/>
      </c>
      <c r="T383" s="73" t="str">
        <f t="shared" si="92"/>
        <v/>
      </c>
      <c r="AD383" s="73" t="s">
        <v>3135</v>
      </c>
      <c r="AE383" s="73" t="s">
        <v>3136</v>
      </c>
      <c r="AF383" s="73" t="str">
        <f t="shared" ref="AF383:AF446" si="93">LEFT(AD383,7)</f>
        <v>A679077</v>
      </c>
      <c r="AG383" s="73" t="str">
        <f>VLOOKUP(AF383,AKT!$C$4:$E$324,3,FALSE)</f>
        <v>0942</v>
      </c>
    </row>
    <row r="384" spans="1:33">
      <c r="A384" s="82"/>
      <c r="B384" s="77" t="str">
        <f t="shared" si="86"/>
        <v/>
      </c>
      <c r="C384" s="82"/>
      <c r="D384" s="77" t="str">
        <f t="shared" si="87"/>
        <v/>
      </c>
      <c r="E384" s="114"/>
      <c r="F384" s="77" t="str">
        <f t="shared" si="88"/>
        <v/>
      </c>
      <c r="G384" s="77" t="str">
        <f t="shared" si="89"/>
        <v/>
      </c>
      <c r="H384" s="113"/>
      <c r="I384" s="113"/>
      <c r="J384" s="113"/>
      <c r="K384" s="124"/>
      <c r="L384" s="123"/>
      <c r="M384" s="123"/>
      <c r="N384" s="124"/>
      <c r="O384" s="300"/>
      <c r="P384" s="81"/>
      <c r="R384" s="73" t="str">
        <f t="shared" si="90"/>
        <v/>
      </c>
      <c r="S384" s="73" t="str">
        <f t="shared" si="91"/>
        <v/>
      </c>
      <c r="T384" s="73" t="str">
        <f t="shared" si="92"/>
        <v/>
      </c>
      <c r="AD384" s="73" t="s">
        <v>3137</v>
      </c>
      <c r="AE384" s="73" t="s">
        <v>3138</v>
      </c>
      <c r="AF384" s="73" t="str">
        <f t="shared" si="93"/>
        <v>A679077</v>
      </c>
      <c r="AG384" s="73" t="str">
        <f>VLOOKUP(AF384,AKT!$C$4:$E$324,3,FALSE)</f>
        <v>0942</v>
      </c>
    </row>
    <row r="385" spans="1:33">
      <c r="A385" s="82"/>
      <c r="B385" s="77" t="str">
        <f t="shared" si="86"/>
        <v/>
      </c>
      <c r="C385" s="82"/>
      <c r="D385" s="77" t="str">
        <f t="shared" si="87"/>
        <v/>
      </c>
      <c r="E385" s="114"/>
      <c r="F385" s="77" t="str">
        <f t="shared" si="88"/>
        <v/>
      </c>
      <c r="G385" s="77" t="str">
        <f t="shared" si="89"/>
        <v/>
      </c>
      <c r="H385" s="113"/>
      <c r="I385" s="113"/>
      <c r="J385" s="113"/>
      <c r="K385" s="124"/>
      <c r="L385" s="123"/>
      <c r="M385" s="123"/>
      <c r="N385" s="124"/>
      <c r="O385" s="300"/>
      <c r="P385" s="81"/>
      <c r="R385" s="73" t="str">
        <f t="shared" si="90"/>
        <v/>
      </c>
      <c r="S385" s="73" t="str">
        <f t="shared" si="91"/>
        <v/>
      </c>
      <c r="T385" s="73" t="str">
        <f t="shared" si="92"/>
        <v/>
      </c>
      <c r="AD385" s="73" t="s">
        <v>3139</v>
      </c>
      <c r="AE385" s="73" t="s">
        <v>3140</v>
      </c>
      <c r="AF385" s="73" t="str">
        <f t="shared" si="93"/>
        <v>A679077</v>
      </c>
      <c r="AG385" s="73" t="str">
        <f>VLOOKUP(AF385,AKT!$C$4:$E$324,3,FALSE)</f>
        <v>0942</v>
      </c>
    </row>
    <row r="386" spans="1:33">
      <c r="A386" s="82"/>
      <c r="B386" s="77" t="str">
        <f t="shared" si="86"/>
        <v/>
      </c>
      <c r="C386" s="82"/>
      <c r="D386" s="77" t="str">
        <f t="shared" si="87"/>
        <v/>
      </c>
      <c r="E386" s="114"/>
      <c r="F386" s="77" t="str">
        <f t="shared" si="88"/>
        <v/>
      </c>
      <c r="G386" s="77" t="str">
        <f t="shared" si="89"/>
        <v/>
      </c>
      <c r="H386" s="113"/>
      <c r="I386" s="113"/>
      <c r="J386" s="113"/>
      <c r="K386" s="124"/>
      <c r="L386" s="123"/>
      <c r="M386" s="123"/>
      <c r="N386" s="124"/>
      <c r="O386" s="300"/>
      <c r="P386" s="81"/>
      <c r="R386" s="73" t="str">
        <f t="shared" si="90"/>
        <v/>
      </c>
      <c r="S386" s="73" t="str">
        <f t="shared" si="91"/>
        <v/>
      </c>
      <c r="T386" s="73" t="str">
        <f t="shared" si="92"/>
        <v/>
      </c>
      <c r="AD386" s="73" t="s">
        <v>3141</v>
      </c>
      <c r="AE386" s="73" t="s">
        <v>3142</v>
      </c>
      <c r="AF386" s="73" t="str">
        <f t="shared" si="93"/>
        <v>A679077</v>
      </c>
      <c r="AG386" s="73" t="str">
        <f>VLOOKUP(AF386,AKT!$C$4:$E$324,3,FALSE)</f>
        <v>0942</v>
      </c>
    </row>
    <row r="387" spans="1:33">
      <c r="A387" s="82"/>
      <c r="B387" s="77" t="str">
        <f t="shared" si="86"/>
        <v/>
      </c>
      <c r="C387" s="82"/>
      <c r="D387" s="77" t="str">
        <f t="shared" si="87"/>
        <v/>
      </c>
      <c r="E387" s="114"/>
      <c r="F387" s="77" t="str">
        <f t="shared" si="88"/>
        <v/>
      </c>
      <c r="G387" s="77" t="str">
        <f t="shared" si="89"/>
        <v/>
      </c>
      <c r="H387" s="113"/>
      <c r="I387" s="113"/>
      <c r="J387" s="113"/>
      <c r="K387" s="124"/>
      <c r="L387" s="123"/>
      <c r="M387" s="123"/>
      <c r="N387" s="124"/>
      <c r="O387" s="300"/>
      <c r="P387" s="81"/>
      <c r="R387" s="73" t="str">
        <f t="shared" si="90"/>
        <v/>
      </c>
      <c r="S387" s="73" t="str">
        <f t="shared" si="91"/>
        <v/>
      </c>
      <c r="T387" s="73" t="str">
        <f t="shared" si="92"/>
        <v/>
      </c>
      <c r="AD387" s="73" t="s">
        <v>3143</v>
      </c>
      <c r="AE387" s="73" t="s">
        <v>3144</v>
      </c>
      <c r="AF387" s="73" t="str">
        <f t="shared" si="93"/>
        <v>A679077</v>
      </c>
      <c r="AG387" s="73" t="str">
        <f>VLOOKUP(AF387,AKT!$C$4:$E$324,3,FALSE)</f>
        <v>0942</v>
      </c>
    </row>
    <row r="388" spans="1:33">
      <c r="A388" s="82"/>
      <c r="B388" s="77" t="str">
        <f t="shared" si="86"/>
        <v/>
      </c>
      <c r="C388" s="82"/>
      <c r="D388" s="77" t="str">
        <f t="shared" si="87"/>
        <v/>
      </c>
      <c r="E388" s="114"/>
      <c r="F388" s="77" t="str">
        <f t="shared" si="88"/>
        <v/>
      </c>
      <c r="G388" s="77" t="str">
        <f t="shared" si="89"/>
        <v/>
      </c>
      <c r="H388" s="113"/>
      <c r="I388" s="113"/>
      <c r="J388" s="113"/>
      <c r="K388" s="124"/>
      <c r="L388" s="123"/>
      <c r="M388" s="123"/>
      <c r="N388" s="124"/>
      <c r="O388" s="300"/>
      <c r="P388" s="81"/>
      <c r="R388" s="73" t="str">
        <f t="shared" si="90"/>
        <v/>
      </c>
      <c r="S388" s="73" t="str">
        <f t="shared" si="91"/>
        <v/>
      </c>
      <c r="T388" s="73" t="str">
        <f t="shared" si="92"/>
        <v/>
      </c>
      <c r="AD388" s="73" t="s">
        <v>3145</v>
      </c>
      <c r="AE388" s="73" t="s">
        <v>3146</v>
      </c>
      <c r="AF388" s="73" t="str">
        <f t="shared" si="93"/>
        <v>A679077</v>
      </c>
      <c r="AG388" s="73" t="str">
        <f>VLOOKUP(AF388,AKT!$C$4:$E$324,3,FALSE)</f>
        <v>0942</v>
      </c>
    </row>
    <row r="389" spans="1:33">
      <c r="A389" s="82"/>
      <c r="B389" s="77" t="str">
        <f t="shared" si="86"/>
        <v/>
      </c>
      <c r="C389" s="82"/>
      <c r="D389" s="77" t="str">
        <f t="shared" si="87"/>
        <v/>
      </c>
      <c r="E389" s="114"/>
      <c r="F389" s="77" t="str">
        <f t="shared" si="88"/>
        <v/>
      </c>
      <c r="G389" s="77" t="str">
        <f t="shared" si="89"/>
        <v/>
      </c>
      <c r="H389" s="113"/>
      <c r="I389" s="113"/>
      <c r="J389" s="113"/>
      <c r="K389" s="124"/>
      <c r="L389" s="123"/>
      <c r="M389" s="123"/>
      <c r="N389" s="124"/>
      <c r="O389" s="300"/>
      <c r="P389" s="81"/>
      <c r="R389" s="73" t="str">
        <f t="shared" si="90"/>
        <v/>
      </c>
      <c r="S389" s="73" t="str">
        <f t="shared" si="91"/>
        <v/>
      </c>
      <c r="T389" s="73" t="str">
        <f t="shared" si="92"/>
        <v/>
      </c>
      <c r="AD389" s="73" t="s">
        <v>3147</v>
      </c>
      <c r="AE389" s="73" t="s">
        <v>3148</v>
      </c>
      <c r="AF389" s="73" t="str">
        <f t="shared" si="93"/>
        <v>A679077</v>
      </c>
      <c r="AG389" s="73" t="str">
        <f>VLOOKUP(AF389,AKT!$C$4:$E$324,3,FALSE)</f>
        <v>0942</v>
      </c>
    </row>
    <row r="390" spans="1:33">
      <c r="A390" s="82"/>
      <c r="B390" s="77" t="str">
        <f t="shared" si="86"/>
        <v/>
      </c>
      <c r="C390" s="82"/>
      <c r="D390" s="77" t="str">
        <f t="shared" si="87"/>
        <v/>
      </c>
      <c r="E390" s="114"/>
      <c r="F390" s="77" t="str">
        <f t="shared" si="88"/>
        <v/>
      </c>
      <c r="G390" s="77" t="str">
        <f t="shared" si="89"/>
        <v/>
      </c>
      <c r="H390" s="113"/>
      <c r="I390" s="113"/>
      <c r="J390" s="113"/>
      <c r="K390" s="124"/>
      <c r="L390" s="123"/>
      <c r="M390" s="123"/>
      <c r="N390" s="124"/>
      <c r="O390" s="300"/>
      <c r="P390" s="81"/>
      <c r="R390" s="73" t="str">
        <f t="shared" si="90"/>
        <v/>
      </c>
      <c r="S390" s="73" t="str">
        <f t="shared" si="91"/>
        <v/>
      </c>
      <c r="T390" s="73" t="str">
        <f t="shared" si="92"/>
        <v/>
      </c>
      <c r="AD390" s="73" t="s">
        <v>3149</v>
      </c>
      <c r="AE390" s="73" t="s">
        <v>3150</v>
      </c>
      <c r="AF390" s="73" t="str">
        <f t="shared" si="93"/>
        <v>A679077</v>
      </c>
      <c r="AG390" s="73" t="str">
        <f>VLOOKUP(AF390,AKT!$C$4:$E$324,3,FALSE)</f>
        <v>0942</v>
      </c>
    </row>
    <row r="391" spans="1:33">
      <c r="A391" s="82"/>
      <c r="B391" s="77" t="str">
        <f t="shared" si="86"/>
        <v/>
      </c>
      <c r="C391" s="82"/>
      <c r="D391" s="77" t="str">
        <f t="shared" si="87"/>
        <v/>
      </c>
      <c r="E391" s="114"/>
      <c r="F391" s="77" t="str">
        <f t="shared" si="88"/>
        <v/>
      </c>
      <c r="G391" s="77" t="str">
        <f t="shared" si="89"/>
        <v/>
      </c>
      <c r="H391" s="113"/>
      <c r="I391" s="113"/>
      <c r="J391" s="113"/>
      <c r="K391" s="124"/>
      <c r="L391" s="123"/>
      <c r="M391" s="123"/>
      <c r="N391" s="124"/>
      <c r="O391" s="300"/>
      <c r="P391" s="81"/>
      <c r="R391" s="73" t="str">
        <f t="shared" si="90"/>
        <v/>
      </c>
      <c r="S391" s="73" t="str">
        <f t="shared" si="91"/>
        <v/>
      </c>
      <c r="T391" s="73" t="str">
        <f t="shared" si="92"/>
        <v/>
      </c>
      <c r="AD391" s="73" t="s">
        <v>3151</v>
      </c>
      <c r="AE391" s="73" t="s">
        <v>3152</v>
      </c>
      <c r="AF391" s="73" t="str">
        <f t="shared" si="93"/>
        <v>A679077</v>
      </c>
      <c r="AG391" s="73" t="str">
        <f>VLOOKUP(AF391,AKT!$C$4:$E$324,3,FALSE)</f>
        <v>0942</v>
      </c>
    </row>
    <row r="392" spans="1:33">
      <c r="A392" s="82"/>
      <c r="B392" s="77" t="str">
        <f t="shared" si="86"/>
        <v/>
      </c>
      <c r="C392" s="82"/>
      <c r="D392" s="77" t="str">
        <f t="shared" si="87"/>
        <v/>
      </c>
      <c r="E392" s="114"/>
      <c r="F392" s="77" t="str">
        <f t="shared" si="88"/>
        <v/>
      </c>
      <c r="G392" s="77" t="str">
        <f t="shared" si="89"/>
        <v/>
      </c>
      <c r="H392" s="113"/>
      <c r="I392" s="113"/>
      <c r="J392" s="113"/>
      <c r="K392" s="124"/>
      <c r="L392" s="123"/>
      <c r="M392" s="123"/>
      <c r="N392" s="124"/>
      <c r="O392" s="300"/>
      <c r="P392" s="81"/>
      <c r="R392" s="73" t="str">
        <f t="shared" si="90"/>
        <v/>
      </c>
      <c r="S392" s="73" t="str">
        <f t="shared" si="91"/>
        <v/>
      </c>
      <c r="T392" s="73" t="str">
        <f t="shared" si="92"/>
        <v/>
      </c>
      <c r="AD392" s="73" t="s">
        <v>3153</v>
      </c>
      <c r="AE392" s="73" t="s">
        <v>3154</v>
      </c>
      <c r="AF392" s="73" t="str">
        <f t="shared" si="93"/>
        <v>A679077</v>
      </c>
      <c r="AG392" s="73" t="str">
        <f>VLOOKUP(AF392,AKT!$C$4:$E$324,3,FALSE)</f>
        <v>0942</v>
      </c>
    </row>
    <row r="393" spans="1:33">
      <c r="A393" s="82"/>
      <c r="B393" s="77" t="str">
        <f t="shared" si="86"/>
        <v/>
      </c>
      <c r="C393" s="82"/>
      <c r="D393" s="77" t="str">
        <f t="shared" si="87"/>
        <v/>
      </c>
      <c r="E393" s="114"/>
      <c r="F393" s="77" t="str">
        <f t="shared" si="88"/>
        <v/>
      </c>
      <c r="G393" s="77" t="str">
        <f t="shared" si="89"/>
        <v/>
      </c>
      <c r="H393" s="113"/>
      <c r="I393" s="113"/>
      <c r="J393" s="113"/>
      <c r="K393" s="124"/>
      <c r="L393" s="123"/>
      <c r="M393" s="123"/>
      <c r="N393" s="124"/>
      <c r="O393" s="300"/>
      <c r="P393" s="81"/>
      <c r="R393" s="73" t="str">
        <f t="shared" si="90"/>
        <v/>
      </c>
      <c r="S393" s="73" t="str">
        <f t="shared" si="91"/>
        <v/>
      </c>
      <c r="T393" s="73" t="str">
        <f t="shared" si="92"/>
        <v/>
      </c>
      <c r="AD393" s="73" t="s">
        <v>3155</v>
      </c>
      <c r="AE393" s="73" t="s">
        <v>3156</v>
      </c>
      <c r="AF393" s="73" t="str">
        <f t="shared" si="93"/>
        <v>A679077</v>
      </c>
      <c r="AG393" s="73" t="str">
        <f>VLOOKUP(AF393,AKT!$C$4:$E$324,3,FALSE)</f>
        <v>0942</v>
      </c>
    </row>
    <row r="394" spans="1:33">
      <c r="A394" s="82"/>
      <c r="B394" s="77" t="str">
        <f t="shared" si="86"/>
        <v/>
      </c>
      <c r="C394" s="82"/>
      <c r="D394" s="77" t="str">
        <f t="shared" si="87"/>
        <v/>
      </c>
      <c r="E394" s="114"/>
      <c r="F394" s="77" t="str">
        <f t="shared" si="88"/>
        <v/>
      </c>
      <c r="G394" s="77" t="str">
        <f t="shared" si="89"/>
        <v/>
      </c>
      <c r="H394" s="113"/>
      <c r="I394" s="113"/>
      <c r="J394" s="113"/>
      <c r="K394" s="124"/>
      <c r="L394" s="123"/>
      <c r="M394" s="123"/>
      <c r="N394" s="124"/>
      <c r="O394" s="300"/>
      <c r="P394" s="81"/>
      <c r="R394" s="73" t="str">
        <f t="shared" si="90"/>
        <v/>
      </c>
      <c r="S394" s="73" t="str">
        <f t="shared" si="91"/>
        <v/>
      </c>
      <c r="T394" s="73" t="str">
        <f t="shared" si="92"/>
        <v/>
      </c>
      <c r="AD394" s="73" t="s">
        <v>3157</v>
      </c>
      <c r="AE394" s="73" t="s">
        <v>3158</v>
      </c>
      <c r="AF394" s="73" t="str">
        <f t="shared" si="93"/>
        <v>A679077</v>
      </c>
      <c r="AG394" s="73" t="str">
        <f>VLOOKUP(AF394,AKT!$C$4:$E$324,3,FALSE)</f>
        <v>0942</v>
      </c>
    </row>
    <row r="395" spans="1:33">
      <c r="A395" s="82"/>
      <c r="B395" s="77" t="str">
        <f t="shared" si="86"/>
        <v/>
      </c>
      <c r="C395" s="82"/>
      <c r="D395" s="77" t="str">
        <f t="shared" si="87"/>
        <v/>
      </c>
      <c r="E395" s="114"/>
      <c r="F395" s="77" t="str">
        <f t="shared" si="88"/>
        <v/>
      </c>
      <c r="G395" s="77" t="str">
        <f t="shared" si="89"/>
        <v/>
      </c>
      <c r="H395" s="113"/>
      <c r="I395" s="113"/>
      <c r="J395" s="113"/>
      <c r="K395" s="124"/>
      <c r="L395" s="123"/>
      <c r="M395" s="123"/>
      <c r="N395" s="124"/>
      <c r="O395" s="300"/>
      <c r="P395" s="81"/>
      <c r="R395" s="73" t="str">
        <f t="shared" si="90"/>
        <v/>
      </c>
      <c r="S395" s="73" t="str">
        <f t="shared" si="91"/>
        <v/>
      </c>
      <c r="T395" s="73" t="str">
        <f t="shared" si="92"/>
        <v/>
      </c>
      <c r="AD395" s="73" t="s">
        <v>3159</v>
      </c>
      <c r="AE395" s="73" t="s">
        <v>3160</v>
      </c>
      <c r="AF395" s="73" t="str">
        <f t="shared" si="93"/>
        <v>A679077</v>
      </c>
      <c r="AG395" s="73" t="str">
        <f>VLOOKUP(AF395,AKT!$C$4:$E$324,3,FALSE)</f>
        <v>0942</v>
      </c>
    </row>
    <row r="396" spans="1:33">
      <c r="A396" s="82"/>
      <c r="B396" s="77" t="str">
        <f t="shared" si="86"/>
        <v/>
      </c>
      <c r="C396" s="82"/>
      <c r="D396" s="77" t="str">
        <f t="shared" si="87"/>
        <v/>
      </c>
      <c r="E396" s="114"/>
      <c r="F396" s="77" t="str">
        <f t="shared" si="88"/>
        <v/>
      </c>
      <c r="G396" s="77" t="str">
        <f t="shared" si="89"/>
        <v/>
      </c>
      <c r="H396" s="113"/>
      <c r="I396" s="113"/>
      <c r="J396" s="113"/>
      <c r="K396" s="124"/>
      <c r="L396" s="123"/>
      <c r="M396" s="123"/>
      <c r="N396" s="124"/>
      <c r="O396" s="300"/>
      <c r="P396" s="81"/>
      <c r="R396" s="73" t="str">
        <f t="shared" si="90"/>
        <v/>
      </c>
      <c r="S396" s="73" t="str">
        <f t="shared" si="91"/>
        <v/>
      </c>
      <c r="T396" s="73" t="str">
        <f t="shared" si="92"/>
        <v/>
      </c>
      <c r="AD396" s="73" t="s">
        <v>3161</v>
      </c>
      <c r="AE396" s="73" t="s">
        <v>3162</v>
      </c>
      <c r="AF396" s="73" t="str">
        <f t="shared" si="93"/>
        <v>A679077</v>
      </c>
      <c r="AG396" s="73" t="str">
        <f>VLOOKUP(AF396,AKT!$C$4:$E$324,3,FALSE)</f>
        <v>0942</v>
      </c>
    </row>
    <row r="397" spans="1:33">
      <c r="A397" s="82"/>
      <c r="B397" s="77" t="str">
        <f t="shared" si="86"/>
        <v/>
      </c>
      <c r="C397" s="82"/>
      <c r="D397" s="77" t="str">
        <f t="shared" si="87"/>
        <v/>
      </c>
      <c r="E397" s="114"/>
      <c r="F397" s="77" t="str">
        <f t="shared" si="88"/>
        <v/>
      </c>
      <c r="G397" s="77" t="str">
        <f t="shared" si="89"/>
        <v/>
      </c>
      <c r="H397" s="113"/>
      <c r="I397" s="113"/>
      <c r="J397" s="113"/>
      <c r="K397" s="124"/>
      <c r="L397" s="123"/>
      <c r="M397" s="123"/>
      <c r="N397" s="124"/>
      <c r="O397" s="300"/>
      <c r="P397" s="81"/>
      <c r="R397" s="73" t="str">
        <f t="shared" si="90"/>
        <v/>
      </c>
      <c r="S397" s="73" t="str">
        <f t="shared" si="91"/>
        <v/>
      </c>
      <c r="T397" s="73" t="str">
        <f t="shared" si="92"/>
        <v/>
      </c>
      <c r="AD397" s="73" t="s">
        <v>3163</v>
      </c>
      <c r="AE397" s="73" t="s">
        <v>3164</v>
      </c>
      <c r="AF397" s="73" t="str">
        <f t="shared" si="93"/>
        <v>A679077</v>
      </c>
      <c r="AG397" s="73" t="str">
        <f>VLOOKUP(AF397,AKT!$C$4:$E$324,3,FALSE)</f>
        <v>0942</v>
      </c>
    </row>
    <row r="398" spans="1:33">
      <c r="A398" s="82"/>
      <c r="B398" s="77" t="str">
        <f t="shared" si="86"/>
        <v/>
      </c>
      <c r="C398" s="82"/>
      <c r="D398" s="77" t="str">
        <f t="shared" si="87"/>
        <v/>
      </c>
      <c r="E398" s="114"/>
      <c r="F398" s="77" t="str">
        <f t="shared" si="88"/>
        <v/>
      </c>
      <c r="G398" s="77" t="str">
        <f t="shared" si="89"/>
        <v/>
      </c>
      <c r="H398" s="113"/>
      <c r="I398" s="113"/>
      <c r="J398" s="113"/>
      <c r="K398" s="124"/>
      <c r="L398" s="123"/>
      <c r="M398" s="123"/>
      <c r="N398" s="124"/>
      <c r="O398" s="300"/>
      <c r="P398" s="81"/>
      <c r="R398" s="73" t="str">
        <f t="shared" si="90"/>
        <v/>
      </c>
      <c r="S398" s="73" t="str">
        <f t="shared" si="91"/>
        <v/>
      </c>
      <c r="T398" s="73" t="str">
        <f t="shared" si="92"/>
        <v/>
      </c>
      <c r="AD398" s="73" t="s">
        <v>3165</v>
      </c>
      <c r="AE398" s="73" t="s">
        <v>3166</v>
      </c>
      <c r="AF398" s="73" t="str">
        <f t="shared" si="93"/>
        <v>A679077</v>
      </c>
      <c r="AG398" s="73" t="str">
        <f>VLOOKUP(AF398,AKT!$C$4:$E$324,3,FALSE)</f>
        <v>0942</v>
      </c>
    </row>
    <row r="399" spans="1:33">
      <c r="A399" s="82"/>
      <c r="B399" s="77" t="str">
        <f t="shared" si="86"/>
        <v/>
      </c>
      <c r="C399" s="82"/>
      <c r="D399" s="77" t="str">
        <f t="shared" si="87"/>
        <v/>
      </c>
      <c r="E399" s="114"/>
      <c r="F399" s="77" t="str">
        <f t="shared" si="88"/>
        <v/>
      </c>
      <c r="G399" s="77" t="str">
        <f t="shared" si="89"/>
        <v/>
      </c>
      <c r="H399" s="113"/>
      <c r="I399" s="113"/>
      <c r="J399" s="113"/>
      <c r="K399" s="124"/>
      <c r="L399" s="123"/>
      <c r="M399" s="123"/>
      <c r="N399" s="124"/>
      <c r="O399" s="300"/>
      <c r="P399" s="81"/>
      <c r="R399" s="73" t="str">
        <f t="shared" si="90"/>
        <v/>
      </c>
      <c r="S399" s="73" t="str">
        <f t="shared" si="91"/>
        <v/>
      </c>
      <c r="T399" s="73" t="str">
        <f t="shared" si="92"/>
        <v/>
      </c>
      <c r="AD399" s="73" t="s">
        <v>3167</v>
      </c>
      <c r="AE399" s="73" t="s">
        <v>3168</v>
      </c>
      <c r="AF399" s="73" t="str">
        <f t="shared" si="93"/>
        <v>A679077</v>
      </c>
      <c r="AG399" s="73" t="str">
        <f>VLOOKUP(AF399,AKT!$C$4:$E$324,3,FALSE)</f>
        <v>0942</v>
      </c>
    </row>
    <row r="400" spans="1:33">
      <c r="A400" s="82"/>
      <c r="B400" s="77" t="str">
        <f t="shared" si="86"/>
        <v/>
      </c>
      <c r="C400" s="82"/>
      <c r="D400" s="77" t="str">
        <f t="shared" si="87"/>
        <v/>
      </c>
      <c r="E400" s="114"/>
      <c r="F400" s="77" t="str">
        <f t="shared" si="88"/>
        <v/>
      </c>
      <c r="G400" s="77" t="str">
        <f t="shared" si="89"/>
        <v/>
      </c>
      <c r="H400" s="113"/>
      <c r="I400" s="113"/>
      <c r="J400" s="113"/>
      <c r="K400" s="124"/>
      <c r="L400" s="123"/>
      <c r="M400" s="123"/>
      <c r="N400" s="124"/>
      <c r="O400" s="300"/>
      <c r="P400" s="81"/>
      <c r="R400" s="73" t="str">
        <f t="shared" si="90"/>
        <v/>
      </c>
      <c r="S400" s="73" t="str">
        <f t="shared" si="91"/>
        <v/>
      </c>
      <c r="T400" s="73" t="str">
        <f t="shared" si="92"/>
        <v/>
      </c>
      <c r="AD400" s="73" t="s">
        <v>3169</v>
      </c>
      <c r="AE400" s="73" t="s">
        <v>3170</v>
      </c>
      <c r="AF400" s="73" t="str">
        <f t="shared" si="93"/>
        <v>A679077</v>
      </c>
      <c r="AG400" s="73" t="str">
        <f>VLOOKUP(AF400,AKT!$C$4:$E$324,3,FALSE)</f>
        <v>0942</v>
      </c>
    </row>
    <row r="401" spans="1:33">
      <c r="A401" s="82"/>
      <c r="B401" s="77" t="str">
        <f t="shared" si="86"/>
        <v/>
      </c>
      <c r="C401" s="82"/>
      <c r="D401" s="77" t="str">
        <f t="shared" si="87"/>
        <v/>
      </c>
      <c r="E401" s="114"/>
      <c r="F401" s="77" t="str">
        <f t="shared" si="88"/>
        <v/>
      </c>
      <c r="G401" s="77" t="str">
        <f t="shared" si="89"/>
        <v/>
      </c>
      <c r="H401" s="113"/>
      <c r="I401" s="113"/>
      <c r="J401" s="113"/>
      <c r="K401" s="124"/>
      <c r="L401" s="123"/>
      <c r="M401" s="123"/>
      <c r="N401" s="124"/>
      <c r="O401" s="300"/>
      <c r="P401" s="81"/>
      <c r="R401" s="73" t="str">
        <f t="shared" si="90"/>
        <v/>
      </c>
      <c r="S401" s="73" t="str">
        <f t="shared" si="91"/>
        <v/>
      </c>
      <c r="T401" s="73" t="str">
        <f t="shared" si="92"/>
        <v/>
      </c>
      <c r="AD401" s="73" t="s">
        <v>3171</v>
      </c>
      <c r="AE401" s="73" t="s">
        <v>3172</v>
      </c>
      <c r="AF401" s="73" t="str">
        <f t="shared" si="93"/>
        <v>A679077</v>
      </c>
      <c r="AG401" s="73" t="str">
        <f>VLOOKUP(AF401,AKT!$C$4:$E$324,3,FALSE)</f>
        <v>0942</v>
      </c>
    </row>
    <row r="402" spans="1:33">
      <c r="A402" s="82"/>
      <c r="B402" s="77" t="str">
        <f t="shared" si="86"/>
        <v/>
      </c>
      <c r="C402" s="82"/>
      <c r="D402" s="77" t="str">
        <f t="shared" si="87"/>
        <v/>
      </c>
      <c r="E402" s="114"/>
      <c r="F402" s="77" t="str">
        <f t="shared" si="88"/>
        <v/>
      </c>
      <c r="G402" s="77" t="str">
        <f t="shared" si="89"/>
        <v/>
      </c>
      <c r="H402" s="113"/>
      <c r="I402" s="113"/>
      <c r="J402" s="113"/>
      <c r="K402" s="124"/>
      <c r="L402" s="123"/>
      <c r="M402" s="123"/>
      <c r="N402" s="124"/>
      <c r="O402" s="300"/>
      <c r="P402" s="81"/>
      <c r="R402" s="73" t="str">
        <f t="shared" si="90"/>
        <v/>
      </c>
      <c r="S402" s="73" t="str">
        <f t="shared" si="91"/>
        <v/>
      </c>
      <c r="T402" s="73" t="str">
        <f t="shared" si="92"/>
        <v/>
      </c>
      <c r="AD402" s="73" t="s">
        <v>3173</v>
      </c>
      <c r="AE402" s="73" t="s">
        <v>3174</v>
      </c>
      <c r="AF402" s="73" t="str">
        <f t="shared" si="93"/>
        <v>A679077</v>
      </c>
      <c r="AG402" s="73" t="str">
        <f>VLOOKUP(AF402,AKT!$C$4:$E$324,3,FALSE)</f>
        <v>0942</v>
      </c>
    </row>
    <row r="403" spans="1:33">
      <c r="A403" s="82"/>
      <c r="B403" s="77" t="str">
        <f t="shared" si="86"/>
        <v/>
      </c>
      <c r="C403" s="82"/>
      <c r="D403" s="77" t="str">
        <f t="shared" si="87"/>
        <v/>
      </c>
      <c r="E403" s="114"/>
      <c r="F403" s="77" t="str">
        <f t="shared" si="88"/>
        <v/>
      </c>
      <c r="G403" s="77" t="str">
        <f t="shared" si="89"/>
        <v/>
      </c>
      <c r="H403" s="113"/>
      <c r="I403" s="113"/>
      <c r="J403" s="113"/>
      <c r="K403" s="124"/>
      <c r="L403" s="123"/>
      <c r="M403" s="123"/>
      <c r="N403" s="124"/>
      <c r="O403" s="300"/>
      <c r="P403" s="81"/>
      <c r="R403" s="73" t="str">
        <f t="shared" si="90"/>
        <v/>
      </c>
      <c r="S403" s="73" t="str">
        <f t="shared" si="91"/>
        <v/>
      </c>
      <c r="T403" s="73" t="str">
        <f t="shared" si="92"/>
        <v/>
      </c>
      <c r="AD403" s="73" t="s">
        <v>3175</v>
      </c>
      <c r="AE403" s="73" t="s">
        <v>3176</v>
      </c>
      <c r="AF403" s="73" t="str">
        <f t="shared" si="93"/>
        <v>A679077</v>
      </c>
      <c r="AG403" s="73" t="str">
        <f>VLOOKUP(AF403,AKT!$C$4:$E$324,3,FALSE)</f>
        <v>0942</v>
      </c>
    </row>
    <row r="404" spans="1:33">
      <c r="A404" s="82"/>
      <c r="B404" s="77" t="str">
        <f t="shared" si="86"/>
        <v/>
      </c>
      <c r="C404" s="82"/>
      <c r="D404" s="77" t="str">
        <f t="shared" si="87"/>
        <v/>
      </c>
      <c r="E404" s="114"/>
      <c r="F404" s="77" t="str">
        <f t="shared" si="88"/>
        <v/>
      </c>
      <c r="G404" s="77" t="str">
        <f t="shared" si="89"/>
        <v/>
      </c>
      <c r="H404" s="113"/>
      <c r="I404" s="113"/>
      <c r="J404" s="113"/>
      <c r="K404" s="124"/>
      <c r="L404" s="123"/>
      <c r="M404" s="123"/>
      <c r="N404" s="124"/>
      <c r="O404" s="300"/>
      <c r="P404" s="81"/>
      <c r="R404" s="73" t="str">
        <f t="shared" si="90"/>
        <v/>
      </c>
      <c r="S404" s="73" t="str">
        <f t="shared" si="91"/>
        <v/>
      </c>
      <c r="T404" s="73" t="str">
        <f t="shared" si="92"/>
        <v/>
      </c>
      <c r="AD404" s="73" t="s">
        <v>3177</v>
      </c>
      <c r="AE404" s="73" t="s">
        <v>3178</v>
      </c>
      <c r="AF404" s="73" t="str">
        <f t="shared" si="93"/>
        <v>A679077</v>
      </c>
      <c r="AG404" s="73" t="str">
        <f>VLOOKUP(AF404,AKT!$C$4:$E$324,3,FALSE)</f>
        <v>0942</v>
      </c>
    </row>
    <row r="405" spans="1:33">
      <c r="A405" s="82"/>
      <c r="B405" s="77" t="str">
        <f t="shared" si="86"/>
        <v/>
      </c>
      <c r="C405" s="82"/>
      <c r="D405" s="77" t="str">
        <f t="shared" si="87"/>
        <v/>
      </c>
      <c r="E405" s="114"/>
      <c r="F405" s="77" t="str">
        <f t="shared" si="88"/>
        <v/>
      </c>
      <c r="G405" s="77" t="str">
        <f t="shared" si="89"/>
        <v/>
      </c>
      <c r="H405" s="113"/>
      <c r="I405" s="113"/>
      <c r="J405" s="113"/>
      <c r="K405" s="124"/>
      <c r="L405" s="123"/>
      <c r="M405" s="123"/>
      <c r="N405" s="124"/>
      <c r="O405" s="300"/>
      <c r="P405" s="81"/>
      <c r="R405" s="73" t="str">
        <f t="shared" si="90"/>
        <v/>
      </c>
      <c r="S405" s="73" t="str">
        <f t="shared" si="91"/>
        <v/>
      </c>
      <c r="T405" s="73" t="str">
        <f t="shared" si="92"/>
        <v/>
      </c>
      <c r="AD405" s="73" t="s">
        <v>3179</v>
      </c>
      <c r="AE405" s="73" t="s">
        <v>3180</v>
      </c>
      <c r="AF405" s="73" t="str">
        <f t="shared" si="93"/>
        <v>A679077</v>
      </c>
      <c r="AG405" s="73" t="str">
        <f>VLOOKUP(AF405,AKT!$C$4:$E$324,3,FALSE)</f>
        <v>0942</v>
      </c>
    </row>
    <row r="406" spans="1:33">
      <c r="A406" s="82"/>
      <c r="B406" s="77" t="str">
        <f t="shared" si="86"/>
        <v/>
      </c>
      <c r="C406" s="82"/>
      <c r="D406" s="77" t="str">
        <f t="shared" si="87"/>
        <v/>
      </c>
      <c r="E406" s="114"/>
      <c r="F406" s="77" t="str">
        <f t="shared" si="88"/>
        <v/>
      </c>
      <c r="G406" s="77" t="str">
        <f t="shared" si="89"/>
        <v/>
      </c>
      <c r="H406" s="113"/>
      <c r="I406" s="113"/>
      <c r="J406" s="113"/>
      <c r="K406" s="124"/>
      <c r="L406" s="123"/>
      <c r="M406" s="123"/>
      <c r="N406" s="124"/>
      <c r="O406" s="300"/>
      <c r="P406" s="81"/>
      <c r="R406" s="73" t="str">
        <f t="shared" si="90"/>
        <v/>
      </c>
      <c r="S406" s="73" t="str">
        <f t="shared" si="91"/>
        <v/>
      </c>
      <c r="T406" s="73" t="str">
        <f t="shared" si="92"/>
        <v/>
      </c>
      <c r="AD406" s="73" t="s">
        <v>799</v>
      </c>
      <c r="AE406" s="73" t="s">
        <v>800</v>
      </c>
      <c r="AF406" s="73" t="str">
        <f t="shared" si="93"/>
        <v>A679078</v>
      </c>
      <c r="AG406" s="73" t="str">
        <f>VLOOKUP(AF406,AKT!$C$4:$E$324,3,FALSE)</f>
        <v>0942</v>
      </c>
    </row>
    <row r="407" spans="1:33">
      <c r="A407" s="82"/>
      <c r="B407" s="77" t="str">
        <f t="shared" si="86"/>
        <v/>
      </c>
      <c r="C407" s="82"/>
      <c r="D407" s="77" t="str">
        <f t="shared" si="87"/>
        <v/>
      </c>
      <c r="E407" s="114"/>
      <c r="F407" s="77" t="str">
        <f t="shared" si="88"/>
        <v/>
      </c>
      <c r="G407" s="77" t="str">
        <f t="shared" si="89"/>
        <v/>
      </c>
      <c r="H407" s="113"/>
      <c r="I407" s="113"/>
      <c r="J407" s="113"/>
      <c r="K407" s="124"/>
      <c r="L407" s="123"/>
      <c r="M407" s="123"/>
      <c r="N407" s="124"/>
      <c r="O407" s="300"/>
      <c r="P407" s="81"/>
      <c r="R407" s="73" t="str">
        <f t="shared" si="90"/>
        <v/>
      </c>
      <c r="S407" s="73" t="str">
        <f t="shared" si="91"/>
        <v/>
      </c>
      <c r="T407" s="73" t="str">
        <f t="shared" si="92"/>
        <v/>
      </c>
      <c r="AD407" s="73" t="s">
        <v>801</v>
      </c>
      <c r="AE407" s="73" t="s">
        <v>802</v>
      </c>
      <c r="AF407" s="73" t="str">
        <f t="shared" si="93"/>
        <v>A679078</v>
      </c>
      <c r="AG407" s="73" t="str">
        <f>VLOOKUP(AF407,AKT!$C$4:$E$324,3,FALSE)</f>
        <v>0942</v>
      </c>
    </row>
    <row r="408" spans="1:33">
      <c r="A408" s="82"/>
      <c r="B408" s="77" t="str">
        <f t="shared" si="86"/>
        <v/>
      </c>
      <c r="C408" s="82"/>
      <c r="D408" s="77" t="str">
        <f t="shared" si="87"/>
        <v/>
      </c>
      <c r="E408" s="114"/>
      <c r="F408" s="77" t="str">
        <f t="shared" si="88"/>
        <v/>
      </c>
      <c r="G408" s="77" t="str">
        <f t="shared" si="89"/>
        <v/>
      </c>
      <c r="H408" s="113"/>
      <c r="I408" s="113"/>
      <c r="J408" s="113"/>
      <c r="K408" s="124"/>
      <c r="L408" s="123"/>
      <c r="M408" s="123"/>
      <c r="N408" s="124"/>
      <c r="O408" s="300"/>
      <c r="P408" s="81"/>
      <c r="R408" s="73" t="str">
        <f t="shared" si="90"/>
        <v/>
      </c>
      <c r="S408" s="73" t="str">
        <f t="shared" si="91"/>
        <v/>
      </c>
      <c r="T408" s="73" t="str">
        <f t="shared" si="92"/>
        <v/>
      </c>
      <c r="AD408" s="73" t="s">
        <v>803</v>
      </c>
      <c r="AE408" s="73" t="s">
        <v>804</v>
      </c>
      <c r="AF408" s="73" t="str">
        <f t="shared" si="93"/>
        <v>A679078</v>
      </c>
      <c r="AG408" s="73" t="str">
        <f>VLOOKUP(AF408,AKT!$C$4:$E$324,3,FALSE)</f>
        <v>0942</v>
      </c>
    </row>
    <row r="409" spans="1:33">
      <c r="A409" s="82"/>
      <c r="B409" s="77" t="str">
        <f t="shared" si="86"/>
        <v/>
      </c>
      <c r="C409" s="82"/>
      <c r="D409" s="77" t="str">
        <f t="shared" si="87"/>
        <v/>
      </c>
      <c r="E409" s="114"/>
      <c r="F409" s="77" t="str">
        <f t="shared" si="88"/>
        <v/>
      </c>
      <c r="G409" s="77" t="str">
        <f t="shared" si="89"/>
        <v/>
      </c>
      <c r="H409" s="113"/>
      <c r="I409" s="113"/>
      <c r="J409" s="113"/>
      <c r="K409" s="124"/>
      <c r="L409" s="123"/>
      <c r="M409" s="123"/>
      <c r="N409" s="124"/>
      <c r="O409" s="300"/>
      <c r="P409" s="81"/>
      <c r="R409" s="73" t="str">
        <f t="shared" si="90"/>
        <v/>
      </c>
      <c r="S409" s="73" t="str">
        <f t="shared" si="91"/>
        <v/>
      </c>
      <c r="T409" s="73" t="str">
        <f t="shared" si="92"/>
        <v/>
      </c>
      <c r="AD409" s="73" t="s">
        <v>3181</v>
      </c>
      <c r="AE409" s="73" t="s">
        <v>3182</v>
      </c>
      <c r="AF409" s="73" t="str">
        <f t="shared" si="93"/>
        <v>A679078</v>
      </c>
      <c r="AG409" s="73" t="str">
        <f>VLOOKUP(AF409,AKT!$C$4:$E$324,3,FALSE)</f>
        <v>0942</v>
      </c>
    </row>
    <row r="410" spans="1:33">
      <c r="A410" s="82"/>
      <c r="B410" s="77" t="str">
        <f t="shared" si="86"/>
        <v/>
      </c>
      <c r="C410" s="82"/>
      <c r="D410" s="77" t="str">
        <f t="shared" si="87"/>
        <v/>
      </c>
      <c r="E410" s="114"/>
      <c r="F410" s="77" t="str">
        <f t="shared" si="88"/>
        <v/>
      </c>
      <c r="G410" s="77" t="str">
        <f t="shared" si="89"/>
        <v/>
      </c>
      <c r="H410" s="113"/>
      <c r="I410" s="113"/>
      <c r="J410" s="113"/>
      <c r="K410" s="124"/>
      <c r="L410" s="123"/>
      <c r="M410" s="123"/>
      <c r="N410" s="124"/>
      <c r="O410" s="300"/>
      <c r="P410" s="81"/>
      <c r="R410" s="73" t="str">
        <f t="shared" si="90"/>
        <v/>
      </c>
      <c r="S410" s="73" t="str">
        <f t="shared" si="91"/>
        <v/>
      </c>
      <c r="T410" s="73" t="str">
        <f t="shared" si="92"/>
        <v/>
      </c>
      <c r="AD410" s="73" t="s">
        <v>3183</v>
      </c>
      <c r="AE410" s="73" t="s">
        <v>3184</v>
      </c>
      <c r="AF410" s="73" t="str">
        <f t="shared" si="93"/>
        <v>A679078</v>
      </c>
      <c r="AG410" s="73" t="str">
        <f>VLOOKUP(AF410,AKT!$C$4:$E$324,3,FALSE)</f>
        <v>0942</v>
      </c>
    </row>
    <row r="411" spans="1:33">
      <c r="A411" s="82"/>
      <c r="B411" s="77" t="str">
        <f t="shared" si="86"/>
        <v/>
      </c>
      <c r="C411" s="82"/>
      <c r="D411" s="77" t="str">
        <f t="shared" si="87"/>
        <v/>
      </c>
      <c r="E411" s="114"/>
      <c r="F411" s="77" t="str">
        <f t="shared" si="88"/>
        <v/>
      </c>
      <c r="G411" s="77" t="str">
        <f t="shared" si="89"/>
        <v/>
      </c>
      <c r="H411" s="113"/>
      <c r="I411" s="113"/>
      <c r="J411" s="113"/>
      <c r="K411" s="124"/>
      <c r="L411" s="123"/>
      <c r="M411" s="123"/>
      <c r="N411" s="124"/>
      <c r="O411" s="300"/>
      <c r="P411" s="81"/>
      <c r="R411" s="73" t="str">
        <f t="shared" si="90"/>
        <v/>
      </c>
      <c r="S411" s="73" t="str">
        <f t="shared" si="91"/>
        <v/>
      </c>
      <c r="T411" s="73" t="str">
        <f t="shared" si="92"/>
        <v/>
      </c>
      <c r="AD411" s="73" t="s">
        <v>3185</v>
      </c>
      <c r="AE411" s="73" t="s">
        <v>3186</v>
      </c>
      <c r="AF411" s="73" t="str">
        <f t="shared" si="93"/>
        <v>A679078</v>
      </c>
      <c r="AG411" s="73" t="str">
        <f>VLOOKUP(AF411,AKT!$C$4:$E$324,3,FALSE)</f>
        <v>0942</v>
      </c>
    </row>
    <row r="412" spans="1:33">
      <c r="A412" s="82"/>
      <c r="B412" s="77" t="str">
        <f t="shared" si="86"/>
        <v/>
      </c>
      <c r="C412" s="82"/>
      <c r="D412" s="77" t="str">
        <f t="shared" si="87"/>
        <v/>
      </c>
      <c r="E412" s="114"/>
      <c r="F412" s="77" t="str">
        <f t="shared" si="88"/>
        <v/>
      </c>
      <c r="G412" s="77" t="str">
        <f t="shared" si="89"/>
        <v/>
      </c>
      <c r="H412" s="113"/>
      <c r="I412" s="113"/>
      <c r="J412" s="113"/>
      <c r="K412" s="124"/>
      <c r="L412" s="123"/>
      <c r="M412" s="123"/>
      <c r="N412" s="124"/>
      <c r="O412" s="300"/>
      <c r="P412" s="81"/>
      <c r="R412" s="73" t="str">
        <f t="shared" si="90"/>
        <v/>
      </c>
      <c r="S412" s="73" t="str">
        <f t="shared" si="91"/>
        <v/>
      </c>
      <c r="T412" s="73" t="str">
        <f t="shared" si="92"/>
        <v/>
      </c>
      <c r="AD412" s="73" t="s">
        <v>3187</v>
      </c>
      <c r="AE412" s="73" t="s">
        <v>3188</v>
      </c>
      <c r="AF412" s="73" t="str">
        <f t="shared" si="93"/>
        <v>A679078</v>
      </c>
      <c r="AG412" s="73" t="str">
        <f>VLOOKUP(AF412,AKT!$C$4:$E$324,3,FALSE)</f>
        <v>0942</v>
      </c>
    </row>
    <row r="413" spans="1:33">
      <c r="A413" s="82"/>
      <c r="B413" s="77" t="str">
        <f t="shared" si="86"/>
        <v/>
      </c>
      <c r="C413" s="82"/>
      <c r="D413" s="77" t="str">
        <f t="shared" si="87"/>
        <v/>
      </c>
      <c r="E413" s="114"/>
      <c r="F413" s="77" t="str">
        <f t="shared" si="88"/>
        <v/>
      </c>
      <c r="G413" s="77" t="str">
        <f t="shared" si="89"/>
        <v/>
      </c>
      <c r="H413" s="113"/>
      <c r="I413" s="113"/>
      <c r="J413" s="113"/>
      <c r="K413" s="124"/>
      <c r="L413" s="123"/>
      <c r="M413" s="123"/>
      <c r="N413" s="124"/>
      <c r="O413" s="300"/>
      <c r="P413" s="81"/>
      <c r="R413" s="73" t="str">
        <f t="shared" si="90"/>
        <v/>
      </c>
      <c r="S413" s="73" t="str">
        <f t="shared" si="91"/>
        <v/>
      </c>
      <c r="T413" s="73" t="str">
        <f t="shared" si="92"/>
        <v/>
      </c>
      <c r="AD413" s="73" t="s">
        <v>805</v>
      </c>
      <c r="AE413" s="73" t="s">
        <v>806</v>
      </c>
      <c r="AF413" s="73" t="str">
        <f t="shared" si="93"/>
        <v>A679078</v>
      </c>
      <c r="AG413" s="73" t="str">
        <f>VLOOKUP(AF413,AKT!$C$4:$E$324,3,FALSE)</f>
        <v>0942</v>
      </c>
    </row>
    <row r="414" spans="1:33">
      <c r="A414" s="82"/>
      <c r="B414" s="77" t="str">
        <f t="shared" si="86"/>
        <v/>
      </c>
      <c r="C414" s="82"/>
      <c r="D414" s="77" t="str">
        <f t="shared" si="87"/>
        <v/>
      </c>
      <c r="E414" s="114"/>
      <c r="F414" s="77" t="str">
        <f t="shared" si="88"/>
        <v/>
      </c>
      <c r="G414" s="77" t="str">
        <f t="shared" si="89"/>
        <v/>
      </c>
      <c r="H414" s="113"/>
      <c r="I414" s="113"/>
      <c r="J414" s="113"/>
      <c r="K414" s="124"/>
      <c r="L414" s="123"/>
      <c r="M414" s="123"/>
      <c r="N414" s="124"/>
      <c r="O414" s="300"/>
      <c r="P414" s="81"/>
      <c r="R414" s="73" t="str">
        <f t="shared" si="90"/>
        <v/>
      </c>
      <c r="S414" s="73" t="str">
        <f t="shared" si="91"/>
        <v/>
      </c>
      <c r="T414" s="73" t="str">
        <f t="shared" si="92"/>
        <v/>
      </c>
      <c r="AD414" s="73" t="s">
        <v>807</v>
      </c>
      <c r="AE414" s="73" t="s">
        <v>808</v>
      </c>
      <c r="AF414" s="73" t="str">
        <f t="shared" si="93"/>
        <v>A679078</v>
      </c>
      <c r="AG414" s="73" t="str">
        <f>VLOOKUP(AF414,AKT!$C$4:$E$324,3,FALSE)</f>
        <v>0942</v>
      </c>
    </row>
    <row r="415" spans="1:33">
      <c r="A415" s="82"/>
      <c r="B415" s="77" t="str">
        <f t="shared" si="86"/>
        <v/>
      </c>
      <c r="C415" s="82"/>
      <c r="D415" s="77" t="str">
        <f t="shared" si="87"/>
        <v/>
      </c>
      <c r="E415" s="114"/>
      <c r="F415" s="77" t="str">
        <f t="shared" si="88"/>
        <v/>
      </c>
      <c r="G415" s="77" t="str">
        <f t="shared" si="89"/>
        <v/>
      </c>
      <c r="H415" s="113"/>
      <c r="I415" s="113"/>
      <c r="J415" s="113"/>
      <c r="K415" s="124"/>
      <c r="L415" s="123"/>
      <c r="M415" s="123"/>
      <c r="N415" s="124"/>
      <c r="O415" s="300"/>
      <c r="P415" s="81"/>
      <c r="R415" s="73" t="str">
        <f t="shared" si="90"/>
        <v/>
      </c>
      <c r="S415" s="73" t="str">
        <f t="shared" si="91"/>
        <v/>
      </c>
      <c r="T415" s="73" t="str">
        <f t="shared" si="92"/>
        <v/>
      </c>
      <c r="AD415" s="73" t="s">
        <v>809</v>
      </c>
      <c r="AE415" s="73" t="s">
        <v>810</v>
      </c>
      <c r="AF415" s="73" t="str">
        <f t="shared" si="93"/>
        <v>A679078</v>
      </c>
      <c r="AG415" s="73" t="str">
        <f>VLOOKUP(AF415,AKT!$C$4:$E$324,3,FALSE)</f>
        <v>0942</v>
      </c>
    </row>
    <row r="416" spans="1:33">
      <c r="A416" s="82"/>
      <c r="B416" s="77" t="str">
        <f t="shared" si="86"/>
        <v/>
      </c>
      <c r="C416" s="82"/>
      <c r="D416" s="77" t="str">
        <f t="shared" si="87"/>
        <v/>
      </c>
      <c r="E416" s="114"/>
      <c r="F416" s="77" t="str">
        <f t="shared" si="88"/>
        <v/>
      </c>
      <c r="G416" s="77" t="str">
        <f t="shared" si="89"/>
        <v/>
      </c>
      <c r="H416" s="113"/>
      <c r="I416" s="113"/>
      <c r="J416" s="113"/>
      <c r="K416" s="124"/>
      <c r="L416" s="123"/>
      <c r="M416" s="123"/>
      <c r="N416" s="124"/>
      <c r="O416" s="300"/>
      <c r="P416" s="81"/>
      <c r="R416" s="73" t="str">
        <f t="shared" si="90"/>
        <v/>
      </c>
      <c r="S416" s="73" t="str">
        <f t="shared" si="91"/>
        <v/>
      </c>
      <c r="T416" s="73" t="str">
        <f t="shared" si="92"/>
        <v/>
      </c>
      <c r="AD416" s="73" t="s">
        <v>811</v>
      </c>
      <c r="AE416" s="73" t="s">
        <v>812</v>
      </c>
      <c r="AF416" s="73" t="str">
        <f t="shared" si="93"/>
        <v>A679078</v>
      </c>
      <c r="AG416" s="73" t="str">
        <f>VLOOKUP(AF416,AKT!$C$4:$E$324,3,FALSE)</f>
        <v>0942</v>
      </c>
    </row>
    <row r="417" spans="1:33">
      <c r="A417" s="82"/>
      <c r="B417" s="77" t="str">
        <f t="shared" si="86"/>
        <v/>
      </c>
      <c r="C417" s="82"/>
      <c r="D417" s="77" t="str">
        <f t="shared" si="87"/>
        <v/>
      </c>
      <c r="E417" s="114"/>
      <c r="F417" s="77" t="str">
        <f t="shared" si="88"/>
        <v/>
      </c>
      <c r="G417" s="77" t="str">
        <f t="shared" si="89"/>
        <v/>
      </c>
      <c r="H417" s="113"/>
      <c r="I417" s="113"/>
      <c r="J417" s="113"/>
      <c r="K417" s="124"/>
      <c r="L417" s="123"/>
      <c r="M417" s="123"/>
      <c r="N417" s="124"/>
      <c r="O417" s="300"/>
      <c r="P417" s="81"/>
      <c r="R417" s="73" t="str">
        <f t="shared" si="90"/>
        <v/>
      </c>
      <c r="S417" s="73" t="str">
        <f t="shared" si="91"/>
        <v/>
      </c>
      <c r="T417" s="73" t="str">
        <f t="shared" si="92"/>
        <v/>
      </c>
      <c r="AD417" s="73" t="s">
        <v>813</v>
      </c>
      <c r="AE417" s="73" t="s">
        <v>814</v>
      </c>
      <c r="AF417" s="73" t="str">
        <f t="shared" si="93"/>
        <v>A679078</v>
      </c>
      <c r="AG417" s="73" t="str">
        <f>VLOOKUP(AF417,AKT!$C$4:$E$324,3,FALSE)</f>
        <v>0942</v>
      </c>
    </row>
    <row r="418" spans="1:33">
      <c r="A418" s="82"/>
      <c r="B418" s="77" t="str">
        <f t="shared" si="86"/>
        <v/>
      </c>
      <c r="C418" s="82"/>
      <c r="D418" s="77" t="str">
        <f t="shared" si="87"/>
        <v/>
      </c>
      <c r="E418" s="114"/>
      <c r="F418" s="77" t="str">
        <f t="shared" si="88"/>
        <v/>
      </c>
      <c r="G418" s="77" t="str">
        <f t="shared" si="89"/>
        <v/>
      </c>
      <c r="H418" s="113"/>
      <c r="I418" s="113"/>
      <c r="J418" s="113"/>
      <c r="K418" s="124"/>
      <c r="L418" s="123"/>
      <c r="M418" s="123"/>
      <c r="N418" s="124"/>
      <c r="O418" s="300"/>
      <c r="P418" s="81"/>
      <c r="R418" s="73" t="str">
        <f t="shared" si="90"/>
        <v/>
      </c>
      <c r="S418" s="73" t="str">
        <f t="shared" si="91"/>
        <v/>
      </c>
      <c r="T418" s="73" t="str">
        <f t="shared" si="92"/>
        <v/>
      </c>
      <c r="AD418" s="73" t="s">
        <v>815</v>
      </c>
      <c r="AE418" s="73" t="s">
        <v>816</v>
      </c>
      <c r="AF418" s="73" t="str">
        <f t="shared" si="93"/>
        <v>A679078</v>
      </c>
      <c r="AG418" s="73" t="str">
        <f>VLOOKUP(AF418,AKT!$C$4:$E$324,3,FALSE)</f>
        <v>0942</v>
      </c>
    </row>
    <row r="419" spans="1:33">
      <c r="A419" s="82"/>
      <c r="B419" s="77" t="str">
        <f t="shared" ref="B419:B482" si="94">IFERROR(VLOOKUP(A419,$U$7:$V$21,2,FALSE),"")</f>
        <v/>
      </c>
      <c r="C419" s="82"/>
      <c r="D419" s="77" t="str">
        <f t="shared" ref="D419:D482" si="95">IFERROR(VLOOKUP(C419,$X$6:$Z$120,2,FALSE),"")</f>
        <v/>
      </c>
      <c r="E419" s="114"/>
      <c r="F419" s="77" t="str">
        <f t="shared" ref="F419:F482" si="96">IFERROR(VLOOKUP(E419,$AD$7:$AE$1081,2,FALSE),"")</f>
        <v/>
      </c>
      <c r="G419" s="77" t="str">
        <f t="shared" ref="G419:G482" si="97">IFERROR(VLOOKUP(E419,$AD$7:$AG$1081,4,FALSE),"")</f>
        <v/>
      </c>
      <c r="H419" s="113"/>
      <c r="I419" s="113"/>
      <c r="J419" s="113"/>
      <c r="K419" s="124"/>
      <c r="L419" s="123"/>
      <c r="M419" s="123"/>
      <c r="N419" s="124"/>
      <c r="O419" s="300"/>
      <c r="P419" s="81"/>
      <c r="R419" s="73" t="str">
        <f t="shared" si="90"/>
        <v/>
      </c>
      <c r="S419" s="73" t="str">
        <f t="shared" si="91"/>
        <v/>
      </c>
      <c r="T419" s="73" t="str">
        <f t="shared" si="92"/>
        <v/>
      </c>
      <c r="AD419" s="73" t="s">
        <v>817</v>
      </c>
      <c r="AE419" s="73" t="s">
        <v>818</v>
      </c>
      <c r="AF419" s="73" t="str">
        <f t="shared" si="93"/>
        <v>A679078</v>
      </c>
      <c r="AG419" s="73" t="str">
        <f>VLOOKUP(AF419,AKT!$C$4:$E$324,3,FALSE)</f>
        <v>0942</v>
      </c>
    </row>
    <row r="420" spans="1:33">
      <c r="A420" s="82"/>
      <c r="B420" s="77" t="str">
        <f t="shared" si="94"/>
        <v/>
      </c>
      <c r="C420" s="82"/>
      <c r="D420" s="77" t="str">
        <f t="shared" si="95"/>
        <v/>
      </c>
      <c r="E420" s="114"/>
      <c r="F420" s="77" t="str">
        <f t="shared" si="96"/>
        <v/>
      </c>
      <c r="G420" s="77" t="str">
        <f t="shared" si="97"/>
        <v/>
      </c>
      <c r="H420" s="113"/>
      <c r="I420" s="113"/>
      <c r="J420" s="113"/>
      <c r="K420" s="124"/>
      <c r="L420" s="123"/>
      <c r="M420" s="123"/>
      <c r="N420" s="124"/>
      <c r="O420" s="300"/>
      <c r="P420" s="81"/>
      <c r="R420" s="73" t="str">
        <f t="shared" si="90"/>
        <v/>
      </c>
      <c r="S420" s="73" t="str">
        <f t="shared" si="91"/>
        <v/>
      </c>
      <c r="T420" s="73" t="str">
        <f t="shared" si="92"/>
        <v/>
      </c>
      <c r="AD420" s="73" t="s">
        <v>819</v>
      </c>
      <c r="AE420" s="73" t="s">
        <v>820</v>
      </c>
      <c r="AF420" s="73" t="str">
        <f t="shared" si="93"/>
        <v>A679078</v>
      </c>
      <c r="AG420" s="73" t="str">
        <f>VLOOKUP(AF420,AKT!$C$4:$E$324,3,FALSE)</f>
        <v>0942</v>
      </c>
    </row>
    <row r="421" spans="1:33">
      <c r="A421" s="82"/>
      <c r="B421" s="77" t="str">
        <f t="shared" si="94"/>
        <v/>
      </c>
      <c r="C421" s="82"/>
      <c r="D421" s="77" t="str">
        <f t="shared" si="95"/>
        <v/>
      </c>
      <c r="E421" s="114"/>
      <c r="F421" s="77" t="str">
        <f t="shared" si="96"/>
        <v/>
      </c>
      <c r="G421" s="77" t="str">
        <f t="shared" si="97"/>
        <v/>
      </c>
      <c r="H421" s="113"/>
      <c r="I421" s="113"/>
      <c r="J421" s="113"/>
      <c r="K421" s="124"/>
      <c r="L421" s="123"/>
      <c r="M421" s="123"/>
      <c r="N421" s="124"/>
      <c r="O421" s="300"/>
      <c r="P421" s="81"/>
      <c r="R421" s="73" t="str">
        <f t="shared" si="90"/>
        <v/>
      </c>
      <c r="S421" s="73" t="str">
        <f t="shared" si="91"/>
        <v/>
      </c>
      <c r="T421" s="73" t="str">
        <f t="shared" si="92"/>
        <v/>
      </c>
      <c r="AD421" s="73" t="s">
        <v>821</v>
      </c>
      <c r="AE421" s="73" t="s">
        <v>822</v>
      </c>
      <c r="AF421" s="73" t="str">
        <f t="shared" si="93"/>
        <v>A679078</v>
      </c>
      <c r="AG421" s="73" t="str">
        <f>VLOOKUP(AF421,AKT!$C$4:$E$324,3,FALSE)</f>
        <v>0942</v>
      </c>
    </row>
    <row r="422" spans="1:33">
      <c r="A422" s="82"/>
      <c r="B422" s="77" t="str">
        <f t="shared" si="94"/>
        <v/>
      </c>
      <c r="C422" s="82"/>
      <c r="D422" s="77" t="str">
        <f t="shared" si="95"/>
        <v/>
      </c>
      <c r="E422" s="114"/>
      <c r="F422" s="77" t="str">
        <f t="shared" si="96"/>
        <v/>
      </c>
      <c r="G422" s="77" t="str">
        <f t="shared" si="97"/>
        <v/>
      </c>
      <c r="H422" s="113"/>
      <c r="I422" s="113"/>
      <c r="J422" s="113"/>
      <c r="K422" s="124"/>
      <c r="L422" s="123"/>
      <c r="M422" s="123"/>
      <c r="N422" s="124"/>
      <c r="O422" s="300"/>
      <c r="P422" s="81"/>
      <c r="R422" s="73" t="str">
        <f t="shared" si="90"/>
        <v/>
      </c>
      <c r="S422" s="73" t="str">
        <f t="shared" si="91"/>
        <v/>
      </c>
      <c r="T422" s="73" t="str">
        <f t="shared" si="92"/>
        <v/>
      </c>
      <c r="AD422" s="73" t="s">
        <v>823</v>
      </c>
      <c r="AE422" s="73" t="s">
        <v>824</v>
      </c>
      <c r="AF422" s="73" t="str">
        <f t="shared" si="93"/>
        <v>A679078</v>
      </c>
      <c r="AG422" s="73" t="str">
        <f>VLOOKUP(AF422,AKT!$C$4:$E$324,3,FALSE)</f>
        <v>0942</v>
      </c>
    </row>
    <row r="423" spans="1:33">
      <c r="A423" s="82"/>
      <c r="B423" s="77" t="str">
        <f t="shared" si="94"/>
        <v/>
      </c>
      <c r="C423" s="82"/>
      <c r="D423" s="77" t="str">
        <f t="shared" si="95"/>
        <v/>
      </c>
      <c r="E423" s="114"/>
      <c r="F423" s="77" t="str">
        <f t="shared" si="96"/>
        <v/>
      </c>
      <c r="G423" s="77" t="str">
        <f t="shared" si="97"/>
        <v/>
      </c>
      <c r="H423" s="113"/>
      <c r="I423" s="113"/>
      <c r="J423" s="113"/>
      <c r="K423" s="124"/>
      <c r="L423" s="123"/>
      <c r="M423" s="123"/>
      <c r="N423" s="124"/>
      <c r="O423" s="300"/>
      <c r="P423" s="81"/>
      <c r="R423" s="73" t="str">
        <f t="shared" si="90"/>
        <v/>
      </c>
      <c r="S423" s="73" t="str">
        <f t="shared" si="91"/>
        <v/>
      </c>
      <c r="T423" s="73" t="str">
        <f t="shared" si="92"/>
        <v/>
      </c>
      <c r="AD423" s="73" t="s">
        <v>825</v>
      </c>
      <c r="AE423" s="73" t="s">
        <v>826</v>
      </c>
      <c r="AF423" s="73" t="str">
        <f t="shared" si="93"/>
        <v>A679078</v>
      </c>
      <c r="AG423" s="73" t="str">
        <f>VLOOKUP(AF423,AKT!$C$4:$E$324,3,FALSE)</f>
        <v>0942</v>
      </c>
    </row>
    <row r="424" spans="1:33">
      <c r="A424" s="82"/>
      <c r="B424" s="77" t="str">
        <f t="shared" si="94"/>
        <v/>
      </c>
      <c r="C424" s="82"/>
      <c r="D424" s="77" t="str">
        <f t="shared" si="95"/>
        <v/>
      </c>
      <c r="E424" s="114"/>
      <c r="F424" s="77" t="str">
        <f t="shared" si="96"/>
        <v/>
      </c>
      <c r="G424" s="77" t="str">
        <f t="shared" si="97"/>
        <v/>
      </c>
      <c r="H424" s="113"/>
      <c r="I424" s="113"/>
      <c r="J424" s="113"/>
      <c r="K424" s="124"/>
      <c r="L424" s="123"/>
      <c r="M424" s="123"/>
      <c r="N424" s="124"/>
      <c r="O424" s="300"/>
      <c r="P424" s="81"/>
      <c r="R424" s="73" t="str">
        <f t="shared" si="90"/>
        <v/>
      </c>
      <c r="S424" s="73" t="str">
        <f t="shared" si="91"/>
        <v/>
      </c>
      <c r="T424" s="73" t="str">
        <f t="shared" si="92"/>
        <v/>
      </c>
      <c r="AD424" s="73" t="s">
        <v>827</v>
      </c>
      <c r="AE424" s="73" t="s">
        <v>828</v>
      </c>
      <c r="AF424" s="73" t="str">
        <f t="shared" si="93"/>
        <v>A679078</v>
      </c>
      <c r="AG424" s="73" t="str">
        <f>VLOOKUP(AF424,AKT!$C$4:$E$324,3,FALSE)</f>
        <v>0942</v>
      </c>
    </row>
    <row r="425" spans="1:33">
      <c r="A425" s="82"/>
      <c r="B425" s="77" t="str">
        <f t="shared" si="94"/>
        <v/>
      </c>
      <c r="C425" s="82"/>
      <c r="D425" s="77" t="str">
        <f t="shared" si="95"/>
        <v/>
      </c>
      <c r="E425" s="114"/>
      <c r="F425" s="77" t="str">
        <f t="shared" si="96"/>
        <v/>
      </c>
      <c r="G425" s="77" t="str">
        <f t="shared" si="97"/>
        <v/>
      </c>
      <c r="H425" s="113"/>
      <c r="I425" s="113"/>
      <c r="J425" s="113"/>
      <c r="K425" s="124"/>
      <c r="L425" s="123"/>
      <c r="M425" s="123"/>
      <c r="N425" s="124"/>
      <c r="O425" s="300"/>
      <c r="P425" s="81"/>
      <c r="R425" s="73" t="str">
        <f t="shared" si="90"/>
        <v/>
      </c>
      <c r="S425" s="73" t="str">
        <f t="shared" si="91"/>
        <v/>
      </c>
      <c r="T425" s="73" t="str">
        <f t="shared" si="92"/>
        <v/>
      </c>
      <c r="AD425" s="73" t="s">
        <v>829</v>
      </c>
      <c r="AE425" s="73" t="s">
        <v>830</v>
      </c>
      <c r="AF425" s="73" t="str">
        <f t="shared" si="93"/>
        <v>A679078</v>
      </c>
      <c r="AG425" s="73" t="str">
        <f>VLOOKUP(AF425,AKT!$C$4:$E$324,3,FALSE)</f>
        <v>0942</v>
      </c>
    </row>
    <row r="426" spans="1:33">
      <c r="A426" s="82"/>
      <c r="B426" s="77" t="str">
        <f t="shared" si="94"/>
        <v/>
      </c>
      <c r="C426" s="82"/>
      <c r="D426" s="77" t="str">
        <f t="shared" si="95"/>
        <v/>
      </c>
      <c r="E426" s="114"/>
      <c r="F426" s="77" t="str">
        <f t="shared" si="96"/>
        <v/>
      </c>
      <c r="G426" s="77" t="str">
        <f t="shared" si="97"/>
        <v/>
      </c>
      <c r="H426" s="113"/>
      <c r="I426" s="113"/>
      <c r="J426" s="113"/>
      <c r="K426" s="124"/>
      <c r="L426" s="123"/>
      <c r="M426" s="123"/>
      <c r="N426" s="124"/>
      <c r="O426" s="300"/>
      <c r="P426" s="81"/>
      <c r="R426" s="73" t="str">
        <f t="shared" si="90"/>
        <v/>
      </c>
      <c r="S426" s="73" t="str">
        <f t="shared" si="91"/>
        <v/>
      </c>
      <c r="T426" s="73" t="str">
        <f t="shared" si="92"/>
        <v/>
      </c>
      <c r="AD426" s="73" t="s">
        <v>831</v>
      </c>
      <c r="AE426" s="73" t="s">
        <v>832</v>
      </c>
      <c r="AF426" s="73" t="str">
        <f t="shared" si="93"/>
        <v>A679078</v>
      </c>
      <c r="AG426" s="73" t="str">
        <f>VLOOKUP(AF426,AKT!$C$4:$E$324,3,FALSE)</f>
        <v>0942</v>
      </c>
    </row>
    <row r="427" spans="1:33">
      <c r="A427" s="82"/>
      <c r="B427" s="77" t="str">
        <f t="shared" si="94"/>
        <v/>
      </c>
      <c r="C427" s="82"/>
      <c r="D427" s="77" t="str">
        <f t="shared" si="95"/>
        <v/>
      </c>
      <c r="E427" s="114"/>
      <c r="F427" s="77" t="str">
        <f t="shared" si="96"/>
        <v/>
      </c>
      <c r="G427" s="77" t="str">
        <f t="shared" si="97"/>
        <v/>
      </c>
      <c r="H427" s="113"/>
      <c r="I427" s="113"/>
      <c r="J427" s="113"/>
      <c r="K427" s="124"/>
      <c r="L427" s="123"/>
      <c r="M427" s="123"/>
      <c r="N427" s="124"/>
      <c r="O427" s="300"/>
      <c r="P427" s="81"/>
      <c r="R427" s="73" t="str">
        <f t="shared" si="90"/>
        <v/>
      </c>
      <c r="S427" s="73" t="str">
        <f t="shared" si="91"/>
        <v/>
      </c>
      <c r="T427" s="73" t="str">
        <f t="shared" si="92"/>
        <v/>
      </c>
      <c r="AD427" s="73" t="s">
        <v>833</v>
      </c>
      <c r="AE427" s="73" t="s">
        <v>834</v>
      </c>
      <c r="AF427" s="73" t="str">
        <f t="shared" si="93"/>
        <v>A679078</v>
      </c>
      <c r="AG427" s="73" t="str">
        <f>VLOOKUP(AF427,AKT!$C$4:$E$324,3,FALSE)</f>
        <v>0942</v>
      </c>
    </row>
    <row r="428" spans="1:33">
      <c r="A428" s="82"/>
      <c r="B428" s="77" t="str">
        <f t="shared" si="94"/>
        <v/>
      </c>
      <c r="C428" s="82"/>
      <c r="D428" s="77" t="str">
        <f t="shared" si="95"/>
        <v/>
      </c>
      <c r="E428" s="114"/>
      <c r="F428" s="77" t="str">
        <f t="shared" si="96"/>
        <v/>
      </c>
      <c r="G428" s="77" t="str">
        <f t="shared" si="97"/>
        <v/>
      </c>
      <c r="H428" s="113"/>
      <c r="I428" s="113"/>
      <c r="J428" s="113"/>
      <c r="K428" s="124"/>
      <c r="L428" s="123"/>
      <c r="M428" s="123"/>
      <c r="N428" s="124"/>
      <c r="O428" s="300"/>
      <c r="P428" s="81"/>
      <c r="R428" s="73" t="str">
        <f t="shared" si="90"/>
        <v/>
      </c>
      <c r="S428" s="73" t="str">
        <f t="shared" si="91"/>
        <v/>
      </c>
      <c r="T428" s="73" t="str">
        <f t="shared" si="92"/>
        <v/>
      </c>
      <c r="AD428" s="73" t="s">
        <v>835</v>
      </c>
      <c r="AE428" s="73" t="s">
        <v>836</v>
      </c>
      <c r="AF428" s="73" t="str">
        <f t="shared" si="93"/>
        <v>A679078</v>
      </c>
      <c r="AG428" s="73" t="str">
        <f>VLOOKUP(AF428,AKT!$C$4:$E$324,3,FALSE)</f>
        <v>0942</v>
      </c>
    </row>
    <row r="429" spans="1:33">
      <c r="A429" s="82"/>
      <c r="B429" s="77" t="str">
        <f t="shared" si="94"/>
        <v/>
      </c>
      <c r="C429" s="82"/>
      <c r="D429" s="77" t="str">
        <f t="shared" si="95"/>
        <v/>
      </c>
      <c r="E429" s="114"/>
      <c r="F429" s="77" t="str">
        <f t="shared" si="96"/>
        <v/>
      </c>
      <c r="G429" s="77" t="str">
        <f t="shared" si="97"/>
        <v/>
      </c>
      <c r="H429" s="113"/>
      <c r="I429" s="113"/>
      <c r="J429" s="113"/>
      <c r="K429" s="124"/>
      <c r="L429" s="123"/>
      <c r="M429" s="123"/>
      <c r="N429" s="124"/>
      <c r="O429" s="300"/>
      <c r="P429" s="81"/>
      <c r="R429" s="73" t="str">
        <f t="shared" si="90"/>
        <v/>
      </c>
      <c r="S429" s="73" t="str">
        <f t="shared" si="91"/>
        <v/>
      </c>
      <c r="T429" s="73" t="str">
        <f t="shared" si="92"/>
        <v/>
      </c>
      <c r="AD429" s="73" t="s">
        <v>837</v>
      </c>
      <c r="AE429" s="73" t="s">
        <v>838</v>
      </c>
      <c r="AF429" s="73" t="str">
        <f t="shared" si="93"/>
        <v>A679078</v>
      </c>
      <c r="AG429" s="73" t="str">
        <f>VLOOKUP(AF429,AKT!$C$4:$E$324,3,FALSE)</f>
        <v>0942</v>
      </c>
    </row>
    <row r="430" spans="1:33">
      <c r="A430" s="82"/>
      <c r="B430" s="77" t="str">
        <f t="shared" si="94"/>
        <v/>
      </c>
      <c r="C430" s="82"/>
      <c r="D430" s="77" t="str">
        <f t="shared" si="95"/>
        <v/>
      </c>
      <c r="E430" s="114"/>
      <c r="F430" s="77" t="str">
        <f t="shared" si="96"/>
        <v/>
      </c>
      <c r="G430" s="77" t="str">
        <f t="shared" si="97"/>
        <v/>
      </c>
      <c r="H430" s="113"/>
      <c r="I430" s="113"/>
      <c r="J430" s="113"/>
      <c r="K430" s="124"/>
      <c r="L430" s="123"/>
      <c r="M430" s="123"/>
      <c r="N430" s="124"/>
      <c r="O430" s="300"/>
      <c r="P430" s="81"/>
      <c r="R430" s="73" t="str">
        <f t="shared" si="90"/>
        <v/>
      </c>
      <c r="S430" s="73" t="str">
        <f t="shared" si="91"/>
        <v/>
      </c>
      <c r="T430" s="73" t="str">
        <f t="shared" si="92"/>
        <v/>
      </c>
      <c r="AD430" s="73" t="s">
        <v>839</v>
      </c>
      <c r="AE430" s="73" t="s">
        <v>840</v>
      </c>
      <c r="AF430" s="73" t="str">
        <f t="shared" si="93"/>
        <v>A679078</v>
      </c>
      <c r="AG430" s="73" t="str">
        <f>VLOOKUP(AF430,AKT!$C$4:$E$324,3,FALSE)</f>
        <v>0942</v>
      </c>
    </row>
    <row r="431" spans="1:33">
      <c r="A431" s="82"/>
      <c r="B431" s="77" t="str">
        <f t="shared" si="94"/>
        <v/>
      </c>
      <c r="C431" s="82"/>
      <c r="D431" s="77" t="str">
        <f t="shared" si="95"/>
        <v/>
      </c>
      <c r="E431" s="114"/>
      <c r="F431" s="77" t="str">
        <f t="shared" si="96"/>
        <v/>
      </c>
      <c r="G431" s="77" t="str">
        <f t="shared" si="97"/>
        <v/>
      </c>
      <c r="H431" s="113"/>
      <c r="I431" s="113"/>
      <c r="J431" s="113"/>
      <c r="K431" s="124"/>
      <c r="L431" s="123"/>
      <c r="M431" s="123"/>
      <c r="N431" s="124"/>
      <c r="O431" s="300"/>
      <c r="P431" s="81"/>
      <c r="R431" s="73" t="str">
        <f t="shared" si="90"/>
        <v/>
      </c>
      <c r="S431" s="73" t="str">
        <f t="shared" si="91"/>
        <v/>
      </c>
      <c r="T431" s="73" t="str">
        <f t="shared" si="92"/>
        <v/>
      </c>
      <c r="AD431" s="73" t="s">
        <v>841</v>
      </c>
      <c r="AE431" s="73" t="s">
        <v>842</v>
      </c>
      <c r="AF431" s="73" t="str">
        <f t="shared" si="93"/>
        <v>A679078</v>
      </c>
      <c r="AG431" s="73" t="str">
        <f>VLOOKUP(AF431,AKT!$C$4:$E$324,3,FALSE)</f>
        <v>0942</v>
      </c>
    </row>
    <row r="432" spans="1:33">
      <c r="A432" s="82"/>
      <c r="B432" s="77" t="str">
        <f t="shared" si="94"/>
        <v/>
      </c>
      <c r="C432" s="82"/>
      <c r="D432" s="77" t="str">
        <f t="shared" si="95"/>
        <v/>
      </c>
      <c r="E432" s="114"/>
      <c r="F432" s="77" t="str">
        <f t="shared" si="96"/>
        <v/>
      </c>
      <c r="G432" s="77" t="str">
        <f t="shared" si="97"/>
        <v/>
      </c>
      <c r="H432" s="113"/>
      <c r="I432" s="113"/>
      <c r="J432" s="113"/>
      <c r="K432" s="124"/>
      <c r="L432" s="123"/>
      <c r="M432" s="123"/>
      <c r="N432" s="124"/>
      <c r="O432" s="300"/>
      <c r="P432" s="81"/>
      <c r="R432" s="73" t="str">
        <f t="shared" si="90"/>
        <v/>
      </c>
      <c r="S432" s="73" t="str">
        <f t="shared" si="91"/>
        <v/>
      </c>
      <c r="T432" s="73" t="str">
        <f t="shared" si="92"/>
        <v/>
      </c>
      <c r="AD432" s="73" t="s">
        <v>843</v>
      </c>
      <c r="AE432" s="73" t="s">
        <v>844</v>
      </c>
      <c r="AF432" s="73" t="str">
        <f t="shared" si="93"/>
        <v>A679078</v>
      </c>
      <c r="AG432" s="73" t="str">
        <f>VLOOKUP(AF432,AKT!$C$4:$E$324,3,FALSE)</f>
        <v>0942</v>
      </c>
    </row>
    <row r="433" spans="1:33">
      <c r="A433" s="82"/>
      <c r="B433" s="77" t="str">
        <f t="shared" si="94"/>
        <v/>
      </c>
      <c r="C433" s="82"/>
      <c r="D433" s="77" t="str">
        <f t="shared" si="95"/>
        <v/>
      </c>
      <c r="E433" s="114"/>
      <c r="F433" s="77" t="str">
        <f t="shared" si="96"/>
        <v/>
      </c>
      <c r="G433" s="77" t="str">
        <f t="shared" si="97"/>
        <v/>
      </c>
      <c r="H433" s="113"/>
      <c r="I433" s="113"/>
      <c r="J433" s="113"/>
      <c r="K433" s="124"/>
      <c r="L433" s="123"/>
      <c r="M433" s="123"/>
      <c r="N433" s="124"/>
      <c r="O433" s="300"/>
      <c r="P433" s="81"/>
      <c r="R433" s="73" t="str">
        <f t="shared" si="90"/>
        <v/>
      </c>
      <c r="S433" s="73" t="str">
        <f t="shared" si="91"/>
        <v/>
      </c>
      <c r="T433" s="73" t="str">
        <f t="shared" si="92"/>
        <v/>
      </c>
      <c r="AD433" s="73" t="s">
        <v>845</v>
      </c>
      <c r="AE433" s="73" t="s">
        <v>846</v>
      </c>
      <c r="AF433" s="73" t="str">
        <f t="shared" si="93"/>
        <v>A679078</v>
      </c>
      <c r="AG433" s="73" t="str">
        <f>VLOOKUP(AF433,AKT!$C$4:$E$324,3,FALSE)</f>
        <v>0942</v>
      </c>
    </row>
    <row r="434" spans="1:33">
      <c r="A434" s="82"/>
      <c r="B434" s="77" t="str">
        <f t="shared" si="94"/>
        <v/>
      </c>
      <c r="C434" s="82"/>
      <c r="D434" s="77" t="str">
        <f t="shared" si="95"/>
        <v/>
      </c>
      <c r="E434" s="114"/>
      <c r="F434" s="77" t="str">
        <f t="shared" si="96"/>
        <v/>
      </c>
      <c r="G434" s="77" t="str">
        <f t="shared" si="97"/>
        <v/>
      </c>
      <c r="H434" s="113"/>
      <c r="I434" s="113"/>
      <c r="J434" s="113"/>
      <c r="K434" s="124"/>
      <c r="L434" s="123"/>
      <c r="M434" s="123"/>
      <c r="N434" s="124"/>
      <c r="O434" s="300"/>
      <c r="P434" s="81"/>
      <c r="R434" s="73" t="str">
        <f t="shared" si="90"/>
        <v/>
      </c>
      <c r="S434" s="73" t="str">
        <f t="shared" si="91"/>
        <v/>
      </c>
      <c r="T434" s="73" t="str">
        <f t="shared" si="92"/>
        <v/>
      </c>
      <c r="AD434" s="73" t="s">
        <v>847</v>
      </c>
      <c r="AE434" s="73" t="s">
        <v>848</v>
      </c>
      <c r="AF434" s="73" t="str">
        <f t="shared" si="93"/>
        <v>A679078</v>
      </c>
      <c r="AG434" s="73" t="str">
        <f>VLOOKUP(AF434,AKT!$C$4:$E$324,3,FALSE)</f>
        <v>0942</v>
      </c>
    </row>
    <row r="435" spans="1:33">
      <c r="A435" s="82"/>
      <c r="B435" s="77" t="str">
        <f t="shared" si="94"/>
        <v/>
      </c>
      <c r="C435" s="82"/>
      <c r="D435" s="77" t="str">
        <f t="shared" si="95"/>
        <v/>
      </c>
      <c r="E435" s="114"/>
      <c r="F435" s="77" t="str">
        <f t="shared" si="96"/>
        <v/>
      </c>
      <c r="G435" s="77" t="str">
        <f t="shared" si="97"/>
        <v/>
      </c>
      <c r="H435" s="113"/>
      <c r="I435" s="113"/>
      <c r="J435" s="113"/>
      <c r="K435" s="124"/>
      <c r="L435" s="123"/>
      <c r="M435" s="123"/>
      <c r="N435" s="124"/>
      <c r="O435" s="300"/>
      <c r="P435" s="81"/>
      <c r="R435" s="73" t="str">
        <f t="shared" si="90"/>
        <v/>
      </c>
      <c r="S435" s="73" t="str">
        <f t="shared" si="91"/>
        <v/>
      </c>
      <c r="T435" s="73" t="str">
        <f t="shared" si="92"/>
        <v/>
      </c>
      <c r="AD435" s="73" t="s">
        <v>849</v>
      </c>
      <c r="AE435" s="73" t="s">
        <v>850</v>
      </c>
      <c r="AF435" s="73" t="str">
        <f t="shared" si="93"/>
        <v>A679078</v>
      </c>
      <c r="AG435" s="73" t="str">
        <f>VLOOKUP(AF435,AKT!$C$4:$E$324,3,FALSE)</f>
        <v>0942</v>
      </c>
    </row>
    <row r="436" spans="1:33">
      <c r="A436" s="82"/>
      <c r="B436" s="77" t="str">
        <f t="shared" si="94"/>
        <v/>
      </c>
      <c r="C436" s="82"/>
      <c r="D436" s="77" t="str">
        <f t="shared" si="95"/>
        <v/>
      </c>
      <c r="E436" s="114"/>
      <c r="F436" s="77" t="str">
        <f t="shared" si="96"/>
        <v/>
      </c>
      <c r="G436" s="77" t="str">
        <f t="shared" si="97"/>
        <v/>
      </c>
      <c r="H436" s="113"/>
      <c r="I436" s="113"/>
      <c r="J436" s="113"/>
      <c r="K436" s="124"/>
      <c r="L436" s="123"/>
      <c r="M436" s="123"/>
      <c r="N436" s="124"/>
      <c r="O436" s="300"/>
      <c r="P436" s="81"/>
      <c r="R436" s="73" t="str">
        <f t="shared" si="90"/>
        <v/>
      </c>
      <c r="S436" s="73" t="str">
        <f t="shared" si="91"/>
        <v/>
      </c>
      <c r="T436" s="73" t="str">
        <f t="shared" si="92"/>
        <v/>
      </c>
      <c r="AD436" s="73" t="s">
        <v>851</v>
      </c>
      <c r="AE436" s="73" t="s">
        <v>852</v>
      </c>
      <c r="AF436" s="73" t="str">
        <f t="shared" si="93"/>
        <v>A679078</v>
      </c>
      <c r="AG436" s="73" t="str">
        <f>VLOOKUP(AF436,AKT!$C$4:$E$324,3,FALSE)</f>
        <v>0942</v>
      </c>
    </row>
    <row r="437" spans="1:33">
      <c r="A437" s="82"/>
      <c r="B437" s="77" t="str">
        <f t="shared" si="94"/>
        <v/>
      </c>
      <c r="C437" s="82"/>
      <c r="D437" s="77" t="str">
        <f t="shared" si="95"/>
        <v/>
      </c>
      <c r="E437" s="114"/>
      <c r="F437" s="77" t="str">
        <f t="shared" si="96"/>
        <v/>
      </c>
      <c r="G437" s="77" t="str">
        <f t="shared" si="97"/>
        <v/>
      </c>
      <c r="H437" s="113"/>
      <c r="I437" s="113"/>
      <c r="J437" s="113"/>
      <c r="K437" s="124"/>
      <c r="L437" s="123"/>
      <c r="M437" s="123"/>
      <c r="N437" s="124"/>
      <c r="O437" s="300"/>
      <c r="P437" s="81"/>
      <c r="R437" s="73" t="str">
        <f t="shared" si="90"/>
        <v/>
      </c>
      <c r="S437" s="73" t="str">
        <f t="shared" si="91"/>
        <v/>
      </c>
      <c r="T437" s="73" t="str">
        <f t="shared" si="92"/>
        <v/>
      </c>
      <c r="AD437" s="73" t="s">
        <v>853</v>
      </c>
      <c r="AE437" s="73" t="s">
        <v>854</v>
      </c>
      <c r="AF437" s="73" t="str">
        <f t="shared" si="93"/>
        <v>A679078</v>
      </c>
      <c r="AG437" s="73" t="str">
        <f>VLOOKUP(AF437,AKT!$C$4:$E$324,3,FALSE)</f>
        <v>0942</v>
      </c>
    </row>
    <row r="438" spans="1:33">
      <c r="A438" s="82"/>
      <c r="B438" s="77" t="str">
        <f t="shared" si="94"/>
        <v/>
      </c>
      <c r="C438" s="82"/>
      <c r="D438" s="77" t="str">
        <f t="shared" si="95"/>
        <v/>
      </c>
      <c r="E438" s="114"/>
      <c r="F438" s="77" t="str">
        <f t="shared" si="96"/>
        <v/>
      </c>
      <c r="G438" s="77" t="str">
        <f t="shared" si="97"/>
        <v/>
      </c>
      <c r="H438" s="113"/>
      <c r="I438" s="113"/>
      <c r="J438" s="113"/>
      <c r="K438" s="124"/>
      <c r="L438" s="123"/>
      <c r="M438" s="123"/>
      <c r="N438" s="124"/>
      <c r="O438" s="300"/>
      <c r="P438" s="81"/>
      <c r="R438" s="73" t="str">
        <f t="shared" si="90"/>
        <v/>
      </c>
      <c r="S438" s="73" t="str">
        <f t="shared" si="91"/>
        <v/>
      </c>
      <c r="T438" s="73" t="str">
        <f t="shared" si="92"/>
        <v/>
      </c>
      <c r="AD438" s="73" t="s">
        <v>1410</v>
      </c>
      <c r="AE438" s="73" t="s">
        <v>1411</v>
      </c>
      <c r="AF438" s="73" t="str">
        <f t="shared" si="93"/>
        <v>A679078</v>
      </c>
      <c r="AG438" s="73" t="str">
        <f>VLOOKUP(AF438,AKT!$C$4:$E$324,3,FALSE)</f>
        <v>0942</v>
      </c>
    </row>
    <row r="439" spans="1:33">
      <c r="A439" s="82"/>
      <c r="B439" s="77" t="str">
        <f t="shared" si="94"/>
        <v/>
      </c>
      <c r="C439" s="82"/>
      <c r="D439" s="77" t="str">
        <f t="shared" si="95"/>
        <v/>
      </c>
      <c r="E439" s="114"/>
      <c r="F439" s="77" t="str">
        <f t="shared" si="96"/>
        <v/>
      </c>
      <c r="G439" s="77" t="str">
        <f t="shared" si="97"/>
        <v/>
      </c>
      <c r="H439" s="113"/>
      <c r="I439" s="113"/>
      <c r="J439" s="113"/>
      <c r="K439" s="124"/>
      <c r="L439" s="123"/>
      <c r="M439" s="123"/>
      <c r="N439" s="124"/>
      <c r="O439" s="300"/>
      <c r="P439" s="81"/>
      <c r="R439" s="73" t="str">
        <f t="shared" si="90"/>
        <v/>
      </c>
      <c r="S439" s="73" t="str">
        <f t="shared" si="91"/>
        <v/>
      </c>
      <c r="T439" s="73" t="str">
        <f t="shared" si="92"/>
        <v/>
      </c>
      <c r="AD439" s="73" t="s">
        <v>1412</v>
      </c>
      <c r="AE439" s="73" t="s">
        <v>1413</v>
      </c>
      <c r="AF439" s="73" t="str">
        <f t="shared" si="93"/>
        <v>A679078</v>
      </c>
      <c r="AG439" s="73" t="str">
        <f>VLOOKUP(AF439,AKT!$C$4:$E$324,3,FALSE)</f>
        <v>0942</v>
      </c>
    </row>
    <row r="440" spans="1:33">
      <c r="A440" s="82"/>
      <c r="B440" s="77" t="str">
        <f t="shared" si="94"/>
        <v/>
      </c>
      <c r="C440" s="82"/>
      <c r="D440" s="77" t="str">
        <f t="shared" si="95"/>
        <v/>
      </c>
      <c r="E440" s="114"/>
      <c r="F440" s="77" t="str">
        <f t="shared" si="96"/>
        <v/>
      </c>
      <c r="G440" s="77" t="str">
        <f t="shared" si="97"/>
        <v/>
      </c>
      <c r="H440" s="113"/>
      <c r="I440" s="113"/>
      <c r="J440" s="113"/>
      <c r="K440" s="124"/>
      <c r="L440" s="123"/>
      <c r="M440" s="123"/>
      <c r="N440" s="124"/>
      <c r="O440" s="300"/>
      <c r="P440" s="81"/>
      <c r="R440" s="73" t="str">
        <f t="shared" si="90"/>
        <v/>
      </c>
      <c r="S440" s="73" t="str">
        <f t="shared" si="91"/>
        <v/>
      </c>
      <c r="T440" s="73" t="str">
        <f t="shared" si="92"/>
        <v/>
      </c>
      <c r="AD440" s="73" t="s">
        <v>1414</v>
      </c>
      <c r="AE440" s="73" t="s">
        <v>1415</v>
      </c>
      <c r="AF440" s="73" t="str">
        <f t="shared" si="93"/>
        <v>A679078</v>
      </c>
      <c r="AG440" s="73" t="str">
        <f>VLOOKUP(AF440,AKT!$C$4:$E$324,3,FALSE)</f>
        <v>0942</v>
      </c>
    </row>
    <row r="441" spans="1:33">
      <c r="A441" s="82"/>
      <c r="B441" s="77" t="str">
        <f t="shared" si="94"/>
        <v/>
      </c>
      <c r="C441" s="82"/>
      <c r="D441" s="77" t="str">
        <f t="shared" si="95"/>
        <v/>
      </c>
      <c r="E441" s="114"/>
      <c r="F441" s="77" t="str">
        <f t="shared" si="96"/>
        <v/>
      </c>
      <c r="G441" s="77" t="str">
        <f t="shared" si="97"/>
        <v/>
      </c>
      <c r="H441" s="113"/>
      <c r="I441" s="113"/>
      <c r="J441" s="113"/>
      <c r="K441" s="124"/>
      <c r="L441" s="123"/>
      <c r="M441" s="123"/>
      <c r="N441" s="124"/>
      <c r="O441" s="300"/>
      <c r="P441" s="81"/>
      <c r="R441" s="73" t="str">
        <f t="shared" si="90"/>
        <v/>
      </c>
      <c r="S441" s="73" t="str">
        <f t="shared" si="91"/>
        <v/>
      </c>
      <c r="T441" s="73" t="str">
        <f t="shared" si="92"/>
        <v/>
      </c>
      <c r="AD441" s="73" t="s">
        <v>1416</v>
      </c>
      <c r="AE441" s="73" t="s">
        <v>1417</v>
      </c>
      <c r="AF441" s="73" t="str">
        <f t="shared" si="93"/>
        <v>A679078</v>
      </c>
      <c r="AG441" s="73" t="str">
        <f>VLOOKUP(AF441,AKT!$C$4:$E$324,3,FALSE)</f>
        <v>0942</v>
      </c>
    </row>
    <row r="442" spans="1:33">
      <c r="A442" s="82"/>
      <c r="B442" s="77" t="str">
        <f t="shared" si="94"/>
        <v/>
      </c>
      <c r="C442" s="82"/>
      <c r="D442" s="77" t="str">
        <f t="shared" si="95"/>
        <v/>
      </c>
      <c r="E442" s="114"/>
      <c r="F442" s="77" t="str">
        <f t="shared" si="96"/>
        <v/>
      </c>
      <c r="G442" s="77" t="str">
        <f t="shared" si="97"/>
        <v/>
      </c>
      <c r="H442" s="113"/>
      <c r="I442" s="113"/>
      <c r="J442" s="113"/>
      <c r="K442" s="124"/>
      <c r="L442" s="123"/>
      <c r="M442" s="123"/>
      <c r="N442" s="124"/>
      <c r="O442" s="300"/>
      <c r="P442" s="81"/>
      <c r="R442" s="73" t="str">
        <f t="shared" si="90"/>
        <v/>
      </c>
      <c r="S442" s="73" t="str">
        <f t="shared" si="91"/>
        <v/>
      </c>
      <c r="T442" s="73" t="str">
        <f t="shared" si="92"/>
        <v/>
      </c>
      <c r="AD442" s="73" t="s">
        <v>1418</v>
      </c>
      <c r="AE442" s="73" t="s">
        <v>1419</v>
      </c>
      <c r="AF442" s="73" t="str">
        <f t="shared" si="93"/>
        <v>A679078</v>
      </c>
      <c r="AG442" s="73" t="str">
        <f>VLOOKUP(AF442,AKT!$C$4:$E$324,3,FALSE)</f>
        <v>0942</v>
      </c>
    </row>
    <row r="443" spans="1:33">
      <c r="A443" s="82"/>
      <c r="B443" s="77" t="str">
        <f t="shared" si="94"/>
        <v/>
      </c>
      <c r="C443" s="82"/>
      <c r="D443" s="77" t="str">
        <f t="shared" si="95"/>
        <v/>
      </c>
      <c r="E443" s="114"/>
      <c r="F443" s="77" t="str">
        <f t="shared" si="96"/>
        <v/>
      </c>
      <c r="G443" s="77" t="str">
        <f t="shared" si="97"/>
        <v/>
      </c>
      <c r="H443" s="113"/>
      <c r="I443" s="113"/>
      <c r="J443" s="113"/>
      <c r="K443" s="124"/>
      <c r="L443" s="123"/>
      <c r="M443" s="123"/>
      <c r="N443" s="124"/>
      <c r="O443" s="300"/>
      <c r="P443" s="81"/>
      <c r="R443" s="73" t="str">
        <f t="shared" ref="R443:R492" si="98">LEFT(C443,3)</f>
        <v/>
      </c>
      <c r="S443" s="73" t="str">
        <f t="shared" ref="S443:S492" si="99">LEFT(C443,2)</f>
        <v/>
      </c>
      <c r="T443" s="73" t="str">
        <f t="shared" ref="T443:T492" si="100">MID(G443,2,2)</f>
        <v/>
      </c>
      <c r="AD443" s="73" t="s">
        <v>1420</v>
      </c>
      <c r="AE443" s="73" t="s">
        <v>1421</v>
      </c>
      <c r="AF443" s="73" t="str">
        <f t="shared" si="93"/>
        <v>A679078</v>
      </c>
      <c r="AG443" s="73" t="str">
        <f>VLOOKUP(AF443,AKT!$C$4:$E$324,3,FALSE)</f>
        <v>0942</v>
      </c>
    </row>
    <row r="444" spans="1:33">
      <c r="A444" s="82"/>
      <c r="B444" s="77" t="str">
        <f t="shared" si="94"/>
        <v/>
      </c>
      <c r="C444" s="82"/>
      <c r="D444" s="77" t="str">
        <f t="shared" si="95"/>
        <v/>
      </c>
      <c r="E444" s="114"/>
      <c r="F444" s="77" t="str">
        <f t="shared" si="96"/>
        <v/>
      </c>
      <c r="G444" s="77" t="str">
        <f t="shared" si="97"/>
        <v/>
      </c>
      <c r="H444" s="113"/>
      <c r="I444" s="113"/>
      <c r="J444" s="113"/>
      <c r="K444" s="124"/>
      <c r="L444" s="123"/>
      <c r="M444" s="123"/>
      <c r="N444" s="124"/>
      <c r="O444" s="300"/>
      <c r="P444" s="81"/>
      <c r="R444" s="73" t="str">
        <f t="shared" si="98"/>
        <v/>
      </c>
      <c r="S444" s="73" t="str">
        <f t="shared" si="99"/>
        <v/>
      </c>
      <c r="T444" s="73" t="str">
        <f t="shared" si="100"/>
        <v/>
      </c>
      <c r="AD444" s="73" t="s">
        <v>1422</v>
      </c>
      <c r="AE444" s="73" t="s">
        <v>1423</v>
      </c>
      <c r="AF444" s="73" t="str">
        <f t="shared" si="93"/>
        <v>A679078</v>
      </c>
      <c r="AG444" s="73" t="str">
        <f>VLOOKUP(AF444,AKT!$C$4:$E$324,3,FALSE)</f>
        <v>0942</v>
      </c>
    </row>
    <row r="445" spans="1:33">
      <c r="A445" s="82"/>
      <c r="B445" s="77" t="str">
        <f t="shared" si="94"/>
        <v/>
      </c>
      <c r="C445" s="82"/>
      <c r="D445" s="77" t="str">
        <f t="shared" si="95"/>
        <v/>
      </c>
      <c r="E445" s="114"/>
      <c r="F445" s="77" t="str">
        <f t="shared" si="96"/>
        <v/>
      </c>
      <c r="G445" s="77" t="str">
        <f t="shared" si="97"/>
        <v/>
      </c>
      <c r="H445" s="113"/>
      <c r="I445" s="113"/>
      <c r="J445" s="113"/>
      <c r="K445" s="124"/>
      <c r="L445" s="123"/>
      <c r="M445" s="123"/>
      <c r="N445" s="124"/>
      <c r="O445" s="300"/>
      <c r="P445" s="81"/>
      <c r="R445" s="73" t="str">
        <f t="shared" si="98"/>
        <v/>
      </c>
      <c r="S445" s="73" t="str">
        <f t="shared" si="99"/>
        <v/>
      </c>
      <c r="T445" s="73" t="str">
        <f t="shared" si="100"/>
        <v/>
      </c>
      <c r="AD445" s="73" t="s">
        <v>1424</v>
      </c>
      <c r="AE445" s="73" t="s">
        <v>1425</v>
      </c>
      <c r="AF445" s="73" t="str">
        <f t="shared" si="93"/>
        <v>A679078</v>
      </c>
      <c r="AG445" s="73" t="str">
        <f>VLOOKUP(AF445,AKT!$C$4:$E$324,3,FALSE)</f>
        <v>0942</v>
      </c>
    </row>
    <row r="446" spans="1:33">
      <c r="A446" s="82"/>
      <c r="B446" s="77" t="str">
        <f t="shared" si="94"/>
        <v/>
      </c>
      <c r="C446" s="82"/>
      <c r="D446" s="77" t="str">
        <f t="shared" si="95"/>
        <v/>
      </c>
      <c r="E446" s="114"/>
      <c r="F446" s="77" t="str">
        <f t="shared" si="96"/>
        <v/>
      </c>
      <c r="G446" s="77" t="str">
        <f t="shared" si="97"/>
        <v/>
      </c>
      <c r="H446" s="113"/>
      <c r="I446" s="113"/>
      <c r="J446" s="113"/>
      <c r="K446" s="124"/>
      <c r="L446" s="123"/>
      <c r="M446" s="123"/>
      <c r="N446" s="124"/>
      <c r="O446" s="300"/>
      <c r="P446" s="81"/>
      <c r="R446" s="73" t="str">
        <f t="shared" si="98"/>
        <v/>
      </c>
      <c r="S446" s="73" t="str">
        <f t="shared" si="99"/>
        <v/>
      </c>
      <c r="T446" s="73" t="str">
        <f t="shared" si="100"/>
        <v/>
      </c>
      <c r="AD446" s="73" t="s">
        <v>1426</v>
      </c>
      <c r="AE446" s="73" t="s">
        <v>1427</v>
      </c>
      <c r="AF446" s="73" t="str">
        <f t="shared" si="93"/>
        <v>A679078</v>
      </c>
      <c r="AG446" s="73" t="str">
        <f>VLOOKUP(AF446,AKT!$C$4:$E$324,3,FALSE)</f>
        <v>0942</v>
      </c>
    </row>
    <row r="447" spans="1:33">
      <c r="A447" s="82"/>
      <c r="B447" s="77" t="str">
        <f t="shared" si="94"/>
        <v/>
      </c>
      <c r="C447" s="82"/>
      <c r="D447" s="77" t="str">
        <f t="shared" si="95"/>
        <v/>
      </c>
      <c r="E447" s="114"/>
      <c r="F447" s="77" t="str">
        <f t="shared" si="96"/>
        <v/>
      </c>
      <c r="G447" s="77" t="str">
        <f t="shared" si="97"/>
        <v/>
      </c>
      <c r="H447" s="113"/>
      <c r="I447" s="113"/>
      <c r="J447" s="113"/>
      <c r="K447" s="124"/>
      <c r="L447" s="123"/>
      <c r="M447" s="123"/>
      <c r="N447" s="124"/>
      <c r="O447" s="300"/>
      <c r="P447" s="81"/>
      <c r="R447" s="73" t="str">
        <f t="shared" si="98"/>
        <v/>
      </c>
      <c r="S447" s="73" t="str">
        <f t="shared" si="99"/>
        <v/>
      </c>
      <c r="T447" s="73" t="str">
        <f t="shared" si="100"/>
        <v/>
      </c>
      <c r="AD447" s="73" t="s">
        <v>1428</v>
      </c>
      <c r="AE447" s="73" t="s">
        <v>1429</v>
      </c>
      <c r="AF447" s="73" t="str">
        <f t="shared" ref="AF447:AF510" si="101">LEFT(AD447,7)</f>
        <v>A679078</v>
      </c>
      <c r="AG447" s="73" t="str">
        <f>VLOOKUP(AF447,AKT!$C$4:$E$324,3,FALSE)</f>
        <v>0942</v>
      </c>
    </row>
    <row r="448" spans="1:33">
      <c r="A448" s="82"/>
      <c r="B448" s="77" t="str">
        <f t="shared" si="94"/>
        <v/>
      </c>
      <c r="C448" s="82"/>
      <c r="D448" s="77" t="str">
        <f t="shared" si="95"/>
        <v/>
      </c>
      <c r="E448" s="114"/>
      <c r="F448" s="77" t="str">
        <f t="shared" si="96"/>
        <v/>
      </c>
      <c r="G448" s="77" t="str">
        <f t="shared" si="97"/>
        <v/>
      </c>
      <c r="H448" s="113"/>
      <c r="I448" s="113"/>
      <c r="J448" s="113"/>
      <c r="K448" s="124"/>
      <c r="L448" s="123"/>
      <c r="M448" s="123"/>
      <c r="N448" s="124"/>
      <c r="O448" s="300"/>
      <c r="P448" s="81"/>
      <c r="R448" s="73" t="str">
        <f t="shared" si="98"/>
        <v/>
      </c>
      <c r="S448" s="73" t="str">
        <f t="shared" si="99"/>
        <v/>
      </c>
      <c r="T448" s="73" t="str">
        <f t="shared" si="100"/>
        <v/>
      </c>
      <c r="AD448" s="73" t="s">
        <v>1430</v>
      </c>
      <c r="AE448" s="73" t="s">
        <v>1431</v>
      </c>
      <c r="AF448" s="73" t="str">
        <f t="shared" si="101"/>
        <v>A679078</v>
      </c>
      <c r="AG448" s="73" t="str">
        <f>VLOOKUP(AF448,AKT!$C$4:$E$324,3,FALSE)</f>
        <v>0942</v>
      </c>
    </row>
    <row r="449" spans="1:33">
      <c r="A449" s="82"/>
      <c r="B449" s="77" t="str">
        <f t="shared" si="94"/>
        <v/>
      </c>
      <c r="C449" s="82"/>
      <c r="D449" s="77" t="str">
        <f t="shared" si="95"/>
        <v/>
      </c>
      <c r="E449" s="114"/>
      <c r="F449" s="77" t="str">
        <f t="shared" si="96"/>
        <v/>
      </c>
      <c r="G449" s="77" t="str">
        <f t="shared" si="97"/>
        <v/>
      </c>
      <c r="H449" s="113"/>
      <c r="I449" s="113"/>
      <c r="J449" s="113"/>
      <c r="K449" s="124"/>
      <c r="L449" s="123"/>
      <c r="M449" s="123"/>
      <c r="N449" s="124"/>
      <c r="O449" s="300"/>
      <c r="P449" s="81"/>
      <c r="R449" s="73" t="str">
        <f t="shared" si="98"/>
        <v/>
      </c>
      <c r="S449" s="73" t="str">
        <f t="shared" si="99"/>
        <v/>
      </c>
      <c r="T449" s="73" t="str">
        <f t="shared" si="100"/>
        <v/>
      </c>
      <c r="AD449" s="73" t="s">
        <v>1432</v>
      </c>
      <c r="AE449" s="73" t="s">
        <v>1433</v>
      </c>
      <c r="AF449" s="73" t="str">
        <f t="shared" si="101"/>
        <v>A679078</v>
      </c>
      <c r="AG449" s="73" t="str">
        <f>VLOOKUP(AF449,AKT!$C$4:$E$324,3,FALSE)</f>
        <v>0942</v>
      </c>
    </row>
    <row r="450" spans="1:33">
      <c r="A450" s="82"/>
      <c r="B450" s="77" t="str">
        <f t="shared" si="94"/>
        <v/>
      </c>
      <c r="C450" s="82"/>
      <c r="D450" s="77" t="str">
        <f t="shared" si="95"/>
        <v/>
      </c>
      <c r="E450" s="114"/>
      <c r="F450" s="77" t="str">
        <f t="shared" si="96"/>
        <v/>
      </c>
      <c r="G450" s="77" t="str">
        <f t="shared" si="97"/>
        <v/>
      </c>
      <c r="H450" s="113"/>
      <c r="I450" s="113"/>
      <c r="J450" s="113"/>
      <c r="K450" s="124"/>
      <c r="L450" s="123"/>
      <c r="M450" s="123"/>
      <c r="N450" s="124"/>
      <c r="O450" s="300"/>
      <c r="P450" s="81"/>
      <c r="R450" s="73" t="str">
        <f t="shared" si="98"/>
        <v/>
      </c>
      <c r="S450" s="73" t="str">
        <f t="shared" si="99"/>
        <v/>
      </c>
      <c r="T450" s="73" t="str">
        <f t="shared" si="100"/>
        <v/>
      </c>
      <c r="AD450" s="73" t="s">
        <v>1434</v>
      </c>
      <c r="AE450" s="73" t="s">
        <v>1435</v>
      </c>
      <c r="AF450" s="73" t="str">
        <f t="shared" si="101"/>
        <v>A679078</v>
      </c>
      <c r="AG450" s="73" t="str">
        <f>VLOOKUP(AF450,AKT!$C$4:$E$324,3,FALSE)</f>
        <v>0942</v>
      </c>
    </row>
    <row r="451" spans="1:33">
      <c r="A451" s="82"/>
      <c r="B451" s="77" t="str">
        <f t="shared" si="94"/>
        <v/>
      </c>
      <c r="C451" s="82"/>
      <c r="D451" s="77" t="str">
        <f t="shared" si="95"/>
        <v/>
      </c>
      <c r="E451" s="114"/>
      <c r="F451" s="77" t="str">
        <f t="shared" si="96"/>
        <v/>
      </c>
      <c r="G451" s="77" t="str">
        <f t="shared" si="97"/>
        <v/>
      </c>
      <c r="H451" s="113"/>
      <c r="I451" s="113"/>
      <c r="J451" s="113"/>
      <c r="K451" s="124"/>
      <c r="L451" s="123"/>
      <c r="M451" s="123"/>
      <c r="N451" s="124"/>
      <c r="O451" s="300"/>
      <c r="P451" s="81"/>
      <c r="R451" s="73" t="str">
        <f t="shared" si="98"/>
        <v/>
      </c>
      <c r="S451" s="73" t="str">
        <f t="shared" si="99"/>
        <v/>
      </c>
      <c r="T451" s="73" t="str">
        <f t="shared" si="100"/>
        <v/>
      </c>
      <c r="AD451" s="73" t="s">
        <v>1436</v>
      </c>
      <c r="AE451" s="73" t="s">
        <v>1437</v>
      </c>
      <c r="AF451" s="73" t="str">
        <f t="shared" si="101"/>
        <v>A679078</v>
      </c>
      <c r="AG451" s="73" t="str">
        <f>VLOOKUP(AF451,AKT!$C$4:$E$324,3,FALSE)</f>
        <v>0942</v>
      </c>
    </row>
    <row r="452" spans="1:33">
      <c r="A452" s="82"/>
      <c r="B452" s="77" t="str">
        <f t="shared" si="94"/>
        <v/>
      </c>
      <c r="C452" s="82"/>
      <c r="D452" s="77" t="str">
        <f t="shared" si="95"/>
        <v/>
      </c>
      <c r="E452" s="114"/>
      <c r="F452" s="77" t="str">
        <f t="shared" si="96"/>
        <v/>
      </c>
      <c r="G452" s="77" t="str">
        <f t="shared" si="97"/>
        <v/>
      </c>
      <c r="H452" s="113"/>
      <c r="I452" s="113"/>
      <c r="J452" s="113"/>
      <c r="K452" s="124"/>
      <c r="L452" s="123"/>
      <c r="M452" s="123"/>
      <c r="N452" s="124"/>
      <c r="O452" s="300"/>
      <c r="P452" s="81"/>
      <c r="R452" s="73" t="str">
        <f t="shared" si="98"/>
        <v/>
      </c>
      <c r="S452" s="73" t="str">
        <f t="shared" si="99"/>
        <v/>
      </c>
      <c r="T452" s="73" t="str">
        <f t="shared" si="100"/>
        <v/>
      </c>
      <c r="AD452" s="73" t="s">
        <v>1438</v>
      </c>
      <c r="AE452" s="73" t="s">
        <v>1439</v>
      </c>
      <c r="AF452" s="73" t="str">
        <f t="shared" si="101"/>
        <v>A679078</v>
      </c>
      <c r="AG452" s="73" t="str">
        <f>VLOOKUP(AF452,AKT!$C$4:$E$324,3,FALSE)</f>
        <v>0942</v>
      </c>
    </row>
    <row r="453" spans="1:33">
      <c r="A453" s="82"/>
      <c r="B453" s="77" t="str">
        <f t="shared" si="94"/>
        <v/>
      </c>
      <c r="C453" s="82"/>
      <c r="D453" s="77" t="str">
        <f t="shared" si="95"/>
        <v/>
      </c>
      <c r="E453" s="114"/>
      <c r="F453" s="77" t="str">
        <f t="shared" si="96"/>
        <v/>
      </c>
      <c r="G453" s="77" t="str">
        <f t="shared" si="97"/>
        <v/>
      </c>
      <c r="H453" s="113"/>
      <c r="I453" s="113"/>
      <c r="J453" s="113"/>
      <c r="K453" s="124"/>
      <c r="L453" s="123"/>
      <c r="M453" s="123"/>
      <c r="N453" s="124"/>
      <c r="O453" s="300"/>
      <c r="P453" s="81"/>
      <c r="R453" s="73" t="str">
        <f t="shared" si="98"/>
        <v/>
      </c>
      <c r="S453" s="73" t="str">
        <f t="shared" si="99"/>
        <v/>
      </c>
      <c r="T453" s="73" t="str">
        <f t="shared" si="100"/>
        <v/>
      </c>
      <c r="AD453" s="73" t="s">
        <v>1440</v>
      </c>
      <c r="AE453" s="73" t="s">
        <v>1441</v>
      </c>
      <c r="AF453" s="73" t="str">
        <f t="shared" si="101"/>
        <v>A679078</v>
      </c>
      <c r="AG453" s="73" t="str">
        <f>VLOOKUP(AF453,AKT!$C$4:$E$324,3,FALSE)</f>
        <v>0942</v>
      </c>
    </row>
    <row r="454" spans="1:33">
      <c r="A454" s="82"/>
      <c r="B454" s="77" t="str">
        <f t="shared" si="94"/>
        <v/>
      </c>
      <c r="C454" s="82"/>
      <c r="D454" s="77" t="str">
        <f t="shared" si="95"/>
        <v/>
      </c>
      <c r="E454" s="114"/>
      <c r="F454" s="77" t="str">
        <f t="shared" si="96"/>
        <v/>
      </c>
      <c r="G454" s="77" t="str">
        <f t="shared" si="97"/>
        <v/>
      </c>
      <c r="H454" s="113"/>
      <c r="I454" s="113"/>
      <c r="J454" s="113"/>
      <c r="K454" s="124"/>
      <c r="L454" s="123"/>
      <c r="M454" s="123"/>
      <c r="N454" s="124"/>
      <c r="O454" s="300"/>
      <c r="P454" s="81"/>
      <c r="R454" s="73" t="str">
        <f t="shared" si="98"/>
        <v/>
      </c>
      <c r="S454" s="73" t="str">
        <f t="shared" si="99"/>
        <v/>
      </c>
      <c r="T454" s="73" t="str">
        <f t="shared" si="100"/>
        <v/>
      </c>
      <c r="AD454" s="73" t="s">
        <v>1442</v>
      </c>
      <c r="AE454" s="73" t="s">
        <v>1443</v>
      </c>
      <c r="AF454" s="73" t="str">
        <f t="shared" si="101"/>
        <v>A679078</v>
      </c>
      <c r="AG454" s="73" t="str">
        <f>VLOOKUP(AF454,AKT!$C$4:$E$324,3,FALSE)</f>
        <v>0942</v>
      </c>
    </row>
    <row r="455" spans="1:33">
      <c r="A455" s="82"/>
      <c r="B455" s="77" t="str">
        <f t="shared" si="94"/>
        <v/>
      </c>
      <c r="C455" s="82"/>
      <c r="D455" s="77" t="str">
        <f t="shared" si="95"/>
        <v/>
      </c>
      <c r="E455" s="114"/>
      <c r="F455" s="77" t="str">
        <f t="shared" si="96"/>
        <v/>
      </c>
      <c r="G455" s="77" t="str">
        <f t="shared" si="97"/>
        <v/>
      </c>
      <c r="H455" s="113"/>
      <c r="I455" s="113"/>
      <c r="J455" s="113"/>
      <c r="K455" s="124"/>
      <c r="L455" s="123"/>
      <c r="M455" s="123"/>
      <c r="N455" s="124"/>
      <c r="O455" s="300"/>
      <c r="P455" s="81"/>
      <c r="R455" s="73" t="str">
        <f t="shared" si="98"/>
        <v/>
      </c>
      <c r="S455" s="73" t="str">
        <f t="shared" si="99"/>
        <v/>
      </c>
      <c r="T455" s="73" t="str">
        <f t="shared" si="100"/>
        <v/>
      </c>
      <c r="AD455" s="73" t="s">
        <v>1444</v>
      </c>
      <c r="AE455" s="73" t="s">
        <v>1445</v>
      </c>
      <c r="AF455" s="73" t="str">
        <f t="shared" si="101"/>
        <v>A679078</v>
      </c>
      <c r="AG455" s="73" t="str">
        <f>VLOOKUP(AF455,AKT!$C$4:$E$324,3,FALSE)</f>
        <v>0942</v>
      </c>
    </row>
    <row r="456" spans="1:33">
      <c r="A456" s="82"/>
      <c r="B456" s="77" t="str">
        <f t="shared" si="94"/>
        <v/>
      </c>
      <c r="C456" s="82"/>
      <c r="D456" s="77" t="str">
        <f t="shared" si="95"/>
        <v/>
      </c>
      <c r="E456" s="114"/>
      <c r="F456" s="77" t="str">
        <f t="shared" si="96"/>
        <v/>
      </c>
      <c r="G456" s="77" t="str">
        <f t="shared" si="97"/>
        <v/>
      </c>
      <c r="H456" s="113"/>
      <c r="I456" s="113"/>
      <c r="J456" s="113"/>
      <c r="K456" s="124"/>
      <c r="L456" s="123"/>
      <c r="M456" s="123"/>
      <c r="N456" s="124"/>
      <c r="O456" s="300"/>
      <c r="P456" s="81"/>
      <c r="R456" s="73" t="str">
        <f t="shared" si="98"/>
        <v/>
      </c>
      <c r="S456" s="73" t="str">
        <f t="shared" si="99"/>
        <v/>
      </c>
      <c r="T456" s="73" t="str">
        <f t="shared" si="100"/>
        <v/>
      </c>
      <c r="AD456" s="73" t="s">
        <v>1446</v>
      </c>
      <c r="AE456" s="73" t="s">
        <v>1447</v>
      </c>
      <c r="AF456" s="73" t="str">
        <f t="shared" si="101"/>
        <v>A679078</v>
      </c>
      <c r="AG456" s="73" t="str">
        <f>VLOOKUP(AF456,AKT!$C$4:$E$324,3,FALSE)</f>
        <v>0942</v>
      </c>
    </row>
    <row r="457" spans="1:33">
      <c r="A457" s="82"/>
      <c r="B457" s="77" t="str">
        <f t="shared" si="94"/>
        <v/>
      </c>
      <c r="C457" s="82"/>
      <c r="D457" s="77" t="str">
        <f t="shared" si="95"/>
        <v/>
      </c>
      <c r="E457" s="114"/>
      <c r="F457" s="77" t="str">
        <f t="shared" si="96"/>
        <v/>
      </c>
      <c r="G457" s="77" t="str">
        <f t="shared" si="97"/>
        <v/>
      </c>
      <c r="H457" s="113"/>
      <c r="I457" s="113"/>
      <c r="J457" s="113"/>
      <c r="K457" s="124"/>
      <c r="L457" s="123"/>
      <c r="M457" s="123"/>
      <c r="N457" s="124"/>
      <c r="O457" s="300"/>
      <c r="P457" s="81"/>
      <c r="R457" s="73" t="str">
        <f t="shared" si="98"/>
        <v/>
      </c>
      <c r="S457" s="73" t="str">
        <f t="shared" si="99"/>
        <v/>
      </c>
      <c r="T457" s="73" t="str">
        <f t="shared" si="100"/>
        <v/>
      </c>
      <c r="AD457" s="73" t="s">
        <v>1448</v>
      </c>
      <c r="AE457" s="73" t="s">
        <v>1449</v>
      </c>
      <c r="AF457" s="73" t="str">
        <f t="shared" si="101"/>
        <v>A679078</v>
      </c>
      <c r="AG457" s="73" t="str">
        <f>VLOOKUP(AF457,AKT!$C$4:$E$324,3,FALSE)</f>
        <v>0942</v>
      </c>
    </row>
    <row r="458" spans="1:33">
      <c r="A458" s="82"/>
      <c r="B458" s="77" t="str">
        <f t="shared" si="94"/>
        <v/>
      </c>
      <c r="C458" s="82"/>
      <c r="D458" s="77" t="str">
        <f t="shared" si="95"/>
        <v/>
      </c>
      <c r="E458" s="114"/>
      <c r="F458" s="77" t="str">
        <f t="shared" si="96"/>
        <v/>
      </c>
      <c r="G458" s="77" t="str">
        <f t="shared" si="97"/>
        <v/>
      </c>
      <c r="H458" s="113"/>
      <c r="I458" s="113"/>
      <c r="J458" s="113"/>
      <c r="K458" s="124"/>
      <c r="L458" s="123"/>
      <c r="M458" s="123"/>
      <c r="N458" s="124"/>
      <c r="O458" s="124"/>
      <c r="P458" s="81"/>
      <c r="R458" s="73" t="str">
        <f t="shared" si="98"/>
        <v/>
      </c>
      <c r="S458" s="73" t="str">
        <f t="shared" si="99"/>
        <v/>
      </c>
      <c r="T458" s="73" t="str">
        <f t="shared" si="100"/>
        <v/>
      </c>
      <c r="AD458" s="73" t="s">
        <v>1450</v>
      </c>
      <c r="AE458" s="73" t="s">
        <v>1451</v>
      </c>
      <c r="AF458" s="73" t="str">
        <f t="shared" si="101"/>
        <v>A679078</v>
      </c>
      <c r="AG458" s="73" t="str">
        <f>VLOOKUP(AF458,AKT!$C$4:$E$324,3,FALSE)</f>
        <v>0942</v>
      </c>
    </row>
    <row r="459" spans="1:33">
      <c r="A459" s="82"/>
      <c r="B459" s="77" t="str">
        <f t="shared" si="94"/>
        <v/>
      </c>
      <c r="C459" s="82"/>
      <c r="D459" s="77" t="str">
        <f t="shared" si="95"/>
        <v/>
      </c>
      <c r="E459" s="114"/>
      <c r="F459" s="77" t="str">
        <f t="shared" si="96"/>
        <v/>
      </c>
      <c r="G459" s="77" t="str">
        <f t="shared" si="97"/>
        <v/>
      </c>
      <c r="H459" s="113"/>
      <c r="I459" s="113"/>
      <c r="J459" s="113"/>
      <c r="K459" s="124"/>
      <c r="L459" s="123"/>
      <c r="M459" s="123"/>
      <c r="N459" s="124"/>
      <c r="O459" s="124"/>
      <c r="P459" s="81"/>
      <c r="R459" s="73" t="str">
        <f t="shared" si="98"/>
        <v/>
      </c>
      <c r="S459" s="73" t="str">
        <f t="shared" si="99"/>
        <v/>
      </c>
      <c r="T459" s="73" t="str">
        <f t="shared" si="100"/>
        <v/>
      </c>
      <c r="AD459" s="73" t="s">
        <v>1452</v>
      </c>
      <c r="AE459" s="73" t="s">
        <v>1453</v>
      </c>
      <c r="AF459" s="73" t="str">
        <f t="shared" si="101"/>
        <v>A679078</v>
      </c>
      <c r="AG459" s="73" t="str">
        <f>VLOOKUP(AF459,AKT!$C$4:$E$324,3,FALSE)</f>
        <v>0942</v>
      </c>
    </row>
    <row r="460" spans="1:33">
      <c r="A460" s="82"/>
      <c r="B460" s="77" t="str">
        <f t="shared" si="94"/>
        <v/>
      </c>
      <c r="C460" s="82"/>
      <c r="D460" s="77" t="str">
        <f t="shared" si="95"/>
        <v/>
      </c>
      <c r="E460" s="114"/>
      <c r="F460" s="77" t="str">
        <f t="shared" si="96"/>
        <v/>
      </c>
      <c r="G460" s="77" t="str">
        <f t="shared" si="97"/>
        <v/>
      </c>
      <c r="H460" s="113"/>
      <c r="I460" s="113"/>
      <c r="J460" s="113"/>
      <c r="K460" s="124"/>
      <c r="L460" s="123"/>
      <c r="M460" s="123"/>
      <c r="N460" s="124"/>
      <c r="O460" s="124"/>
      <c r="P460" s="81"/>
      <c r="R460" s="73" t="str">
        <f t="shared" si="98"/>
        <v/>
      </c>
      <c r="S460" s="73" t="str">
        <f t="shared" si="99"/>
        <v/>
      </c>
      <c r="T460" s="73" t="str">
        <f t="shared" si="100"/>
        <v/>
      </c>
      <c r="AD460" s="73" t="s">
        <v>1454</v>
      </c>
      <c r="AE460" s="73" t="s">
        <v>1455</v>
      </c>
      <c r="AF460" s="73" t="str">
        <f t="shared" si="101"/>
        <v>A679078</v>
      </c>
      <c r="AG460" s="73" t="str">
        <f>VLOOKUP(AF460,AKT!$C$4:$E$324,3,FALSE)</f>
        <v>0942</v>
      </c>
    </row>
    <row r="461" spans="1:33">
      <c r="A461" s="82"/>
      <c r="B461" s="77" t="str">
        <f t="shared" si="94"/>
        <v/>
      </c>
      <c r="C461" s="82"/>
      <c r="D461" s="77" t="str">
        <f t="shared" si="95"/>
        <v/>
      </c>
      <c r="E461" s="114"/>
      <c r="F461" s="77" t="str">
        <f t="shared" si="96"/>
        <v/>
      </c>
      <c r="G461" s="77" t="str">
        <f t="shared" si="97"/>
        <v/>
      </c>
      <c r="H461" s="113"/>
      <c r="I461" s="113"/>
      <c r="J461" s="113"/>
      <c r="K461" s="124"/>
      <c r="L461" s="123"/>
      <c r="M461" s="123"/>
      <c r="N461" s="124"/>
      <c r="O461" s="124"/>
      <c r="P461" s="81"/>
      <c r="R461" s="73" t="str">
        <f t="shared" si="98"/>
        <v/>
      </c>
      <c r="S461" s="73" t="str">
        <f t="shared" si="99"/>
        <v/>
      </c>
      <c r="T461" s="73" t="str">
        <f t="shared" si="100"/>
        <v/>
      </c>
      <c r="AD461" s="73" t="s">
        <v>1456</v>
      </c>
      <c r="AE461" s="73" t="s">
        <v>1457</v>
      </c>
      <c r="AF461" s="73" t="str">
        <f t="shared" si="101"/>
        <v>A679078</v>
      </c>
      <c r="AG461" s="73" t="str">
        <f>VLOOKUP(AF461,AKT!$C$4:$E$324,3,FALSE)</f>
        <v>0942</v>
      </c>
    </row>
    <row r="462" spans="1:33">
      <c r="A462" s="82"/>
      <c r="B462" s="77" t="str">
        <f t="shared" si="94"/>
        <v/>
      </c>
      <c r="C462" s="82"/>
      <c r="D462" s="77" t="str">
        <f t="shared" si="95"/>
        <v/>
      </c>
      <c r="E462" s="114"/>
      <c r="F462" s="77" t="str">
        <f t="shared" si="96"/>
        <v/>
      </c>
      <c r="G462" s="77" t="str">
        <f t="shared" si="97"/>
        <v/>
      </c>
      <c r="H462" s="113"/>
      <c r="I462" s="113"/>
      <c r="J462" s="113"/>
      <c r="K462" s="124"/>
      <c r="L462" s="123"/>
      <c r="M462" s="123"/>
      <c r="N462" s="124"/>
      <c r="O462" s="124"/>
      <c r="P462" s="81"/>
      <c r="R462" s="73" t="str">
        <f t="shared" si="98"/>
        <v/>
      </c>
      <c r="S462" s="73" t="str">
        <f t="shared" si="99"/>
        <v/>
      </c>
      <c r="T462" s="73" t="str">
        <f t="shared" si="100"/>
        <v/>
      </c>
      <c r="AD462" s="73" t="s">
        <v>1458</v>
      </c>
      <c r="AE462" s="73" t="s">
        <v>1459</v>
      </c>
      <c r="AF462" s="73" t="str">
        <f t="shared" si="101"/>
        <v>A679078</v>
      </c>
      <c r="AG462" s="73" t="str">
        <f>VLOOKUP(AF462,AKT!$C$4:$E$324,3,FALSE)</f>
        <v>0942</v>
      </c>
    </row>
    <row r="463" spans="1:33">
      <c r="A463" s="82"/>
      <c r="B463" s="77" t="str">
        <f t="shared" si="94"/>
        <v/>
      </c>
      <c r="C463" s="82"/>
      <c r="D463" s="77" t="str">
        <f t="shared" si="95"/>
        <v/>
      </c>
      <c r="E463" s="114"/>
      <c r="F463" s="77" t="str">
        <f t="shared" si="96"/>
        <v/>
      </c>
      <c r="G463" s="77" t="str">
        <f t="shared" si="97"/>
        <v/>
      </c>
      <c r="H463" s="113"/>
      <c r="I463" s="113"/>
      <c r="J463" s="113"/>
      <c r="K463" s="124"/>
      <c r="L463" s="123"/>
      <c r="M463" s="123"/>
      <c r="N463" s="124"/>
      <c r="O463" s="124"/>
      <c r="P463" s="81"/>
      <c r="R463" s="73" t="str">
        <f t="shared" si="98"/>
        <v/>
      </c>
      <c r="S463" s="73" t="str">
        <f t="shared" si="99"/>
        <v/>
      </c>
      <c r="T463" s="73" t="str">
        <f t="shared" si="100"/>
        <v/>
      </c>
      <c r="AD463" s="73" t="s">
        <v>1460</v>
      </c>
      <c r="AE463" s="73" t="s">
        <v>1461</v>
      </c>
      <c r="AF463" s="73" t="str">
        <f t="shared" si="101"/>
        <v>A679078</v>
      </c>
      <c r="AG463" s="73" t="str">
        <f>VLOOKUP(AF463,AKT!$C$4:$E$324,3,FALSE)</f>
        <v>0942</v>
      </c>
    </row>
    <row r="464" spans="1:33">
      <c r="A464" s="82"/>
      <c r="B464" s="77" t="str">
        <f t="shared" si="94"/>
        <v/>
      </c>
      <c r="C464" s="82"/>
      <c r="D464" s="77" t="str">
        <f t="shared" si="95"/>
        <v/>
      </c>
      <c r="E464" s="114"/>
      <c r="F464" s="77" t="str">
        <f t="shared" si="96"/>
        <v/>
      </c>
      <c r="G464" s="77" t="str">
        <f t="shared" si="97"/>
        <v/>
      </c>
      <c r="H464" s="113"/>
      <c r="I464" s="113"/>
      <c r="J464" s="113"/>
      <c r="K464" s="124"/>
      <c r="L464" s="123"/>
      <c r="M464" s="123"/>
      <c r="N464" s="124"/>
      <c r="O464" s="124"/>
      <c r="P464" s="81"/>
      <c r="R464" s="73" t="str">
        <f t="shared" si="98"/>
        <v/>
      </c>
      <c r="S464" s="73" t="str">
        <f t="shared" si="99"/>
        <v/>
      </c>
      <c r="T464" s="73" t="str">
        <f t="shared" si="100"/>
        <v/>
      </c>
      <c r="AD464" s="73" t="s">
        <v>1462</v>
      </c>
      <c r="AE464" s="73" t="s">
        <v>1463</v>
      </c>
      <c r="AF464" s="73" t="str">
        <f t="shared" si="101"/>
        <v>A679078</v>
      </c>
      <c r="AG464" s="73" t="str">
        <f>VLOOKUP(AF464,AKT!$C$4:$E$324,3,FALSE)</f>
        <v>0942</v>
      </c>
    </row>
    <row r="465" spans="1:33">
      <c r="A465" s="82"/>
      <c r="B465" s="77" t="str">
        <f t="shared" si="94"/>
        <v/>
      </c>
      <c r="C465" s="82"/>
      <c r="D465" s="77" t="str">
        <f t="shared" si="95"/>
        <v/>
      </c>
      <c r="E465" s="114"/>
      <c r="F465" s="77" t="str">
        <f t="shared" si="96"/>
        <v/>
      </c>
      <c r="G465" s="77" t="str">
        <f t="shared" si="97"/>
        <v/>
      </c>
      <c r="H465" s="113"/>
      <c r="I465" s="113"/>
      <c r="J465" s="113"/>
      <c r="K465" s="124"/>
      <c r="L465" s="123"/>
      <c r="M465" s="123"/>
      <c r="N465" s="124"/>
      <c r="O465" s="124"/>
      <c r="P465" s="81"/>
      <c r="R465" s="73" t="str">
        <f t="shared" si="98"/>
        <v/>
      </c>
      <c r="S465" s="73" t="str">
        <f t="shared" si="99"/>
        <v/>
      </c>
      <c r="T465" s="73" t="str">
        <f t="shared" si="100"/>
        <v/>
      </c>
      <c r="AD465" s="73" t="s">
        <v>1464</v>
      </c>
      <c r="AE465" s="73" t="s">
        <v>1465</v>
      </c>
      <c r="AF465" s="73" t="str">
        <f t="shared" si="101"/>
        <v>A679078</v>
      </c>
      <c r="AG465" s="73" t="str">
        <f>VLOOKUP(AF465,AKT!$C$4:$E$324,3,FALSE)</f>
        <v>0942</v>
      </c>
    </row>
    <row r="466" spans="1:33">
      <c r="A466" s="82"/>
      <c r="B466" s="77" t="str">
        <f t="shared" si="94"/>
        <v/>
      </c>
      <c r="C466" s="82"/>
      <c r="D466" s="77" t="str">
        <f t="shared" si="95"/>
        <v/>
      </c>
      <c r="E466" s="114"/>
      <c r="F466" s="77" t="str">
        <f t="shared" si="96"/>
        <v/>
      </c>
      <c r="G466" s="77" t="str">
        <f t="shared" si="97"/>
        <v/>
      </c>
      <c r="H466" s="113"/>
      <c r="I466" s="113"/>
      <c r="J466" s="113"/>
      <c r="K466" s="124"/>
      <c r="L466" s="123"/>
      <c r="M466" s="123"/>
      <c r="N466" s="124"/>
      <c r="O466" s="124"/>
      <c r="P466" s="81"/>
      <c r="R466" s="73" t="str">
        <f t="shared" si="98"/>
        <v/>
      </c>
      <c r="S466" s="73" t="str">
        <f t="shared" si="99"/>
        <v/>
      </c>
      <c r="T466" s="73" t="str">
        <f t="shared" si="100"/>
        <v/>
      </c>
      <c r="AD466" s="73" t="s">
        <v>1466</v>
      </c>
      <c r="AE466" s="73" t="s">
        <v>1467</v>
      </c>
      <c r="AF466" s="73" t="str">
        <f t="shared" si="101"/>
        <v>A679078</v>
      </c>
      <c r="AG466" s="73" t="str">
        <f>VLOOKUP(AF466,AKT!$C$4:$E$324,3,FALSE)</f>
        <v>0942</v>
      </c>
    </row>
    <row r="467" spans="1:33">
      <c r="A467" s="82"/>
      <c r="B467" s="77" t="str">
        <f t="shared" si="94"/>
        <v/>
      </c>
      <c r="C467" s="82"/>
      <c r="D467" s="77" t="str">
        <f t="shared" si="95"/>
        <v/>
      </c>
      <c r="E467" s="114"/>
      <c r="F467" s="77" t="str">
        <f t="shared" si="96"/>
        <v/>
      </c>
      <c r="G467" s="77" t="str">
        <f t="shared" si="97"/>
        <v/>
      </c>
      <c r="H467" s="113"/>
      <c r="I467" s="113"/>
      <c r="J467" s="113"/>
      <c r="K467" s="124"/>
      <c r="L467" s="123"/>
      <c r="M467" s="123"/>
      <c r="N467" s="124"/>
      <c r="O467" s="124"/>
      <c r="P467" s="81"/>
      <c r="R467" s="73" t="str">
        <f t="shared" si="98"/>
        <v/>
      </c>
      <c r="S467" s="73" t="str">
        <f t="shared" si="99"/>
        <v/>
      </c>
      <c r="T467" s="73" t="str">
        <f t="shared" si="100"/>
        <v/>
      </c>
      <c r="AD467" s="73" t="s">
        <v>1468</v>
      </c>
      <c r="AE467" s="73" t="s">
        <v>1469</v>
      </c>
      <c r="AF467" s="73" t="str">
        <f t="shared" si="101"/>
        <v>A679078</v>
      </c>
      <c r="AG467" s="73" t="str">
        <f>VLOOKUP(AF467,AKT!$C$4:$E$324,3,FALSE)</f>
        <v>0942</v>
      </c>
    </row>
    <row r="468" spans="1:33">
      <c r="A468" s="82"/>
      <c r="B468" s="77" t="str">
        <f t="shared" si="94"/>
        <v/>
      </c>
      <c r="C468" s="82"/>
      <c r="D468" s="77" t="str">
        <f t="shared" si="95"/>
        <v/>
      </c>
      <c r="E468" s="114"/>
      <c r="F468" s="77" t="str">
        <f t="shared" si="96"/>
        <v/>
      </c>
      <c r="G468" s="77" t="str">
        <f t="shared" si="97"/>
        <v/>
      </c>
      <c r="H468" s="113"/>
      <c r="I468" s="113"/>
      <c r="J468" s="113"/>
      <c r="K468" s="124"/>
      <c r="L468" s="123"/>
      <c r="M468" s="123"/>
      <c r="N468" s="124"/>
      <c r="O468" s="124"/>
      <c r="P468" s="81"/>
      <c r="R468" s="73" t="str">
        <f t="shared" si="98"/>
        <v/>
      </c>
      <c r="S468" s="73" t="str">
        <f t="shared" si="99"/>
        <v/>
      </c>
      <c r="T468" s="73" t="str">
        <f t="shared" si="100"/>
        <v/>
      </c>
      <c r="AD468" s="73" t="s">
        <v>1470</v>
      </c>
      <c r="AE468" s="73" t="s">
        <v>1471</v>
      </c>
      <c r="AF468" s="73" t="str">
        <f t="shared" si="101"/>
        <v>A679078</v>
      </c>
      <c r="AG468" s="73" t="str">
        <f>VLOOKUP(AF468,AKT!$C$4:$E$324,3,FALSE)</f>
        <v>0942</v>
      </c>
    </row>
    <row r="469" spans="1:33">
      <c r="A469" s="82"/>
      <c r="B469" s="77" t="str">
        <f t="shared" si="94"/>
        <v/>
      </c>
      <c r="C469" s="82"/>
      <c r="D469" s="77" t="str">
        <f t="shared" si="95"/>
        <v/>
      </c>
      <c r="E469" s="114"/>
      <c r="F469" s="77" t="str">
        <f t="shared" si="96"/>
        <v/>
      </c>
      <c r="G469" s="77" t="str">
        <f t="shared" si="97"/>
        <v/>
      </c>
      <c r="H469" s="113"/>
      <c r="I469" s="113"/>
      <c r="J469" s="113"/>
      <c r="K469" s="124"/>
      <c r="L469" s="123"/>
      <c r="M469" s="123"/>
      <c r="N469" s="124"/>
      <c r="O469" s="124"/>
      <c r="P469" s="81"/>
      <c r="R469" s="73" t="str">
        <f t="shared" si="98"/>
        <v/>
      </c>
      <c r="S469" s="73" t="str">
        <f t="shared" si="99"/>
        <v/>
      </c>
      <c r="T469" s="73" t="str">
        <f t="shared" si="100"/>
        <v/>
      </c>
      <c r="AD469" s="73" t="s">
        <v>1472</v>
      </c>
      <c r="AE469" s="73" t="s">
        <v>1473</v>
      </c>
      <c r="AF469" s="73" t="str">
        <f t="shared" si="101"/>
        <v>A679078</v>
      </c>
      <c r="AG469" s="73" t="str">
        <f>VLOOKUP(AF469,AKT!$C$4:$E$324,3,FALSE)</f>
        <v>0942</v>
      </c>
    </row>
    <row r="470" spans="1:33">
      <c r="A470" s="82"/>
      <c r="B470" s="77" t="str">
        <f t="shared" si="94"/>
        <v/>
      </c>
      <c r="C470" s="82"/>
      <c r="D470" s="77" t="str">
        <f t="shared" si="95"/>
        <v/>
      </c>
      <c r="E470" s="114"/>
      <c r="F470" s="77" t="str">
        <f t="shared" si="96"/>
        <v/>
      </c>
      <c r="G470" s="77" t="str">
        <f t="shared" si="97"/>
        <v/>
      </c>
      <c r="H470" s="113"/>
      <c r="I470" s="113"/>
      <c r="J470" s="113"/>
      <c r="K470" s="124"/>
      <c r="L470" s="123"/>
      <c r="M470" s="123"/>
      <c r="N470" s="124"/>
      <c r="O470" s="124"/>
      <c r="P470" s="81"/>
      <c r="R470" s="73" t="str">
        <f t="shared" si="98"/>
        <v/>
      </c>
      <c r="S470" s="73" t="str">
        <f t="shared" si="99"/>
        <v/>
      </c>
      <c r="T470" s="73" t="str">
        <f t="shared" si="100"/>
        <v/>
      </c>
      <c r="AD470" s="73" t="s">
        <v>1474</v>
      </c>
      <c r="AE470" s="73" t="s">
        <v>1475</v>
      </c>
      <c r="AF470" s="73" t="str">
        <f t="shared" si="101"/>
        <v>A679078</v>
      </c>
      <c r="AG470" s="73" t="str">
        <f>VLOOKUP(AF470,AKT!$C$4:$E$324,3,FALSE)</f>
        <v>0942</v>
      </c>
    </row>
    <row r="471" spans="1:33">
      <c r="A471" s="82"/>
      <c r="B471" s="77" t="str">
        <f t="shared" si="94"/>
        <v/>
      </c>
      <c r="C471" s="82"/>
      <c r="D471" s="77" t="str">
        <f t="shared" si="95"/>
        <v/>
      </c>
      <c r="E471" s="114"/>
      <c r="F471" s="77" t="str">
        <f t="shared" si="96"/>
        <v/>
      </c>
      <c r="G471" s="77" t="str">
        <f t="shared" si="97"/>
        <v/>
      </c>
      <c r="H471" s="113"/>
      <c r="I471" s="113"/>
      <c r="J471" s="113"/>
      <c r="K471" s="124"/>
      <c r="L471" s="123"/>
      <c r="M471" s="123"/>
      <c r="N471" s="124"/>
      <c r="O471" s="124"/>
      <c r="P471" s="81"/>
      <c r="R471" s="73" t="str">
        <f t="shared" si="98"/>
        <v/>
      </c>
      <c r="S471" s="73" t="str">
        <f t="shared" si="99"/>
        <v/>
      </c>
      <c r="T471" s="73" t="str">
        <f t="shared" si="100"/>
        <v/>
      </c>
      <c r="AD471" s="73" t="s">
        <v>1476</v>
      </c>
      <c r="AE471" s="73" t="s">
        <v>1477</v>
      </c>
      <c r="AF471" s="73" t="str">
        <f t="shared" si="101"/>
        <v>A679078</v>
      </c>
      <c r="AG471" s="73" t="str">
        <f>VLOOKUP(AF471,AKT!$C$4:$E$324,3,FALSE)</f>
        <v>0942</v>
      </c>
    </row>
    <row r="472" spans="1:33">
      <c r="A472" s="82"/>
      <c r="B472" s="77" t="str">
        <f t="shared" si="94"/>
        <v/>
      </c>
      <c r="C472" s="82"/>
      <c r="D472" s="77" t="str">
        <f t="shared" si="95"/>
        <v/>
      </c>
      <c r="E472" s="114"/>
      <c r="F472" s="77" t="str">
        <f t="shared" si="96"/>
        <v/>
      </c>
      <c r="G472" s="77" t="str">
        <f t="shared" si="97"/>
        <v/>
      </c>
      <c r="H472" s="113"/>
      <c r="I472" s="113"/>
      <c r="J472" s="113"/>
      <c r="K472" s="124"/>
      <c r="L472" s="123"/>
      <c r="M472" s="123"/>
      <c r="N472" s="124"/>
      <c r="O472" s="124"/>
      <c r="P472" s="81"/>
      <c r="R472" s="73" t="str">
        <f t="shared" si="98"/>
        <v/>
      </c>
      <c r="S472" s="73" t="str">
        <f t="shared" si="99"/>
        <v/>
      </c>
      <c r="T472" s="73" t="str">
        <f t="shared" si="100"/>
        <v/>
      </c>
      <c r="AD472" s="73" t="s">
        <v>1478</v>
      </c>
      <c r="AE472" s="73" t="s">
        <v>1479</v>
      </c>
      <c r="AF472" s="73" t="str">
        <f t="shared" si="101"/>
        <v>A679078</v>
      </c>
      <c r="AG472" s="73" t="str">
        <f>VLOOKUP(AF472,AKT!$C$4:$E$324,3,FALSE)</f>
        <v>0942</v>
      </c>
    </row>
    <row r="473" spans="1:33">
      <c r="A473" s="82"/>
      <c r="B473" s="77" t="str">
        <f t="shared" si="94"/>
        <v/>
      </c>
      <c r="C473" s="82"/>
      <c r="D473" s="77" t="str">
        <f t="shared" si="95"/>
        <v/>
      </c>
      <c r="E473" s="114"/>
      <c r="F473" s="77" t="str">
        <f t="shared" si="96"/>
        <v/>
      </c>
      <c r="G473" s="77" t="str">
        <f t="shared" si="97"/>
        <v/>
      </c>
      <c r="H473" s="113"/>
      <c r="I473" s="113"/>
      <c r="J473" s="113"/>
      <c r="K473" s="124"/>
      <c r="L473" s="123"/>
      <c r="M473" s="123"/>
      <c r="N473" s="124"/>
      <c r="O473" s="124"/>
      <c r="P473" s="81"/>
      <c r="R473" s="73" t="str">
        <f t="shared" si="98"/>
        <v/>
      </c>
      <c r="S473" s="73" t="str">
        <f t="shared" si="99"/>
        <v/>
      </c>
      <c r="T473" s="73" t="str">
        <f t="shared" si="100"/>
        <v/>
      </c>
      <c r="AD473" s="73" t="s">
        <v>1480</v>
      </c>
      <c r="AE473" s="73" t="s">
        <v>1481</v>
      </c>
      <c r="AF473" s="73" t="str">
        <f t="shared" si="101"/>
        <v>A679078</v>
      </c>
      <c r="AG473" s="73" t="str">
        <f>VLOOKUP(AF473,AKT!$C$4:$E$324,3,FALSE)</f>
        <v>0942</v>
      </c>
    </row>
    <row r="474" spans="1:33">
      <c r="A474" s="82"/>
      <c r="B474" s="77" t="str">
        <f t="shared" si="94"/>
        <v/>
      </c>
      <c r="C474" s="82"/>
      <c r="D474" s="77" t="str">
        <f t="shared" si="95"/>
        <v/>
      </c>
      <c r="E474" s="114"/>
      <c r="F474" s="77" t="str">
        <f t="shared" si="96"/>
        <v/>
      </c>
      <c r="G474" s="77" t="str">
        <f t="shared" si="97"/>
        <v/>
      </c>
      <c r="H474" s="113"/>
      <c r="I474" s="113"/>
      <c r="J474" s="113"/>
      <c r="K474" s="124"/>
      <c r="L474" s="123"/>
      <c r="M474" s="123"/>
      <c r="N474" s="124"/>
      <c r="O474" s="124"/>
      <c r="P474" s="81"/>
      <c r="R474" s="73" t="str">
        <f t="shared" si="98"/>
        <v/>
      </c>
      <c r="S474" s="73" t="str">
        <f t="shared" si="99"/>
        <v/>
      </c>
      <c r="T474" s="73" t="str">
        <f t="shared" si="100"/>
        <v/>
      </c>
      <c r="AD474" s="73" t="s">
        <v>1482</v>
      </c>
      <c r="AE474" s="73" t="s">
        <v>1483</v>
      </c>
      <c r="AF474" s="73" t="str">
        <f t="shared" si="101"/>
        <v>A679078</v>
      </c>
      <c r="AG474" s="73" t="str">
        <f>VLOOKUP(AF474,AKT!$C$4:$E$324,3,FALSE)</f>
        <v>0942</v>
      </c>
    </row>
    <row r="475" spans="1:33">
      <c r="A475" s="82"/>
      <c r="B475" s="77" t="str">
        <f t="shared" si="94"/>
        <v/>
      </c>
      <c r="C475" s="82"/>
      <c r="D475" s="77" t="str">
        <f t="shared" si="95"/>
        <v/>
      </c>
      <c r="E475" s="114"/>
      <c r="F475" s="77" t="str">
        <f t="shared" si="96"/>
        <v/>
      </c>
      <c r="G475" s="77" t="str">
        <f t="shared" si="97"/>
        <v/>
      </c>
      <c r="H475" s="113"/>
      <c r="I475" s="113"/>
      <c r="J475" s="113"/>
      <c r="K475" s="124"/>
      <c r="L475" s="123"/>
      <c r="M475" s="123"/>
      <c r="N475" s="124"/>
      <c r="O475" s="124"/>
      <c r="P475" s="81"/>
      <c r="R475" s="73" t="str">
        <f t="shared" si="98"/>
        <v/>
      </c>
      <c r="S475" s="73" t="str">
        <f t="shared" si="99"/>
        <v/>
      </c>
      <c r="T475" s="73" t="str">
        <f t="shared" si="100"/>
        <v/>
      </c>
      <c r="AD475" s="73" t="s">
        <v>1484</v>
      </c>
      <c r="AE475" s="73" t="s">
        <v>1485</v>
      </c>
      <c r="AF475" s="73" t="str">
        <f t="shared" si="101"/>
        <v>A679078</v>
      </c>
      <c r="AG475" s="73" t="str">
        <f>VLOOKUP(AF475,AKT!$C$4:$E$324,3,FALSE)</f>
        <v>0942</v>
      </c>
    </row>
    <row r="476" spans="1:33">
      <c r="A476" s="82"/>
      <c r="B476" s="77" t="str">
        <f t="shared" si="94"/>
        <v/>
      </c>
      <c r="C476" s="82"/>
      <c r="D476" s="77" t="str">
        <f t="shared" si="95"/>
        <v/>
      </c>
      <c r="E476" s="114"/>
      <c r="F476" s="77" t="str">
        <f t="shared" si="96"/>
        <v/>
      </c>
      <c r="G476" s="77" t="str">
        <f t="shared" si="97"/>
        <v/>
      </c>
      <c r="H476" s="113"/>
      <c r="I476" s="113"/>
      <c r="J476" s="113"/>
      <c r="K476" s="124"/>
      <c r="L476" s="123"/>
      <c r="M476" s="123"/>
      <c r="N476" s="124"/>
      <c r="O476" s="124"/>
      <c r="P476" s="81"/>
      <c r="R476" s="73" t="str">
        <f t="shared" si="98"/>
        <v/>
      </c>
      <c r="S476" s="73" t="str">
        <f t="shared" si="99"/>
        <v/>
      </c>
      <c r="T476" s="73" t="str">
        <f t="shared" si="100"/>
        <v/>
      </c>
      <c r="AD476" s="73" t="s">
        <v>1486</v>
      </c>
      <c r="AE476" s="73" t="s">
        <v>1487</v>
      </c>
      <c r="AF476" s="73" t="str">
        <f t="shared" si="101"/>
        <v>A679078</v>
      </c>
      <c r="AG476" s="73" t="str">
        <f>VLOOKUP(AF476,AKT!$C$4:$E$324,3,FALSE)</f>
        <v>0942</v>
      </c>
    </row>
    <row r="477" spans="1:33">
      <c r="A477" s="82"/>
      <c r="B477" s="77" t="str">
        <f t="shared" si="94"/>
        <v/>
      </c>
      <c r="C477" s="82"/>
      <c r="D477" s="77" t="str">
        <f t="shared" si="95"/>
        <v/>
      </c>
      <c r="E477" s="114"/>
      <c r="F477" s="77" t="str">
        <f t="shared" si="96"/>
        <v/>
      </c>
      <c r="G477" s="77" t="str">
        <f t="shared" si="97"/>
        <v/>
      </c>
      <c r="H477" s="113"/>
      <c r="I477" s="113"/>
      <c r="J477" s="113"/>
      <c r="K477" s="124"/>
      <c r="L477" s="123"/>
      <c r="M477" s="123"/>
      <c r="N477" s="124"/>
      <c r="O477" s="124"/>
      <c r="P477" s="81"/>
      <c r="R477" s="73" t="str">
        <f t="shared" si="98"/>
        <v/>
      </c>
      <c r="S477" s="73" t="str">
        <f t="shared" si="99"/>
        <v/>
      </c>
      <c r="T477" s="73" t="str">
        <f t="shared" si="100"/>
        <v/>
      </c>
      <c r="AD477" s="73" t="s">
        <v>1488</v>
      </c>
      <c r="AE477" s="73" t="s">
        <v>1489</v>
      </c>
      <c r="AF477" s="73" t="str">
        <f t="shared" si="101"/>
        <v>A679078</v>
      </c>
      <c r="AG477" s="73" t="str">
        <f>VLOOKUP(AF477,AKT!$C$4:$E$324,3,FALSE)</f>
        <v>0942</v>
      </c>
    </row>
    <row r="478" spans="1:33">
      <c r="A478" s="82"/>
      <c r="B478" s="77" t="str">
        <f t="shared" si="94"/>
        <v/>
      </c>
      <c r="C478" s="82"/>
      <c r="D478" s="77" t="str">
        <f t="shared" si="95"/>
        <v/>
      </c>
      <c r="E478" s="114"/>
      <c r="F478" s="77" t="str">
        <f t="shared" si="96"/>
        <v/>
      </c>
      <c r="G478" s="77" t="str">
        <f t="shared" si="97"/>
        <v/>
      </c>
      <c r="H478" s="113"/>
      <c r="I478" s="113"/>
      <c r="J478" s="113"/>
      <c r="K478" s="124"/>
      <c r="L478" s="123"/>
      <c r="M478" s="123"/>
      <c r="N478" s="124"/>
      <c r="O478" s="124"/>
      <c r="P478" s="81"/>
      <c r="R478" s="73" t="str">
        <f t="shared" si="98"/>
        <v/>
      </c>
      <c r="S478" s="73" t="str">
        <f t="shared" si="99"/>
        <v/>
      </c>
      <c r="T478" s="73" t="str">
        <f t="shared" si="100"/>
        <v/>
      </c>
      <c r="AD478" s="73" t="s">
        <v>1490</v>
      </c>
      <c r="AE478" s="73" t="s">
        <v>1491</v>
      </c>
      <c r="AF478" s="73" t="str">
        <f t="shared" si="101"/>
        <v>A679078</v>
      </c>
      <c r="AG478" s="73" t="str">
        <f>VLOOKUP(AF478,AKT!$C$4:$E$324,3,FALSE)</f>
        <v>0942</v>
      </c>
    </row>
    <row r="479" spans="1:33">
      <c r="A479" s="82"/>
      <c r="B479" s="77" t="str">
        <f t="shared" si="94"/>
        <v/>
      </c>
      <c r="C479" s="82"/>
      <c r="D479" s="77" t="str">
        <f t="shared" si="95"/>
        <v/>
      </c>
      <c r="E479" s="114"/>
      <c r="F479" s="77" t="str">
        <f t="shared" si="96"/>
        <v/>
      </c>
      <c r="G479" s="77" t="str">
        <f t="shared" si="97"/>
        <v/>
      </c>
      <c r="H479" s="113"/>
      <c r="I479" s="113"/>
      <c r="J479" s="113"/>
      <c r="K479" s="124"/>
      <c r="L479" s="123"/>
      <c r="M479" s="123"/>
      <c r="N479" s="124"/>
      <c r="O479" s="124"/>
      <c r="P479" s="81"/>
      <c r="R479" s="73" t="str">
        <f t="shared" si="98"/>
        <v/>
      </c>
      <c r="S479" s="73" t="str">
        <f t="shared" si="99"/>
        <v/>
      </c>
      <c r="T479" s="73" t="str">
        <f t="shared" si="100"/>
        <v/>
      </c>
      <c r="AD479" s="73" t="s">
        <v>1492</v>
      </c>
      <c r="AE479" s="73" t="s">
        <v>1493</v>
      </c>
      <c r="AF479" s="73" t="str">
        <f t="shared" si="101"/>
        <v>A679078</v>
      </c>
      <c r="AG479" s="73" t="str">
        <f>VLOOKUP(AF479,AKT!$C$4:$E$324,3,FALSE)</f>
        <v>0942</v>
      </c>
    </row>
    <row r="480" spans="1:33">
      <c r="A480" s="82"/>
      <c r="B480" s="77" t="str">
        <f t="shared" si="94"/>
        <v/>
      </c>
      <c r="C480" s="82"/>
      <c r="D480" s="77" t="str">
        <f t="shared" si="95"/>
        <v/>
      </c>
      <c r="E480" s="114"/>
      <c r="F480" s="77" t="str">
        <f t="shared" si="96"/>
        <v/>
      </c>
      <c r="G480" s="77" t="str">
        <f t="shared" si="97"/>
        <v/>
      </c>
      <c r="H480" s="113"/>
      <c r="I480" s="113"/>
      <c r="J480" s="113"/>
      <c r="K480" s="124"/>
      <c r="L480" s="123"/>
      <c r="M480" s="123"/>
      <c r="N480" s="124"/>
      <c r="O480" s="124"/>
      <c r="P480" s="81"/>
      <c r="R480" s="73" t="str">
        <f t="shared" si="98"/>
        <v/>
      </c>
      <c r="S480" s="73" t="str">
        <f t="shared" si="99"/>
        <v/>
      </c>
      <c r="T480" s="73" t="str">
        <f t="shared" si="100"/>
        <v/>
      </c>
      <c r="AD480" s="73" t="s">
        <v>1494</v>
      </c>
      <c r="AE480" s="73" t="s">
        <v>1495</v>
      </c>
      <c r="AF480" s="73" t="str">
        <f t="shared" si="101"/>
        <v>A679078</v>
      </c>
      <c r="AG480" s="73" t="str">
        <f>VLOOKUP(AF480,AKT!$C$4:$E$324,3,FALSE)</f>
        <v>0942</v>
      </c>
    </row>
    <row r="481" spans="1:33">
      <c r="A481" s="82"/>
      <c r="B481" s="77" t="str">
        <f t="shared" si="94"/>
        <v/>
      </c>
      <c r="C481" s="82"/>
      <c r="D481" s="77" t="str">
        <f t="shared" si="95"/>
        <v/>
      </c>
      <c r="E481" s="114"/>
      <c r="F481" s="77" t="str">
        <f t="shared" si="96"/>
        <v/>
      </c>
      <c r="G481" s="77" t="str">
        <f t="shared" si="97"/>
        <v/>
      </c>
      <c r="H481" s="113"/>
      <c r="I481" s="113"/>
      <c r="J481" s="113"/>
      <c r="K481" s="124"/>
      <c r="L481" s="123"/>
      <c r="M481" s="123"/>
      <c r="N481" s="124"/>
      <c r="O481" s="124"/>
      <c r="P481" s="81"/>
      <c r="R481" s="73" t="str">
        <f t="shared" si="98"/>
        <v/>
      </c>
      <c r="S481" s="73" t="str">
        <f t="shared" si="99"/>
        <v/>
      </c>
      <c r="T481" s="73" t="str">
        <f t="shared" si="100"/>
        <v/>
      </c>
      <c r="AD481" s="73" t="s">
        <v>1496</v>
      </c>
      <c r="AE481" s="73" t="s">
        <v>1497</v>
      </c>
      <c r="AF481" s="73" t="str">
        <f t="shared" si="101"/>
        <v>A679078</v>
      </c>
      <c r="AG481" s="73" t="str">
        <f>VLOOKUP(AF481,AKT!$C$4:$E$324,3,FALSE)</f>
        <v>0942</v>
      </c>
    </row>
    <row r="482" spans="1:33">
      <c r="A482" s="82"/>
      <c r="B482" s="77" t="str">
        <f t="shared" si="94"/>
        <v/>
      </c>
      <c r="C482" s="82"/>
      <c r="D482" s="77" t="str">
        <f t="shared" si="95"/>
        <v/>
      </c>
      <c r="E482" s="114"/>
      <c r="F482" s="77" t="str">
        <f t="shared" si="96"/>
        <v/>
      </c>
      <c r="G482" s="77" t="str">
        <f t="shared" si="97"/>
        <v/>
      </c>
      <c r="H482" s="113"/>
      <c r="I482" s="113"/>
      <c r="J482" s="113"/>
      <c r="K482" s="124"/>
      <c r="L482" s="123"/>
      <c r="M482" s="123"/>
      <c r="N482" s="124"/>
      <c r="O482" s="124"/>
      <c r="P482" s="81"/>
      <c r="R482" s="73" t="str">
        <f t="shared" si="98"/>
        <v/>
      </c>
      <c r="S482" s="73" t="str">
        <f t="shared" si="99"/>
        <v/>
      </c>
      <c r="T482" s="73" t="str">
        <f t="shared" si="100"/>
        <v/>
      </c>
      <c r="AD482" s="73" t="s">
        <v>1498</v>
      </c>
      <c r="AE482" s="73" t="s">
        <v>1499</v>
      </c>
      <c r="AF482" s="73" t="str">
        <f t="shared" si="101"/>
        <v>A679078</v>
      </c>
      <c r="AG482" s="73" t="str">
        <f>VLOOKUP(AF482,AKT!$C$4:$E$324,3,FALSE)</f>
        <v>0942</v>
      </c>
    </row>
    <row r="483" spans="1:33">
      <c r="A483" s="82"/>
      <c r="B483" s="77" t="str">
        <f t="shared" ref="B483:B492" si="102">IFERROR(VLOOKUP(A483,$U$7:$V$21,2,FALSE),"")</f>
        <v/>
      </c>
      <c r="C483" s="82"/>
      <c r="D483" s="77" t="str">
        <f t="shared" ref="D483:D492" si="103">IFERROR(VLOOKUP(C483,$X$6:$Z$120,2,FALSE),"")</f>
        <v/>
      </c>
      <c r="E483" s="114"/>
      <c r="F483" s="77" t="str">
        <f t="shared" ref="F483:F492" si="104">IFERROR(VLOOKUP(E483,$AD$7:$AE$1081,2,FALSE),"")</f>
        <v/>
      </c>
      <c r="G483" s="77" t="str">
        <f t="shared" ref="G483:G492" si="105">IFERROR(VLOOKUP(E483,$AD$7:$AG$1081,4,FALSE),"")</f>
        <v/>
      </c>
      <c r="H483" s="113"/>
      <c r="I483" s="113"/>
      <c r="J483" s="113"/>
      <c r="K483" s="124"/>
      <c r="L483" s="123"/>
      <c r="M483" s="123"/>
      <c r="N483" s="124"/>
      <c r="O483" s="124"/>
      <c r="P483" s="81"/>
      <c r="R483" s="73" t="str">
        <f t="shared" si="98"/>
        <v/>
      </c>
      <c r="S483" s="73" t="str">
        <f t="shared" si="99"/>
        <v/>
      </c>
      <c r="T483" s="73" t="str">
        <f t="shared" si="100"/>
        <v/>
      </c>
      <c r="AD483" s="73" t="s">
        <v>1500</v>
      </c>
      <c r="AE483" s="73" t="s">
        <v>1501</v>
      </c>
      <c r="AF483" s="73" t="str">
        <f t="shared" si="101"/>
        <v>A679078</v>
      </c>
      <c r="AG483" s="73" t="str">
        <f>VLOOKUP(AF483,AKT!$C$4:$E$324,3,FALSE)</f>
        <v>0942</v>
      </c>
    </row>
    <row r="484" spans="1:33">
      <c r="A484" s="82"/>
      <c r="B484" s="77" t="str">
        <f t="shared" si="102"/>
        <v/>
      </c>
      <c r="C484" s="82"/>
      <c r="D484" s="77" t="str">
        <f t="shared" si="103"/>
        <v/>
      </c>
      <c r="E484" s="114"/>
      <c r="F484" s="77" t="str">
        <f t="shared" si="104"/>
        <v/>
      </c>
      <c r="G484" s="77" t="str">
        <f t="shared" si="105"/>
        <v/>
      </c>
      <c r="H484" s="113"/>
      <c r="I484" s="113"/>
      <c r="J484" s="113"/>
      <c r="K484" s="124"/>
      <c r="L484" s="123"/>
      <c r="M484" s="123"/>
      <c r="N484" s="124"/>
      <c r="O484" s="124"/>
      <c r="P484" s="81"/>
      <c r="R484" s="73" t="str">
        <f t="shared" si="98"/>
        <v/>
      </c>
      <c r="S484" s="73" t="str">
        <f t="shared" si="99"/>
        <v/>
      </c>
      <c r="T484" s="73" t="str">
        <f t="shared" si="100"/>
        <v/>
      </c>
      <c r="AD484" s="73" t="s">
        <v>1502</v>
      </c>
      <c r="AE484" s="73" t="s">
        <v>1503</v>
      </c>
      <c r="AF484" s="73" t="str">
        <f t="shared" si="101"/>
        <v>A679078</v>
      </c>
      <c r="AG484" s="73" t="str">
        <f>VLOOKUP(AF484,AKT!$C$4:$E$324,3,FALSE)</f>
        <v>0942</v>
      </c>
    </row>
    <row r="485" spans="1:33">
      <c r="A485" s="82"/>
      <c r="B485" s="77" t="str">
        <f t="shared" si="102"/>
        <v/>
      </c>
      <c r="C485" s="82"/>
      <c r="D485" s="77" t="str">
        <f t="shared" si="103"/>
        <v/>
      </c>
      <c r="E485" s="114"/>
      <c r="F485" s="77" t="str">
        <f t="shared" si="104"/>
        <v/>
      </c>
      <c r="G485" s="77" t="str">
        <f t="shared" si="105"/>
        <v/>
      </c>
      <c r="H485" s="113"/>
      <c r="I485" s="113"/>
      <c r="J485" s="113"/>
      <c r="K485" s="124"/>
      <c r="L485" s="123"/>
      <c r="M485" s="123"/>
      <c r="N485" s="124"/>
      <c r="O485" s="124"/>
      <c r="P485" s="81"/>
      <c r="R485" s="73" t="str">
        <f t="shared" si="98"/>
        <v/>
      </c>
      <c r="S485" s="73" t="str">
        <f t="shared" si="99"/>
        <v/>
      </c>
      <c r="T485" s="73" t="str">
        <f t="shared" si="100"/>
        <v/>
      </c>
      <c r="AD485" s="73" t="s">
        <v>1504</v>
      </c>
      <c r="AE485" s="73" t="s">
        <v>1505</v>
      </c>
      <c r="AF485" s="73" t="str">
        <f t="shared" si="101"/>
        <v>A679078</v>
      </c>
      <c r="AG485" s="73" t="str">
        <f>VLOOKUP(AF485,AKT!$C$4:$E$324,3,FALSE)</f>
        <v>0942</v>
      </c>
    </row>
    <row r="486" spans="1:33">
      <c r="A486" s="82"/>
      <c r="B486" s="77" t="str">
        <f t="shared" si="102"/>
        <v/>
      </c>
      <c r="C486" s="82"/>
      <c r="D486" s="77" t="str">
        <f t="shared" si="103"/>
        <v/>
      </c>
      <c r="E486" s="114"/>
      <c r="F486" s="77" t="str">
        <f t="shared" si="104"/>
        <v/>
      </c>
      <c r="G486" s="77" t="str">
        <f t="shared" si="105"/>
        <v/>
      </c>
      <c r="H486" s="113"/>
      <c r="I486" s="113"/>
      <c r="J486" s="113"/>
      <c r="K486" s="124"/>
      <c r="L486" s="123"/>
      <c r="M486" s="123"/>
      <c r="N486" s="124"/>
      <c r="O486" s="124"/>
      <c r="P486" s="81"/>
      <c r="R486" s="73" t="str">
        <f t="shared" si="98"/>
        <v/>
      </c>
      <c r="S486" s="73" t="str">
        <f t="shared" si="99"/>
        <v/>
      </c>
      <c r="T486" s="73" t="str">
        <f t="shared" si="100"/>
        <v/>
      </c>
      <c r="AD486" s="73" t="s">
        <v>1506</v>
      </c>
      <c r="AE486" s="73" t="s">
        <v>1507</v>
      </c>
      <c r="AF486" s="73" t="str">
        <f t="shared" si="101"/>
        <v>A679078</v>
      </c>
      <c r="AG486" s="73" t="str">
        <f>VLOOKUP(AF486,AKT!$C$4:$E$324,3,FALSE)</f>
        <v>0942</v>
      </c>
    </row>
    <row r="487" spans="1:33">
      <c r="A487" s="82"/>
      <c r="B487" s="77" t="str">
        <f t="shared" si="102"/>
        <v/>
      </c>
      <c r="C487" s="82"/>
      <c r="D487" s="77" t="str">
        <f t="shared" si="103"/>
        <v/>
      </c>
      <c r="E487" s="114"/>
      <c r="F487" s="77" t="str">
        <f t="shared" si="104"/>
        <v/>
      </c>
      <c r="G487" s="77" t="str">
        <f t="shared" si="105"/>
        <v/>
      </c>
      <c r="H487" s="113"/>
      <c r="I487" s="113"/>
      <c r="J487" s="113"/>
      <c r="K487" s="124"/>
      <c r="L487" s="123"/>
      <c r="M487" s="123"/>
      <c r="N487" s="124"/>
      <c r="O487" s="124"/>
      <c r="P487" s="81"/>
      <c r="R487" s="73" t="str">
        <f t="shared" si="98"/>
        <v/>
      </c>
      <c r="S487" s="73" t="str">
        <f t="shared" si="99"/>
        <v/>
      </c>
      <c r="T487" s="73" t="str">
        <f t="shared" si="100"/>
        <v/>
      </c>
      <c r="AD487" s="73" t="s">
        <v>1508</v>
      </c>
      <c r="AE487" s="73" t="s">
        <v>1509</v>
      </c>
      <c r="AF487" s="73" t="str">
        <f t="shared" si="101"/>
        <v>A679078</v>
      </c>
      <c r="AG487" s="73" t="str">
        <f>VLOOKUP(AF487,AKT!$C$4:$E$324,3,FALSE)</f>
        <v>0942</v>
      </c>
    </row>
    <row r="488" spans="1:33">
      <c r="A488" s="82"/>
      <c r="B488" s="77" t="str">
        <f t="shared" si="102"/>
        <v/>
      </c>
      <c r="C488" s="82"/>
      <c r="D488" s="77" t="str">
        <f t="shared" si="103"/>
        <v/>
      </c>
      <c r="E488" s="114"/>
      <c r="F488" s="77" t="str">
        <f t="shared" si="104"/>
        <v/>
      </c>
      <c r="G488" s="77" t="str">
        <f t="shared" si="105"/>
        <v/>
      </c>
      <c r="H488" s="113"/>
      <c r="I488" s="113"/>
      <c r="J488" s="113"/>
      <c r="K488" s="124"/>
      <c r="L488" s="123"/>
      <c r="M488" s="123"/>
      <c r="N488" s="124"/>
      <c r="O488" s="124"/>
      <c r="P488" s="81"/>
      <c r="R488" s="73" t="str">
        <f t="shared" si="98"/>
        <v/>
      </c>
      <c r="S488" s="73" t="str">
        <f t="shared" si="99"/>
        <v/>
      </c>
      <c r="T488" s="73" t="str">
        <f t="shared" si="100"/>
        <v/>
      </c>
      <c r="AD488" s="73" t="s">
        <v>1510</v>
      </c>
      <c r="AE488" s="73" t="s">
        <v>1511</v>
      </c>
      <c r="AF488" s="73" t="str">
        <f t="shared" si="101"/>
        <v>A679078</v>
      </c>
      <c r="AG488" s="73" t="str">
        <f>VLOOKUP(AF488,AKT!$C$4:$E$324,3,FALSE)</f>
        <v>0942</v>
      </c>
    </row>
    <row r="489" spans="1:33">
      <c r="A489" s="82"/>
      <c r="B489" s="77" t="str">
        <f t="shared" si="102"/>
        <v/>
      </c>
      <c r="C489" s="82"/>
      <c r="D489" s="77" t="str">
        <f t="shared" si="103"/>
        <v/>
      </c>
      <c r="E489" s="114"/>
      <c r="F489" s="77" t="str">
        <f t="shared" si="104"/>
        <v/>
      </c>
      <c r="G489" s="77" t="str">
        <f t="shared" si="105"/>
        <v/>
      </c>
      <c r="H489" s="113"/>
      <c r="I489" s="113"/>
      <c r="J489" s="113"/>
      <c r="K489" s="124"/>
      <c r="L489" s="123"/>
      <c r="M489" s="123"/>
      <c r="N489" s="124"/>
      <c r="O489" s="124"/>
      <c r="P489" s="81"/>
      <c r="R489" s="73" t="str">
        <f t="shared" si="98"/>
        <v/>
      </c>
      <c r="S489" s="73" t="str">
        <f t="shared" si="99"/>
        <v/>
      </c>
      <c r="T489" s="73" t="str">
        <f t="shared" si="100"/>
        <v/>
      </c>
      <c r="AD489" s="73" t="s">
        <v>1512</v>
      </c>
      <c r="AE489" s="73" t="s">
        <v>1513</v>
      </c>
      <c r="AF489" s="73" t="str">
        <f t="shared" si="101"/>
        <v>A679078</v>
      </c>
      <c r="AG489" s="73" t="str">
        <f>VLOOKUP(AF489,AKT!$C$4:$E$324,3,FALSE)</f>
        <v>0942</v>
      </c>
    </row>
    <row r="490" spans="1:33">
      <c r="A490" s="82"/>
      <c r="B490" s="77" t="str">
        <f t="shared" si="102"/>
        <v/>
      </c>
      <c r="C490" s="82"/>
      <c r="D490" s="77" t="str">
        <f t="shared" si="103"/>
        <v/>
      </c>
      <c r="E490" s="114"/>
      <c r="F490" s="77" t="str">
        <f t="shared" si="104"/>
        <v/>
      </c>
      <c r="G490" s="77" t="str">
        <f t="shared" si="105"/>
        <v/>
      </c>
      <c r="H490" s="113"/>
      <c r="I490" s="113"/>
      <c r="J490" s="113"/>
      <c r="K490" s="124"/>
      <c r="L490" s="123"/>
      <c r="M490" s="123"/>
      <c r="N490" s="124"/>
      <c r="O490" s="124"/>
      <c r="P490" s="81"/>
      <c r="R490" s="73" t="str">
        <f t="shared" si="98"/>
        <v/>
      </c>
      <c r="S490" s="73" t="str">
        <f t="shared" si="99"/>
        <v/>
      </c>
      <c r="T490" s="73" t="str">
        <f t="shared" si="100"/>
        <v/>
      </c>
      <c r="AD490" s="73" t="s">
        <v>1514</v>
      </c>
      <c r="AE490" s="73" t="s">
        <v>1515</v>
      </c>
      <c r="AF490" s="73" t="str">
        <f t="shared" si="101"/>
        <v>A679078</v>
      </c>
      <c r="AG490" s="73" t="str">
        <f>VLOOKUP(AF490,AKT!$C$4:$E$324,3,FALSE)</f>
        <v>0942</v>
      </c>
    </row>
    <row r="491" spans="1:33">
      <c r="A491" s="82"/>
      <c r="B491" s="77" t="str">
        <f t="shared" si="102"/>
        <v/>
      </c>
      <c r="C491" s="82"/>
      <c r="D491" s="77" t="str">
        <f t="shared" si="103"/>
        <v/>
      </c>
      <c r="E491" s="114"/>
      <c r="F491" s="77" t="str">
        <f t="shared" si="104"/>
        <v/>
      </c>
      <c r="G491" s="77" t="str">
        <f t="shared" si="105"/>
        <v/>
      </c>
      <c r="H491" s="113"/>
      <c r="I491" s="113"/>
      <c r="J491" s="113"/>
      <c r="K491" s="124"/>
      <c r="L491" s="123"/>
      <c r="M491" s="123"/>
      <c r="N491" s="124"/>
      <c r="O491" s="124"/>
      <c r="P491" s="81"/>
      <c r="R491" s="73" t="str">
        <f t="shared" si="98"/>
        <v/>
      </c>
      <c r="S491" s="73" t="str">
        <f t="shared" si="99"/>
        <v/>
      </c>
      <c r="T491" s="73" t="str">
        <f t="shared" si="100"/>
        <v/>
      </c>
      <c r="AD491" s="73" t="s">
        <v>1516</v>
      </c>
      <c r="AE491" s="73" t="s">
        <v>1517</v>
      </c>
      <c r="AF491" s="73" t="str">
        <f t="shared" si="101"/>
        <v>A679078</v>
      </c>
      <c r="AG491" s="73" t="str">
        <f>VLOOKUP(AF491,AKT!$C$4:$E$324,3,FALSE)</f>
        <v>0942</v>
      </c>
    </row>
    <row r="492" spans="1:33">
      <c r="A492" s="82"/>
      <c r="B492" s="77" t="str">
        <f t="shared" si="102"/>
        <v/>
      </c>
      <c r="C492" s="82"/>
      <c r="D492" s="77" t="str">
        <f t="shared" si="103"/>
        <v/>
      </c>
      <c r="E492" s="114"/>
      <c r="F492" s="77" t="str">
        <f t="shared" si="104"/>
        <v/>
      </c>
      <c r="G492" s="77" t="str">
        <f t="shared" si="105"/>
        <v/>
      </c>
      <c r="H492" s="113"/>
      <c r="I492" s="113"/>
      <c r="J492" s="113"/>
      <c r="K492" s="124"/>
      <c r="L492" s="123"/>
      <c r="M492" s="123"/>
      <c r="N492" s="124"/>
      <c r="O492" s="124"/>
      <c r="P492" s="81"/>
      <c r="R492" s="73" t="str">
        <f t="shared" si="98"/>
        <v/>
      </c>
      <c r="S492" s="73" t="str">
        <f t="shared" si="99"/>
        <v/>
      </c>
      <c r="T492" s="73" t="str">
        <f t="shared" si="100"/>
        <v/>
      </c>
      <c r="AD492" s="73" t="s">
        <v>1518</v>
      </c>
      <c r="AE492" s="73" t="s">
        <v>1519</v>
      </c>
      <c r="AF492" s="73" t="str">
        <f t="shared" si="101"/>
        <v>A679078</v>
      </c>
      <c r="AG492" s="73" t="str">
        <f>VLOOKUP(AF492,AKT!$C$4:$E$324,3,FALSE)</f>
        <v>0942</v>
      </c>
    </row>
    <row r="493" spans="1:33" ht="15.75" customHeight="1">
      <c r="AD493" s="73" t="s">
        <v>1520</v>
      </c>
      <c r="AE493" s="73" t="s">
        <v>1521</v>
      </c>
      <c r="AF493" s="73" t="str">
        <f t="shared" si="101"/>
        <v>A679078</v>
      </c>
      <c r="AG493" s="73" t="str">
        <f>VLOOKUP(AF493,AKT!$C$4:$E$324,3,FALSE)</f>
        <v>0942</v>
      </c>
    </row>
    <row r="494" spans="1:33">
      <c r="AD494" s="73" t="s">
        <v>1522</v>
      </c>
      <c r="AE494" s="73" t="s">
        <v>1523</v>
      </c>
      <c r="AF494" s="73" t="str">
        <f t="shared" si="101"/>
        <v>A679078</v>
      </c>
      <c r="AG494" s="73" t="str">
        <f>VLOOKUP(AF494,AKT!$C$4:$E$324,3,FALSE)</f>
        <v>0942</v>
      </c>
    </row>
    <row r="495" spans="1:33">
      <c r="AD495" s="73" t="s">
        <v>1524</v>
      </c>
      <c r="AE495" s="73" t="s">
        <v>1525</v>
      </c>
      <c r="AF495" s="73" t="str">
        <f t="shared" si="101"/>
        <v>A679078</v>
      </c>
      <c r="AG495" s="73" t="str">
        <f>VLOOKUP(AF495,AKT!$C$4:$E$324,3,FALSE)</f>
        <v>0942</v>
      </c>
    </row>
    <row r="496" spans="1:33">
      <c r="AD496" s="73" t="s">
        <v>1526</v>
      </c>
      <c r="AE496" s="73" t="s">
        <v>1527</v>
      </c>
      <c r="AF496" s="73" t="str">
        <f t="shared" si="101"/>
        <v>A679078</v>
      </c>
      <c r="AG496" s="73" t="str">
        <f>VLOOKUP(AF496,AKT!$C$4:$E$324,3,FALSE)</f>
        <v>0942</v>
      </c>
    </row>
    <row r="497" spans="30:33">
      <c r="AD497" s="73" t="s">
        <v>1528</v>
      </c>
      <c r="AE497" s="73" t="s">
        <v>1529</v>
      </c>
      <c r="AF497" s="73" t="str">
        <f t="shared" si="101"/>
        <v>A679078</v>
      </c>
      <c r="AG497" s="73" t="str">
        <f>VLOOKUP(AF497,AKT!$C$4:$E$324,3,FALSE)</f>
        <v>0942</v>
      </c>
    </row>
    <row r="498" spans="30:33">
      <c r="AD498" s="73" t="s">
        <v>1530</v>
      </c>
      <c r="AE498" s="73" t="s">
        <v>1531</v>
      </c>
      <c r="AF498" s="73" t="str">
        <f t="shared" si="101"/>
        <v>A679078</v>
      </c>
      <c r="AG498" s="73" t="str">
        <f>VLOOKUP(AF498,AKT!$C$4:$E$324,3,FALSE)</f>
        <v>0942</v>
      </c>
    </row>
    <row r="499" spans="30:33">
      <c r="AD499" s="73" t="s">
        <v>1532</v>
      </c>
      <c r="AE499" s="73" t="s">
        <v>1533</v>
      </c>
      <c r="AF499" s="73" t="str">
        <f t="shared" si="101"/>
        <v>A679078</v>
      </c>
      <c r="AG499" s="73" t="str">
        <f>VLOOKUP(AF499,AKT!$C$4:$E$324,3,FALSE)</f>
        <v>0942</v>
      </c>
    </row>
    <row r="500" spans="30:33">
      <c r="AD500" s="73" t="s">
        <v>1534</v>
      </c>
      <c r="AE500" s="73" t="s">
        <v>1535</v>
      </c>
      <c r="AF500" s="73" t="str">
        <f t="shared" si="101"/>
        <v>A679078</v>
      </c>
      <c r="AG500" s="73" t="str">
        <f>VLOOKUP(AF500,AKT!$C$4:$E$324,3,FALSE)</f>
        <v>0942</v>
      </c>
    </row>
    <row r="501" spans="30:33">
      <c r="AD501" s="73" t="s">
        <v>1536</v>
      </c>
      <c r="AE501" s="73" t="s">
        <v>1537</v>
      </c>
      <c r="AF501" s="73" t="str">
        <f t="shared" si="101"/>
        <v>A679078</v>
      </c>
      <c r="AG501" s="73" t="str">
        <f>VLOOKUP(AF501,AKT!$C$4:$E$324,3,FALSE)</f>
        <v>0942</v>
      </c>
    </row>
    <row r="502" spans="30:33">
      <c r="AD502" s="73" t="s">
        <v>1538</v>
      </c>
      <c r="AE502" s="73" t="s">
        <v>1539</v>
      </c>
      <c r="AF502" s="73" t="str">
        <f t="shared" si="101"/>
        <v>A679078</v>
      </c>
      <c r="AG502" s="73" t="str">
        <f>VLOOKUP(AF502,AKT!$C$4:$E$324,3,FALSE)</f>
        <v>0942</v>
      </c>
    </row>
    <row r="503" spans="30:33">
      <c r="AD503" s="73" t="s">
        <v>1540</v>
      </c>
      <c r="AE503" s="73" t="s">
        <v>1541</v>
      </c>
      <c r="AF503" s="73" t="str">
        <f t="shared" si="101"/>
        <v>A679078</v>
      </c>
      <c r="AG503" s="73" t="str">
        <f>VLOOKUP(AF503,AKT!$C$4:$E$324,3,FALSE)</f>
        <v>0942</v>
      </c>
    </row>
    <row r="504" spans="30:33">
      <c r="AD504" s="73" t="s">
        <v>1542</v>
      </c>
      <c r="AE504" s="73" t="s">
        <v>1543</v>
      </c>
      <c r="AF504" s="73" t="str">
        <f t="shared" si="101"/>
        <v>A679078</v>
      </c>
      <c r="AG504" s="73" t="str">
        <f>VLOOKUP(AF504,AKT!$C$4:$E$324,3,FALSE)</f>
        <v>0942</v>
      </c>
    </row>
    <row r="505" spans="30:33">
      <c r="AD505" s="73" t="s">
        <v>1544</v>
      </c>
      <c r="AE505" s="73" t="s">
        <v>1545</v>
      </c>
      <c r="AF505" s="73" t="str">
        <f t="shared" si="101"/>
        <v>A679078</v>
      </c>
      <c r="AG505" s="73" t="str">
        <f>VLOOKUP(AF505,AKT!$C$4:$E$324,3,FALSE)</f>
        <v>0942</v>
      </c>
    </row>
    <row r="506" spans="30:33">
      <c r="AD506" s="73" t="s">
        <v>1546</v>
      </c>
      <c r="AE506" s="73" t="s">
        <v>1547</v>
      </c>
      <c r="AF506" s="73" t="str">
        <f t="shared" si="101"/>
        <v>A679078</v>
      </c>
      <c r="AG506" s="73" t="str">
        <f>VLOOKUP(AF506,AKT!$C$4:$E$324,3,FALSE)</f>
        <v>0942</v>
      </c>
    </row>
    <row r="507" spans="30:33">
      <c r="AD507" s="73" t="s">
        <v>1548</v>
      </c>
      <c r="AE507" s="73" t="s">
        <v>1549</v>
      </c>
      <c r="AF507" s="73" t="str">
        <f t="shared" si="101"/>
        <v>A679078</v>
      </c>
      <c r="AG507" s="73" t="str">
        <f>VLOOKUP(AF507,AKT!$C$4:$E$324,3,FALSE)</f>
        <v>0942</v>
      </c>
    </row>
    <row r="508" spans="30:33">
      <c r="AD508" s="73" t="s">
        <v>1550</v>
      </c>
      <c r="AE508" s="73" t="s">
        <v>1551</v>
      </c>
      <c r="AF508" s="73" t="str">
        <f t="shared" si="101"/>
        <v>A679078</v>
      </c>
      <c r="AG508" s="73" t="str">
        <f>VLOOKUP(AF508,AKT!$C$4:$E$324,3,FALSE)</f>
        <v>0942</v>
      </c>
    </row>
    <row r="509" spans="30:33">
      <c r="AD509" s="73" t="s">
        <v>1552</v>
      </c>
      <c r="AE509" s="73" t="s">
        <v>1553</v>
      </c>
      <c r="AF509" s="73" t="str">
        <f t="shared" si="101"/>
        <v>A679078</v>
      </c>
      <c r="AG509" s="73" t="str">
        <f>VLOOKUP(AF509,AKT!$C$4:$E$324,3,FALSE)</f>
        <v>0942</v>
      </c>
    </row>
    <row r="510" spans="30:33">
      <c r="AD510" s="73" t="s">
        <v>1554</v>
      </c>
      <c r="AE510" s="73" t="s">
        <v>1555</v>
      </c>
      <c r="AF510" s="73" t="str">
        <f t="shared" si="101"/>
        <v>A679078</v>
      </c>
      <c r="AG510" s="73" t="str">
        <f>VLOOKUP(AF510,AKT!$C$4:$E$324,3,FALSE)</f>
        <v>0942</v>
      </c>
    </row>
    <row r="511" spans="30:33">
      <c r="AD511" s="73" t="s">
        <v>1556</v>
      </c>
      <c r="AE511" s="73" t="s">
        <v>1557</v>
      </c>
      <c r="AF511" s="73" t="str">
        <f t="shared" ref="AF511:AF574" si="106">LEFT(AD511,7)</f>
        <v>A679078</v>
      </c>
      <c r="AG511" s="73" t="str">
        <f>VLOOKUP(AF511,AKT!$C$4:$E$324,3,FALSE)</f>
        <v>0942</v>
      </c>
    </row>
    <row r="512" spans="30:33">
      <c r="AD512" s="73" t="s">
        <v>1558</v>
      </c>
      <c r="AE512" s="73" t="s">
        <v>1559</v>
      </c>
      <c r="AF512" s="73" t="str">
        <f t="shared" si="106"/>
        <v>A679078</v>
      </c>
      <c r="AG512" s="73" t="str">
        <f>VLOOKUP(AF512,AKT!$C$4:$E$324,3,FALSE)</f>
        <v>0942</v>
      </c>
    </row>
    <row r="513" spans="30:33">
      <c r="AD513" s="73" t="s">
        <v>2320</v>
      </c>
      <c r="AE513" s="73" t="s">
        <v>2321</v>
      </c>
      <c r="AF513" s="73" t="str">
        <f t="shared" si="106"/>
        <v>A679078</v>
      </c>
      <c r="AG513" s="73" t="str">
        <f>VLOOKUP(AF513,AKT!$C$4:$E$324,3,FALSE)</f>
        <v>0942</v>
      </c>
    </row>
    <row r="514" spans="30:33">
      <c r="AD514" s="73" t="s">
        <v>2322</v>
      </c>
      <c r="AE514" s="73" t="s">
        <v>2323</v>
      </c>
      <c r="AF514" s="73" t="str">
        <f t="shared" si="106"/>
        <v>A679078</v>
      </c>
      <c r="AG514" s="73" t="str">
        <f>VLOOKUP(AF514,AKT!$C$4:$E$324,3,FALSE)</f>
        <v>0942</v>
      </c>
    </row>
    <row r="515" spans="30:33">
      <c r="AD515" s="73" t="s">
        <v>2324</v>
      </c>
      <c r="AE515" s="73" t="s">
        <v>2325</v>
      </c>
      <c r="AF515" s="73" t="str">
        <f t="shared" si="106"/>
        <v>A679078</v>
      </c>
      <c r="AG515" s="73" t="str">
        <f>VLOOKUP(AF515,AKT!$C$4:$E$324,3,FALSE)</f>
        <v>0942</v>
      </c>
    </row>
    <row r="516" spans="30:33">
      <c r="AD516" s="73" t="s">
        <v>2326</v>
      </c>
      <c r="AE516" s="73" t="s">
        <v>2327</v>
      </c>
      <c r="AF516" s="73" t="str">
        <f t="shared" si="106"/>
        <v>A679078</v>
      </c>
      <c r="AG516" s="73" t="str">
        <f>VLOOKUP(AF516,AKT!$C$4:$E$324,3,FALSE)</f>
        <v>0942</v>
      </c>
    </row>
    <row r="517" spans="30:33">
      <c r="AD517" s="73" t="s">
        <v>2328</v>
      </c>
      <c r="AE517" s="73" t="s">
        <v>2329</v>
      </c>
      <c r="AF517" s="73" t="str">
        <f t="shared" si="106"/>
        <v>A679078</v>
      </c>
      <c r="AG517" s="73" t="str">
        <f>VLOOKUP(AF517,AKT!$C$4:$E$324,3,FALSE)</f>
        <v>0942</v>
      </c>
    </row>
    <row r="518" spans="30:33">
      <c r="AD518" s="73" t="s">
        <v>2330</v>
      </c>
      <c r="AE518" s="73" t="s">
        <v>2331</v>
      </c>
      <c r="AF518" s="73" t="str">
        <f t="shared" si="106"/>
        <v>A679078</v>
      </c>
      <c r="AG518" s="73" t="str">
        <f>VLOOKUP(AF518,AKT!$C$4:$E$324,3,FALSE)</f>
        <v>0942</v>
      </c>
    </row>
    <row r="519" spans="30:33">
      <c r="AD519" s="73" t="s">
        <v>2332</v>
      </c>
      <c r="AE519" s="73" t="s">
        <v>2333</v>
      </c>
      <c r="AF519" s="73" t="str">
        <f t="shared" si="106"/>
        <v>A679078</v>
      </c>
      <c r="AG519" s="73" t="str">
        <f>VLOOKUP(AF519,AKT!$C$4:$E$324,3,FALSE)</f>
        <v>0942</v>
      </c>
    </row>
    <row r="520" spans="30:33">
      <c r="AD520" s="73" t="s">
        <v>2334</v>
      </c>
      <c r="AE520" s="73" t="s">
        <v>2335</v>
      </c>
      <c r="AF520" s="73" t="str">
        <f t="shared" si="106"/>
        <v>A679078</v>
      </c>
      <c r="AG520" s="73" t="str">
        <f>VLOOKUP(AF520,AKT!$C$4:$E$324,3,FALSE)</f>
        <v>0942</v>
      </c>
    </row>
    <row r="521" spans="30:33">
      <c r="AD521" s="73" t="s">
        <v>2336</v>
      </c>
      <c r="AE521" s="73" t="s">
        <v>2337</v>
      </c>
      <c r="AF521" s="73" t="str">
        <f t="shared" si="106"/>
        <v>A679078</v>
      </c>
      <c r="AG521" s="73" t="str">
        <f>VLOOKUP(AF521,AKT!$C$4:$E$324,3,FALSE)</f>
        <v>0942</v>
      </c>
    </row>
    <row r="522" spans="30:33">
      <c r="AD522" s="73" t="s">
        <v>2338</v>
      </c>
      <c r="AE522" s="73" t="s">
        <v>2339</v>
      </c>
      <c r="AF522" s="73" t="str">
        <f t="shared" si="106"/>
        <v>A679078</v>
      </c>
      <c r="AG522" s="73" t="str">
        <f>VLOOKUP(AF522,AKT!$C$4:$E$324,3,FALSE)</f>
        <v>0942</v>
      </c>
    </row>
    <row r="523" spans="30:33">
      <c r="AD523" s="73" t="s">
        <v>2340</v>
      </c>
      <c r="AE523" s="73" t="s">
        <v>2341</v>
      </c>
      <c r="AF523" s="73" t="str">
        <f t="shared" si="106"/>
        <v>A679078</v>
      </c>
      <c r="AG523" s="73" t="str">
        <f>VLOOKUP(AF523,AKT!$C$4:$E$324,3,FALSE)</f>
        <v>0942</v>
      </c>
    </row>
    <row r="524" spans="30:33">
      <c r="AD524" s="73" t="s">
        <v>2342</v>
      </c>
      <c r="AE524" s="73" t="s">
        <v>2343</v>
      </c>
      <c r="AF524" s="73" t="str">
        <f t="shared" si="106"/>
        <v>A679078</v>
      </c>
      <c r="AG524" s="73" t="str">
        <f>VLOOKUP(AF524,AKT!$C$4:$E$324,3,FALSE)</f>
        <v>0942</v>
      </c>
    </row>
    <row r="525" spans="30:33">
      <c r="AD525" s="73" t="s">
        <v>2344</v>
      </c>
      <c r="AE525" s="73" t="s">
        <v>2345</v>
      </c>
      <c r="AF525" s="73" t="str">
        <f t="shared" si="106"/>
        <v>A679078</v>
      </c>
      <c r="AG525" s="73" t="str">
        <f>VLOOKUP(AF525,AKT!$C$4:$E$324,3,FALSE)</f>
        <v>0942</v>
      </c>
    </row>
    <row r="526" spans="30:33">
      <c r="AD526" s="73" t="s">
        <v>2346</v>
      </c>
      <c r="AE526" s="73" t="s">
        <v>2347</v>
      </c>
      <c r="AF526" s="73" t="str">
        <f t="shared" si="106"/>
        <v>A679078</v>
      </c>
      <c r="AG526" s="73" t="str">
        <f>VLOOKUP(AF526,AKT!$C$4:$E$324,3,FALSE)</f>
        <v>0942</v>
      </c>
    </row>
    <row r="527" spans="30:33">
      <c r="AD527" s="73" t="s">
        <v>2348</v>
      </c>
      <c r="AE527" s="73" t="s">
        <v>2349</v>
      </c>
      <c r="AF527" s="73" t="str">
        <f t="shared" si="106"/>
        <v>A679078</v>
      </c>
      <c r="AG527" s="73" t="str">
        <f>VLOOKUP(AF527,AKT!$C$4:$E$324,3,FALSE)</f>
        <v>0942</v>
      </c>
    </row>
    <row r="528" spans="30:33">
      <c r="AD528" s="73" t="s">
        <v>2350</v>
      </c>
      <c r="AE528" s="73" t="s">
        <v>2351</v>
      </c>
      <c r="AF528" s="73" t="str">
        <f t="shared" si="106"/>
        <v>A679078</v>
      </c>
      <c r="AG528" s="73" t="str">
        <f>VLOOKUP(AF528,AKT!$C$4:$E$324,3,FALSE)</f>
        <v>0942</v>
      </c>
    </row>
    <row r="529" spans="30:33">
      <c r="AD529" s="73" t="s">
        <v>2352</v>
      </c>
      <c r="AE529" s="73" t="s">
        <v>2353</v>
      </c>
      <c r="AF529" s="73" t="str">
        <f t="shared" si="106"/>
        <v>A679078</v>
      </c>
      <c r="AG529" s="73" t="str">
        <f>VLOOKUP(AF529,AKT!$C$4:$E$324,3,FALSE)</f>
        <v>0942</v>
      </c>
    </row>
    <row r="530" spans="30:33">
      <c r="AD530" s="73" t="s">
        <v>2354</v>
      </c>
      <c r="AE530" s="73" t="s">
        <v>2355</v>
      </c>
      <c r="AF530" s="73" t="str">
        <f t="shared" si="106"/>
        <v>A679078</v>
      </c>
      <c r="AG530" s="73" t="str">
        <f>VLOOKUP(AF530,AKT!$C$4:$E$324,3,FALSE)</f>
        <v>0942</v>
      </c>
    </row>
    <row r="531" spans="30:33">
      <c r="AD531" s="73" t="s">
        <v>2356</v>
      </c>
      <c r="AE531" s="73" t="s">
        <v>2357</v>
      </c>
      <c r="AF531" s="73" t="str">
        <f t="shared" si="106"/>
        <v>A679078</v>
      </c>
      <c r="AG531" s="73" t="str">
        <f>VLOOKUP(AF531,AKT!$C$4:$E$324,3,FALSE)</f>
        <v>0942</v>
      </c>
    </row>
    <row r="532" spans="30:33">
      <c r="AD532" s="73" t="s">
        <v>2358</v>
      </c>
      <c r="AE532" s="73" t="s">
        <v>2359</v>
      </c>
      <c r="AF532" s="73" t="str">
        <f t="shared" si="106"/>
        <v>A679078</v>
      </c>
      <c r="AG532" s="73" t="str">
        <f>VLOOKUP(AF532,AKT!$C$4:$E$324,3,FALSE)</f>
        <v>0942</v>
      </c>
    </row>
    <row r="533" spans="30:33">
      <c r="AD533" s="73" t="s">
        <v>2360</v>
      </c>
      <c r="AE533" s="73" t="s">
        <v>2361</v>
      </c>
      <c r="AF533" s="73" t="str">
        <f t="shared" si="106"/>
        <v>A679078</v>
      </c>
      <c r="AG533" s="73" t="str">
        <f>VLOOKUP(AF533,AKT!$C$4:$E$324,3,FALSE)</f>
        <v>0942</v>
      </c>
    </row>
    <row r="534" spans="30:33">
      <c r="AD534" s="73" t="s">
        <v>2362</v>
      </c>
      <c r="AE534" s="73" t="s">
        <v>2363</v>
      </c>
      <c r="AF534" s="73" t="str">
        <f t="shared" si="106"/>
        <v>A679078</v>
      </c>
      <c r="AG534" s="73" t="str">
        <f>VLOOKUP(AF534,AKT!$C$4:$E$324,3,FALSE)</f>
        <v>0942</v>
      </c>
    </row>
    <row r="535" spans="30:33">
      <c r="AD535" s="73" t="s">
        <v>2364</v>
      </c>
      <c r="AE535" s="73" t="s">
        <v>2365</v>
      </c>
      <c r="AF535" s="73" t="str">
        <f t="shared" si="106"/>
        <v>A679078</v>
      </c>
      <c r="AG535" s="73" t="str">
        <f>VLOOKUP(AF535,AKT!$C$4:$E$324,3,FALSE)</f>
        <v>0942</v>
      </c>
    </row>
    <row r="536" spans="30:33">
      <c r="AD536" s="73" t="s">
        <v>2366</v>
      </c>
      <c r="AE536" s="73" t="s">
        <v>2367</v>
      </c>
      <c r="AF536" s="73" t="str">
        <f t="shared" si="106"/>
        <v>A679078</v>
      </c>
      <c r="AG536" s="73" t="str">
        <f>VLOOKUP(AF536,AKT!$C$4:$E$324,3,FALSE)</f>
        <v>0942</v>
      </c>
    </row>
    <row r="537" spans="30:33">
      <c r="AD537" s="73" t="s">
        <v>2368</v>
      </c>
      <c r="AE537" s="73" t="s">
        <v>2369</v>
      </c>
      <c r="AF537" s="73" t="str">
        <f t="shared" si="106"/>
        <v>A679078</v>
      </c>
      <c r="AG537" s="73" t="str">
        <f>VLOOKUP(AF537,AKT!$C$4:$E$324,3,FALSE)</f>
        <v>0942</v>
      </c>
    </row>
    <row r="538" spans="30:33">
      <c r="AD538" s="73" t="s">
        <v>2370</v>
      </c>
      <c r="AE538" s="73" t="s">
        <v>2371</v>
      </c>
      <c r="AF538" s="73" t="str">
        <f t="shared" si="106"/>
        <v>A679078</v>
      </c>
      <c r="AG538" s="73" t="str">
        <f>VLOOKUP(AF538,AKT!$C$4:$E$324,3,FALSE)</f>
        <v>0942</v>
      </c>
    </row>
    <row r="539" spans="30:33">
      <c r="AD539" s="73" t="s">
        <v>2372</v>
      </c>
      <c r="AE539" s="73" t="s">
        <v>2373</v>
      </c>
      <c r="AF539" s="73" t="str">
        <f t="shared" si="106"/>
        <v>A679078</v>
      </c>
      <c r="AG539" s="73" t="str">
        <f>VLOOKUP(AF539,AKT!$C$4:$E$324,3,FALSE)</f>
        <v>0942</v>
      </c>
    </row>
    <row r="540" spans="30:33">
      <c r="AD540" s="73" t="s">
        <v>2374</v>
      </c>
      <c r="AE540" s="73" t="s">
        <v>2375</v>
      </c>
      <c r="AF540" s="73" t="str">
        <f t="shared" si="106"/>
        <v>A679078</v>
      </c>
      <c r="AG540" s="73" t="str">
        <f>VLOOKUP(AF540,AKT!$C$4:$E$324,3,FALSE)</f>
        <v>0942</v>
      </c>
    </row>
    <row r="541" spans="30:33">
      <c r="AD541" s="73" t="s">
        <v>2376</v>
      </c>
      <c r="AE541" s="73" t="s">
        <v>2377</v>
      </c>
      <c r="AF541" s="73" t="str">
        <f t="shared" si="106"/>
        <v>A679078</v>
      </c>
      <c r="AG541" s="73" t="str">
        <f>VLOOKUP(AF541,AKT!$C$4:$E$324,3,FALSE)</f>
        <v>0942</v>
      </c>
    </row>
    <row r="542" spans="30:33">
      <c r="AD542" s="73" t="s">
        <v>2378</v>
      </c>
      <c r="AE542" s="73" t="s">
        <v>2379</v>
      </c>
      <c r="AF542" s="73" t="str">
        <f t="shared" si="106"/>
        <v>A679078</v>
      </c>
      <c r="AG542" s="73" t="str">
        <f>VLOOKUP(AF542,AKT!$C$4:$E$324,3,FALSE)</f>
        <v>0942</v>
      </c>
    </row>
    <row r="543" spans="30:33">
      <c r="AD543" s="73" t="s">
        <v>2380</v>
      </c>
      <c r="AE543" s="73" t="s">
        <v>1413</v>
      </c>
      <c r="AF543" s="73" t="str">
        <f t="shared" si="106"/>
        <v>A679078</v>
      </c>
      <c r="AG543" s="73" t="str">
        <f>VLOOKUP(AF543,AKT!$C$4:$E$324,3,FALSE)</f>
        <v>0942</v>
      </c>
    </row>
    <row r="544" spans="30:33">
      <c r="AD544" s="73" t="s">
        <v>2381</v>
      </c>
      <c r="AE544" s="73" t="s">
        <v>2382</v>
      </c>
      <c r="AF544" s="73" t="str">
        <f t="shared" si="106"/>
        <v>A679078</v>
      </c>
      <c r="AG544" s="73" t="str">
        <f>VLOOKUP(AF544,AKT!$C$4:$E$324,3,FALSE)</f>
        <v>0942</v>
      </c>
    </row>
    <row r="545" spans="30:33">
      <c r="AD545" s="73" t="s">
        <v>2383</v>
      </c>
      <c r="AE545" s="73" t="s">
        <v>2384</v>
      </c>
      <c r="AF545" s="73" t="str">
        <f t="shared" si="106"/>
        <v>A679078</v>
      </c>
      <c r="AG545" s="73" t="str">
        <f>VLOOKUP(AF545,AKT!$C$4:$E$324,3,FALSE)</f>
        <v>0942</v>
      </c>
    </row>
    <row r="546" spans="30:33">
      <c r="AD546" s="73" t="s">
        <v>2385</v>
      </c>
      <c r="AE546" s="73" t="s">
        <v>2386</v>
      </c>
      <c r="AF546" s="73" t="str">
        <f t="shared" si="106"/>
        <v>A679078</v>
      </c>
      <c r="AG546" s="73" t="str">
        <f>VLOOKUP(AF546,AKT!$C$4:$E$324,3,FALSE)</f>
        <v>0942</v>
      </c>
    </row>
    <row r="547" spans="30:33">
      <c r="AD547" s="73" t="s">
        <v>2387</v>
      </c>
      <c r="AE547" s="73" t="s">
        <v>2388</v>
      </c>
      <c r="AF547" s="73" t="str">
        <f t="shared" si="106"/>
        <v>A679078</v>
      </c>
      <c r="AG547" s="73" t="str">
        <f>VLOOKUP(AF547,AKT!$C$4:$E$324,3,FALSE)</f>
        <v>0942</v>
      </c>
    </row>
    <row r="548" spans="30:33">
      <c r="AD548" s="73" t="s">
        <v>2389</v>
      </c>
      <c r="AE548" s="73" t="s">
        <v>2390</v>
      </c>
      <c r="AF548" s="73" t="str">
        <f t="shared" si="106"/>
        <v>A679078</v>
      </c>
      <c r="AG548" s="73" t="str">
        <f>VLOOKUP(AF548,AKT!$C$4:$E$324,3,FALSE)</f>
        <v>0942</v>
      </c>
    </row>
    <row r="549" spans="30:33">
      <c r="AD549" s="73" t="s">
        <v>2391</v>
      </c>
      <c r="AE549" s="73" t="s">
        <v>2392</v>
      </c>
      <c r="AF549" s="73" t="str">
        <f t="shared" si="106"/>
        <v>A679078</v>
      </c>
      <c r="AG549" s="73" t="str">
        <f>VLOOKUP(AF549,AKT!$C$4:$E$324,3,FALSE)</f>
        <v>0942</v>
      </c>
    </row>
    <row r="550" spans="30:33">
      <c r="AD550" s="73" t="s">
        <v>2393</v>
      </c>
      <c r="AE550" s="73" t="s">
        <v>2394</v>
      </c>
      <c r="AF550" s="73" t="str">
        <f t="shared" si="106"/>
        <v>A679078</v>
      </c>
      <c r="AG550" s="73" t="str">
        <f>VLOOKUP(AF550,AKT!$C$4:$E$324,3,FALSE)</f>
        <v>0942</v>
      </c>
    </row>
    <row r="551" spans="30:33">
      <c r="AD551" s="73" t="s">
        <v>2395</v>
      </c>
      <c r="AE551" s="73" t="s">
        <v>2396</v>
      </c>
      <c r="AF551" s="73" t="str">
        <f t="shared" si="106"/>
        <v>A679078</v>
      </c>
      <c r="AG551" s="73" t="str">
        <f>VLOOKUP(AF551,AKT!$C$4:$E$324,3,FALSE)</f>
        <v>0942</v>
      </c>
    </row>
    <row r="552" spans="30:33">
      <c r="AD552" s="73" t="s">
        <v>2397</v>
      </c>
      <c r="AE552" s="73" t="s">
        <v>2398</v>
      </c>
      <c r="AF552" s="73" t="str">
        <f t="shared" si="106"/>
        <v>A679078</v>
      </c>
      <c r="AG552" s="73" t="str">
        <f>VLOOKUP(AF552,AKT!$C$4:$E$324,3,FALSE)</f>
        <v>0942</v>
      </c>
    </row>
    <row r="553" spans="30:33">
      <c r="AD553" s="73" t="s">
        <v>2399</v>
      </c>
      <c r="AE553" s="73" t="s">
        <v>2400</v>
      </c>
      <c r="AF553" s="73" t="str">
        <f t="shared" si="106"/>
        <v>A679078</v>
      </c>
      <c r="AG553" s="73" t="str">
        <f>VLOOKUP(AF553,AKT!$C$4:$E$324,3,FALSE)</f>
        <v>0942</v>
      </c>
    </row>
    <row r="554" spans="30:33">
      <c r="AD554" s="73" t="s">
        <v>2401</v>
      </c>
      <c r="AE554" s="73" t="s">
        <v>2402</v>
      </c>
      <c r="AF554" s="73" t="str">
        <f t="shared" si="106"/>
        <v>A679078</v>
      </c>
      <c r="AG554" s="73" t="str">
        <f>VLOOKUP(AF554,AKT!$C$4:$E$324,3,FALSE)</f>
        <v>0942</v>
      </c>
    </row>
    <row r="555" spans="30:33">
      <c r="AD555" s="73" t="s">
        <v>2403</v>
      </c>
      <c r="AE555" s="73" t="s">
        <v>2404</v>
      </c>
      <c r="AF555" s="73" t="str">
        <f t="shared" si="106"/>
        <v>A679078</v>
      </c>
      <c r="AG555" s="73" t="str">
        <f>VLOOKUP(AF555,AKT!$C$4:$E$324,3,FALSE)</f>
        <v>0942</v>
      </c>
    </row>
    <row r="556" spans="30:33">
      <c r="AD556" s="73" t="s">
        <v>2405</v>
      </c>
      <c r="AE556" s="73" t="s">
        <v>2406</v>
      </c>
      <c r="AF556" s="73" t="str">
        <f t="shared" si="106"/>
        <v>A679078</v>
      </c>
      <c r="AG556" s="73" t="str">
        <f>VLOOKUP(AF556,AKT!$C$4:$E$324,3,FALSE)</f>
        <v>0942</v>
      </c>
    </row>
    <row r="557" spans="30:33">
      <c r="AD557" s="73" t="s">
        <v>2407</v>
      </c>
      <c r="AE557" s="73" t="s">
        <v>2408</v>
      </c>
      <c r="AF557" s="73" t="str">
        <f t="shared" si="106"/>
        <v>A679078</v>
      </c>
      <c r="AG557" s="73" t="str">
        <f>VLOOKUP(AF557,AKT!$C$4:$E$324,3,FALSE)</f>
        <v>0942</v>
      </c>
    </row>
    <row r="558" spans="30:33">
      <c r="AD558" s="73" t="s">
        <v>2409</v>
      </c>
      <c r="AE558" s="73" t="s">
        <v>2410</v>
      </c>
      <c r="AF558" s="73" t="str">
        <f t="shared" si="106"/>
        <v>A679078</v>
      </c>
      <c r="AG558" s="73" t="str">
        <f>VLOOKUP(AF558,AKT!$C$4:$E$324,3,FALSE)</f>
        <v>0942</v>
      </c>
    </row>
    <row r="559" spans="30:33">
      <c r="AD559" s="73" t="s">
        <v>2411</v>
      </c>
      <c r="AE559" s="73" t="s">
        <v>2412</v>
      </c>
      <c r="AF559" s="73" t="str">
        <f t="shared" si="106"/>
        <v>A679078</v>
      </c>
      <c r="AG559" s="73" t="str">
        <f>VLOOKUP(AF559,AKT!$C$4:$E$324,3,FALSE)</f>
        <v>0942</v>
      </c>
    </row>
    <row r="560" spans="30:33">
      <c r="AD560" s="73" t="s">
        <v>2413</v>
      </c>
      <c r="AE560" s="73" t="s">
        <v>2414</v>
      </c>
      <c r="AF560" s="73" t="str">
        <f t="shared" si="106"/>
        <v>A679078</v>
      </c>
      <c r="AG560" s="73" t="str">
        <f>VLOOKUP(AF560,AKT!$C$4:$E$324,3,FALSE)</f>
        <v>0942</v>
      </c>
    </row>
    <row r="561" spans="30:33">
      <c r="AD561" s="73" t="s">
        <v>2415</v>
      </c>
      <c r="AE561" s="73" t="s">
        <v>2416</v>
      </c>
      <c r="AF561" s="73" t="str">
        <f t="shared" si="106"/>
        <v>A679078</v>
      </c>
      <c r="AG561" s="73" t="str">
        <f>VLOOKUP(AF561,AKT!$C$4:$E$324,3,FALSE)</f>
        <v>0942</v>
      </c>
    </row>
    <row r="562" spans="30:33">
      <c r="AD562" s="73" t="s">
        <v>2417</v>
      </c>
      <c r="AE562" s="73" t="s">
        <v>2418</v>
      </c>
      <c r="AF562" s="73" t="str">
        <f t="shared" si="106"/>
        <v>A679078</v>
      </c>
      <c r="AG562" s="73" t="str">
        <f>VLOOKUP(AF562,AKT!$C$4:$E$324,3,FALSE)</f>
        <v>0942</v>
      </c>
    </row>
    <row r="563" spans="30:33">
      <c r="AD563" s="73" t="s">
        <v>2419</v>
      </c>
      <c r="AE563" s="73" t="s">
        <v>2420</v>
      </c>
      <c r="AF563" s="73" t="str">
        <f t="shared" si="106"/>
        <v>A679078</v>
      </c>
      <c r="AG563" s="73" t="str">
        <f>VLOOKUP(AF563,AKT!$C$4:$E$324,3,FALSE)</f>
        <v>0942</v>
      </c>
    </row>
    <row r="564" spans="30:33">
      <c r="AD564" s="73" t="s">
        <v>2421</v>
      </c>
      <c r="AE564" s="73" t="s">
        <v>2422</v>
      </c>
      <c r="AF564" s="73" t="str">
        <f t="shared" si="106"/>
        <v>A679078</v>
      </c>
      <c r="AG564" s="73" t="str">
        <f>VLOOKUP(AF564,AKT!$C$4:$E$324,3,FALSE)</f>
        <v>0942</v>
      </c>
    </row>
    <row r="565" spans="30:33">
      <c r="AD565" s="73" t="s">
        <v>2423</v>
      </c>
      <c r="AE565" s="73" t="s">
        <v>2424</v>
      </c>
      <c r="AF565" s="73" t="str">
        <f t="shared" si="106"/>
        <v>A679078</v>
      </c>
      <c r="AG565" s="73" t="str">
        <f>VLOOKUP(AF565,AKT!$C$4:$E$324,3,FALSE)</f>
        <v>0942</v>
      </c>
    </row>
    <row r="566" spans="30:33">
      <c r="AD566" s="73" t="s">
        <v>2425</v>
      </c>
      <c r="AE566" s="73" t="s">
        <v>2426</v>
      </c>
      <c r="AF566" s="73" t="str">
        <f t="shared" si="106"/>
        <v>A679078</v>
      </c>
      <c r="AG566" s="73" t="str">
        <f>VLOOKUP(AF566,AKT!$C$4:$E$324,3,FALSE)</f>
        <v>0942</v>
      </c>
    </row>
    <row r="567" spans="30:33">
      <c r="AD567" s="73" t="s">
        <v>2427</v>
      </c>
      <c r="AE567" s="73" t="s">
        <v>2428</v>
      </c>
      <c r="AF567" s="73" t="str">
        <f t="shared" si="106"/>
        <v>A679078</v>
      </c>
      <c r="AG567" s="73" t="str">
        <f>VLOOKUP(AF567,AKT!$C$4:$E$324,3,FALSE)</f>
        <v>0942</v>
      </c>
    </row>
    <row r="568" spans="30:33">
      <c r="AD568" s="73" t="s">
        <v>2429</v>
      </c>
      <c r="AE568" s="73" t="s">
        <v>2430</v>
      </c>
      <c r="AF568" s="73" t="str">
        <f t="shared" si="106"/>
        <v>A679078</v>
      </c>
      <c r="AG568" s="73" t="str">
        <f>VLOOKUP(AF568,AKT!$C$4:$E$324,3,FALSE)</f>
        <v>0942</v>
      </c>
    </row>
    <row r="569" spans="30:33">
      <c r="AD569" s="73" t="s">
        <v>2431</v>
      </c>
      <c r="AE569" s="73" t="s">
        <v>2432</v>
      </c>
      <c r="AF569" s="73" t="str">
        <f t="shared" si="106"/>
        <v>A679078</v>
      </c>
      <c r="AG569" s="73" t="str">
        <f>VLOOKUP(AF569,AKT!$C$4:$E$324,3,FALSE)</f>
        <v>0942</v>
      </c>
    </row>
    <row r="570" spans="30:33">
      <c r="AD570" s="73" t="s">
        <v>2433</v>
      </c>
      <c r="AE570" s="73" t="s">
        <v>2434</v>
      </c>
      <c r="AF570" s="73" t="str">
        <f t="shared" si="106"/>
        <v>A679078</v>
      </c>
      <c r="AG570" s="73" t="str">
        <f>VLOOKUP(AF570,AKT!$C$4:$E$324,3,FALSE)</f>
        <v>0942</v>
      </c>
    </row>
    <row r="571" spans="30:33">
      <c r="AD571" s="73" t="s">
        <v>2435</v>
      </c>
      <c r="AE571" s="73" t="s">
        <v>2436</v>
      </c>
      <c r="AF571" s="73" t="str">
        <f t="shared" si="106"/>
        <v>A679078</v>
      </c>
      <c r="AG571" s="73" t="str">
        <f>VLOOKUP(AF571,AKT!$C$4:$E$324,3,FALSE)</f>
        <v>0942</v>
      </c>
    </row>
    <row r="572" spans="30:33">
      <c r="AD572" s="73" t="s">
        <v>2437</v>
      </c>
      <c r="AE572" s="73" t="s">
        <v>2438</v>
      </c>
      <c r="AF572" s="73" t="str">
        <f t="shared" si="106"/>
        <v>A679078</v>
      </c>
      <c r="AG572" s="73" t="str">
        <f>VLOOKUP(AF572,AKT!$C$4:$E$324,3,FALSE)</f>
        <v>0942</v>
      </c>
    </row>
    <row r="573" spans="30:33">
      <c r="AD573" s="73" t="s">
        <v>2439</v>
      </c>
      <c r="AE573" s="73" t="s">
        <v>2440</v>
      </c>
      <c r="AF573" s="73" t="str">
        <f t="shared" si="106"/>
        <v>A679078</v>
      </c>
      <c r="AG573" s="73" t="str">
        <f>VLOOKUP(AF573,AKT!$C$4:$E$324,3,FALSE)</f>
        <v>0942</v>
      </c>
    </row>
    <row r="574" spans="30:33">
      <c r="AD574" s="73" t="s">
        <v>2441</v>
      </c>
      <c r="AE574" s="73" t="s">
        <v>2442</v>
      </c>
      <c r="AF574" s="73" t="str">
        <f t="shared" si="106"/>
        <v>A679078</v>
      </c>
      <c r="AG574" s="73" t="str">
        <f>VLOOKUP(AF574,AKT!$C$4:$E$324,3,FALSE)</f>
        <v>0942</v>
      </c>
    </row>
    <row r="575" spans="30:33">
      <c r="AD575" s="73" t="s">
        <v>2443</v>
      </c>
      <c r="AE575" s="73" t="s">
        <v>2444</v>
      </c>
      <c r="AF575" s="73" t="str">
        <f t="shared" ref="AF575:AF638" si="107">LEFT(AD575,7)</f>
        <v>A679078</v>
      </c>
      <c r="AG575" s="73" t="str">
        <f>VLOOKUP(AF575,AKT!$C$4:$E$324,3,FALSE)</f>
        <v>0942</v>
      </c>
    </row>
    <row r="576" spans="30:33">
      <c r="AD576" s="73" t="s">
        <v>2445</v>
      </c>
      <c r="AE576" s="73" t="s">
        <v>2446</v>
      </c>
      <c r="AF576" s="73" t="str">
        <f t="shared" si="107"/>
        <v>A679078</v>
      </c>
      <c r="AG576" s="73" t="str">
        <f>VLOOKUP(AF576,AKT!$C$4:$E$324,3,FALSE)</f>
        <v>0942</v>
      </c>
    </row>
    <row r="577" spans="30:33">
      <c r="AD577" s="73" t="s">
        <v>2447</v>
      </c>
      <c r="AE577" s="73" t="s">
        <v>2448</v>
      </c>
      <c r="AF577" s="73" t="str">
        <f t="shared" si="107"/>
        <v>A679078</v>
      </c>
      <c r="AG577" s="73" t="str">
        <f>VLOOKUP(AF577,AKT!$C$4:$E$324,3,FALSE)</f>
        <v>0942</v>
      </c>
    </row>
    <row r="578" spans="30:33">
      <c r="AD578" s="73" t="s">
        <v>2449</v>
      </c>
      <c r="AE578" s="73" t="s">
        <v>2450</v>
      </c>
      <c r="AF578" s="73" t="str">
        <f t="shared" si="107"/>
        <v>A679078</v>
      </c>
      <c r="AG578" s="73" t="str">
        <f>VLOOKUP(AF578,AKT!$C$4:$E$324,3,FALSE)</f>
        <v>0942</v>
      </c>
    </row>
    <row r="579" spans="30:33">
      <c r="AD579" s="73" t="s">
        <v>2451</v>
      </c>
      <c r="AE579" s="73" t="s">
        <v>2452</v>
      </c>
      <c r="AF579" s="73" t="str">
        <f t="shared" si="107"/>
        <v>A679078</v>
      </c>
      <c r="AG579" s="73" t="str">
        <f>VLOOKUP(AF579,AKT!$C$4:$E$324,3,FALSE)</f>
        <v>0942</v>
      </c>
    </row>
    <row r="580" spans="30:33">
      <c r="AD580" s="73" t="s">
        <v>2453</v>
      </c>
      <c r="AE580" s="73" t="s">
        <v>2454</v>
      </c>
      <c r="AF580" s="73" t="str">
        <f t="shared" si="107"/>
        <v>A679078</v>
      </c>
      <c r="AG580" s="73" t="str">
        <f>VLOOKUP(AF580,AKT!$C$4:$E$324,3,FALSE)</f>
        <v>0942</v>
      </c>
    </row>
    <row r="581" spans="30:33">
      <c r="AD581" s="73" t="s">
        <v>2455</v>
      </c>
      <c r="AE581" s="73" t="s">
        <v>2456</v>
      </c>
      <c r="AF581" s="73" t="str">
        <f t="shared" si="107"/>
        <v>A679078</v>
      </c>
      <c r="AG581" s="73" t="str">
        <f>VLOOKUP(AF581,AKT!$C$4:$E$324,3,FALSE)</f>
        <v>0942</v>
      </c>
    </row>
    <row r="582" spans="30:33">
      <c r="AD582" s="73" t="s">
        <v>2457</v>
      </c>
      <c r="AE582" s="73" t="s">
        <v>2458</v>
      </c>
      <c r="AF582" s="73" t="str">
        <f t="shared" si="107"/>
        <v>A679078</v>
      </c>
      <c r="AG582" s="73" t="str">
        <f>VLOOKUP(AF582,AKT!$C$4:$E$324,3,FALSE)</f>
        <v>0942</v>
      </c>
    </row>
    <row r="583" spans="30:33">
      <c r="AD583" s="73" t="s">
        <v>2459</v>
      </c>
      <c r="AE583" s="73" t="s">
        <v>2460</v>
      </c>
      <c r="AF583" s="73" t="str">
        <f t="shared" si="107"/>
        <v>A679078</v>
      </c>
      <c r="AG583" s="73" t="str">
        <f>VLOOKUP(AF583,AKT!$C$4:$E$324,3,FALSE)</f>
        <v>0942</v>
      </c>
    </row>
    <row r="584" spans="30:33">
      <c r="AD584" s="73" t="s">
        <v>2461</v>
      </c>
      <c r="AE584" s="73" t="s">
        <v>2462</v>
      </c>
      <c r="AF584" s="73" t="str">
        <f t="shared" si="107"/>
        <v>A679078</v>
      </c>
      <c r="AG584" s="73" t="str">
        <f>VLOOKUP(AF584,AKT!$C$4:$E$324,3,FALSE)</f>
        <v>0942</v>
      </c>
    </row>
    <row r="585" spans="30:33">
      <c r="AD585" s="73" t="s">
        <v>2463</v>
      </c>
      <c r="AE585" s="73" t="s">
        <v>2464</v>
      </c>
      <c r="AF585" s="73" t="str">
        <f t="shared" si="107"/>
        <v>A679078</v>
      </c>
      <c r="AG585" s="73" t="str">
        <f>VLOOKUP(AF585,AKT!$C$4:$E$324,3,FALSE)</f>
        <v>0942</v>
      </c>
    </row>
    <row r="586" spans="30:33">
      <c r="AD586" s="73" t="s">
        <v>2465</v>
      </c>
      <c r="AE586" s="73" t="s">
        <v>2466</v>
      </c>
      <c r="AF586" s="73" t="str">
        <f t="shared" si="107"/>
        <v>A679078</v>
      </c>
      <c r="AG586" s="73" t="str">
        <f>VLOOKUP(AF586,AKT!$C$4:$E$324,3,FALSE)</f>
        <v>0942</v>
      </c>
    </row>
    <row r="587" spans="30:33">
      <c r="AD587" s="73" t="s">
        <v>2467</v>
      </c>
      <c r="AE587" s="73" t="s">
        <v>2468</v>
      </c>
      <c r="AF587" s="73" t="str">
        <f t="shared" si="107"/>
        <v>A679078</v>
      </c>
      <c r="AG587" s="73" t="str">
        <f>VLOOKUP(AF587,AKT!$C$4:$E$324,3,FALSE)</f>
        <v>0942</v>
      </c>
    </row>
    <row r="588" spans="30:33">
      <c r="AD588" s="73" t="s">
        <v>2469</v>
      </c>
      <c r="AE588" s="73" t="s">
        <v>2470</v>
      </c>
      <c r="AF588" s="73" t="str">
        <f t="shared" si="107"/>
        <v>A679078</v>
      </c>
      <c r="AG588" s="73" t="str">
        <f>VLOOKUP(AF588,AKT!$C$4:$E$324,3,FALSE)</f>
        <v>0942</v>
      </c>
    </row>
    <row r="589" spans="30:33">
      <c r="AD589" s="73" t="s">
        <v>2471</v>
      </c>
      <c r="AE589" s="73" t="s">
        <v>2472</v>
      </c>
      <c r="AF589" s="73" t="str">
        <f t="shared" si="107"/>
        <v>A679078</v>
      </c>
      <c r="AG589" s="73" t="str">
        <f>VLOOKUP(AF589,AKT!$C$4:$E$324,3,FALSE)</f>
        <v>0942</v>
      </c>
    </row>
    <row r="590" spans="30:33">
      <c r="AD590" s="73" t="s">
        <v>2473</v>
      </c>
      <c r="AE590" s="73" t="s">
        <v>2474</v>
      </c>
      <c r="AF590" s="73" t="str">
        <f t="shared" si="107"/>
        <v>A679078</v>
      </c>
      <c r="AG590" s="73" t="str">
        <f>VLOOKUP(AF590,AKT!$C$4:$E$324,3,FALSE)</f>
        <v>0942</v>
      </c>
    </row>
    <row r="591" spans="30:33">
      <c r="AD591" s="73" t="s">
        <v>2475</v>
      </c>
      <c r="AE591" s="73" t="s">
        <v>2476</v>
      </c>
      <c r="AF591" s="73" t="str">
        <f t="shared" si="107"/>
        <v>A679078</v>
      </c>
      <c r="AG591" s="73" t="str">
        <f>VLOOKUP(AF591,AKT!$C$4:$E$324,3,FALSE)</f>
        <v>0942</v>
      </c>
    </row>
    <row r="592" spans="30:33">
      <c r="AD592" s="73" t="s">
        <v>2477</v>
      </c>
      <c r="AE592" s="73" t="s">
        <v>2478</v>
      </c>
      <c r="AF592" s="73" t="str">
        <f t="shared" si="107"/>
        <v>A679078</v>
      </c>
      <c r="AG592" s="73" t="str">
        <f>VLOOKUP(AF592,AKT!$C$4:$E$324,3,FALSE)</f>
        <v>0942</v>
      </c>
    </row>
    <row r="593" spans="30:33">
      <c r="AD593" s="73" t="s">
        <v>2479</v>
      </c>
      <c r="AE593" s="73" t="s">
        <v>2480</v>
      </c>
      <c r="AF593" s="73" t="str">
        <f t="shared" si="107"/>
        <v>A679078</v>
      </c>
      <c r="AG593" s="73" t="str">
        <f>VLOOKUP(AF593,AKT!$C$4:$E$324,3,FALSE)</f>
        <v>0942</v>
      </c>
    </row>
    <row r="594" spans="30:33">
      <c r="AD594" s="73" t="s">
        <v>2481</v>
      </c>
      <c r="AE594" s="73" t="s">
        <v>2482</v>
      </c>
      <c r="AF594" s="73" t="str">
        <f t="shared" si="107"/>
        <v>A679078</v>
      </c>
      <c r="AG594" s="73" t="str">
        <f>VLOOKUP(AF594,AKT!$C$4:$E$324,3,FALSE)</f>
        <v>0942</v>
      </c>
    </row>
    <row r="595" spans="30:33">
      <c r="AD595" s="73" t="s">
        <v>2483</v>
      </c>
      <c r="AE595" s="73" t="s">
        <v>2484</v>
      </c>
      <c r="AF595" s="73" t="str">
        <f t="shared" si="107"/>
        <v>A679078</v>
      </c>
      <c r="AG595" s="73" t="str">
        <f>VLOOKUP(AF595,AKT!$C$4:$E$324,3,FALSE)</f>
        <v>0942</v>
      </c>
    </row>
    <row r="596" spans="30:33">
      <c r="AD596" s="73" t="s">
        <v>2485</v>
      </c>
      <c r="AE596" s="73" t="s">
        <v>2486</v>
      </c>
      <c r="AF596" s="73" t="str">
        <f t="shared" si="107"/>
        <v>A679078</v>
      </c>
      <c r="AG596" s="73" t="str">
        <f>VLOOKUP(AF596,AKT!$C$4:$E$324,3,FALSE)</f>
        <v>0942</v>
      </c>
    </row>
    <row r="597" spans="30:33">
      <c r="AD597" s="73" t="s">
        <v>2487</v>
      </c>
      <c r="AE597" s="73" t="s">
        <v>2488</v>
      </c>
      <c r="AF597" s="73" t="str">
        <f t="shared" si="107"/>
        <v>A679078</v>
      </c>
      <c r="AG597" s="73" t="str">
        <f>VLOOKUP(AF597,AKT!$C$4:$E$324,3,FALSE)</f>
        <v>0942</v>
      </c>
    </row>
    <row r="598" spans="30:33">
      <c r="AD598" s="73" t="s">
        <v>2489</v>
      </c>
      <c r="AE598" s="73" t="s">
        <v>2490</v>
      </c>
      <c r="AF598" s="73" t="str">
        <f t="shared" si="107"/>
        <v>A679078</v>
      </c>
      <c r="AG598" s="73" t="str">
        <f>VLOOKUP(AF598,AKT!$C$4:$E$324,3,FALSE)</f>
        <v>0942</v>
      </c>
    </row>
    <row r="599" spans="30:33">
      <c r="AD599" s="73" t="s">
        <v>2491</v>
      </c>
      <c r="AE599" s="73" t="s">
        <v>2492</v>
      </c>
      <c r="AF599" s="73" t="str">
        <f t="shared" si="107"/>
        <v>A679078</v>
      </c>
      <c r="AG599" s="73" t="str">
        <f>VLOOKUP(AF599,AKT!$C$4:$E$324,3,FALSE)</f>
        <v>0942</v>
      </c>
    </row>
    <row r="600" spans="30:33">
      <c r="AD600" s="73" t="s">
        <v>2493</v>
      </c>
      <c r="AE600" s="73" t="s">
        <v>2494</v>
      </c>
      <c r="AF600" s="73" t="str">
        <f t="shared" si="107"/>
        <v>A679078</v>
      </c>
      <c r="AG600" s="73" t="str">
        <f>VLOOKUP(AF600,AKT!$C$4:$E$324,3,FALSE)</f>
        <v>0942</v>
      </c>
    </row>
    <row r="601" spans="30:33">
      <c r="AD601" s="73" t="s">
        <v>2495</v>
      </c>
      <c r="AE601" s="73" t="s">
        <v>2496</v>
      </c>
      <c r="AF601" s="73" t="str">
        <f t="shared" si="107"/>
        <v>A679078</v>
      </c>
      <c r="AG601" s="73" t="str">
        <f>VLOOKUP(AF601,AKT!$C$4:$E$324,3,FALSE)</f>
        <v>0942</v>
      </c>
    </row>
    <row r="602" spans="30:33">
      <c r="AD602" s="73" t="s">
        <v>2497</v>
      </c>
      <c r="AE602" s="73" t="s">
        <v>2498</v>
      </c>
      <c r="AF602" s="73" t="str">
        <f t="shared" si="107"/>
        <v>A679078</v>
      </c>
      <c r="AG602" s="73" t="str">
        <f>VLOOKUP(AF602,AKT!$C$4:$E$324,3,FALSE)</f>
        <v>0942</v>
      </c>
    </row>
    <row r="603" spans="30:33">
      <c r="AD603" s="73" t="s">
        <v>2499</v>
      </c>
      <c r="AE603" s="73" t="s">
        <v>2500</v>
      </c>
      <c r="AF603" s="73" t="str">
        <f t="shared" si="107"/>
        <v>A679078</v>
      </c>
      <c r="AG603" s="73" t="str">
        <f>VLOOKUP(AF603,AKT!$C$4:$E$324,3,FALSE)</f>
        <v>0942</v>
      </c>
    </row>
    <row r="604" spans="30:33">
      <c r="AD604" s="73" t="s">
        <v>2501</v>
      </c>
      <c r="AE604" s="73" t="s">
        <v>2502</v>
      </c>
      <c r="AF604" s="73" t="str">
        <f t="shared" si="107"/>
        <v>A679078</v>
      </c>
      <c r="AG604" s="73" t="str">
        <f>VLOOKUP(AF604,AKT!$C$4:$E$324,3,FALSE)</f>
        <v>0942</v>
      </c>
    </row>
    <row r="605" spans="30:33">
      <c r="AD605" s="73" t="s">
        <v>2503</v>
      </c>
      <c r="AE605" s="73" t="s">
        <v>2504</v>
      </c>
      <c r="AF605" s="73" t="str">
        <f t="shared" si="107"/>
        <v>A679078</v>
      </c>
      <c r="AG605" s="73" t="str">
        <f>VLOOKUP(AF605,AKT!$C$4:$E$324,3,FALSE)</f>
        <v>0942</v>
      </c>
    </row>
    <row r="606" spans="30:33">
      <c r="AD606" s="73" t="s">
        <v>2505</v>
      </c>
      <c r="AE606" s="73" t="s">
        <v>2506</v>
      </c>
      <c r="AF606" s="73" t="str">
        <f t="shared" si="107"/>
        <v>A679078</v>
      </c>
      <c r="AG606" s="73" t="str">
        <f>VLOOKUP(AF606,AKT!$C$4:$E$324,3,FALSE)</f>
        <v>0942</v>
      </c>
    </row>
    <row r="607" spans="30:33">
      <c r="AD607" s="73" t="s">
        <v>2507</v>
      </c>
      <c r="AE607" s="73" t="s">
        <v>2508</v>
      </c>
      <c r="AF607" s="73" t="str">
        <f t="shared" si="107"/>
        <v>A679078</v>
      </c>
      <c r="AG607" s="73" t="str">
        <f>VLOOKUP(AF607,AKT!$C$4:$E$324,3,FALSE)</f>
        <v>0942</v>
      </c>
    </row>
    <row r="608" spans="30:33">
      <c r="AD608" s="73" t="s">
        <v>2509</v>
      </c>
      <c r="AE608" s="73" t="s">
        <v>2510</v>
      </c>
      <c r="AF608" s="73" t="str">
        <f t="shared" si="107"/>
        <v>A679078</v>
      </c>
      <c r="AG608" s="73" t="str">
        <f>VLOOKUP(AF608,AKT!$C$4:$E$324,3,FALSE)</f>
        <v>0942</v>
      </c>
    </row>
    <row r="609" spans="30:33">
      <c r="AD609" s="73" t="s">
        <v>2511</v>
      </c>
      <c r="AE609" s="73" t="s">
        <v>2512</v>
      </c>
      <c r="AF609" s="73" t="str">
        <f t="shared" si="107"/>
        <v>A679078</v>
      </c>
      <c r="AG609" s="73" t="str">
        <f>VLOOKUP(AF609,AKT!$C$4:$E$324,3,FALSE)</f>
        <v>0942</v>
      </c>
    </row>
    <row r="610" spans="30:33">
      <c r="AD610" s="73" t="s">
        <v>2513</v>
      </c>
      <c r="AE610" s="73" t="s">
        <v>2514</v>
      </c>
      <c r="AF610" s="73" t="str">
        <f t="shared" si="107"/>
        <v>A679078</v>
      </c>
      <c r="AG610" s="73" t="str">
        <f>VLOOKUP(AF610,AKT!$C$4:$E$324,3,FALSE)</f>
        <v>0942</v>
      </c>
    </row>
    <row r="611" spans="30:33">
      <c r="AD611" s="73" t="s">
        <v>2515</v>
      </c>
      <c r="AE611" s="73" t="s">
        <v>2516</v>
      </c>
      <c r="AF611" s="73" t="str">
        <f t="shared" si="107"/>
        <v>A679078</v>
      </c>
      <c r="AG611" s="73" t="str">
        <f>VLOOKUP(AF611,AKT!$C$4:$E$324,3,FALSE)</f>
        <v>0942</v>
      </c>
    </row>
    <row r="612" spans="30:33">
      <c r="AD612" s="73" t="s">
        <v>2517</v>
      </c>
      <c r="AE612" s="73" t="s">
        <v>2518</v>
      </c>
      <c r="AF612" s="73" t="str">
        <f t="shared" si="107"/>
        <v>A679078</v>
      </c>
      <c r="AG612" s="73" t="str">
        <f>VLOOKUP(AF612,AKT!$C$4:$E$324,3,FALSE)</f>
        <v>0942</v>
      </c>
    </row>
    <row r="613" spans="30:33">
      <c r="AD613" s="73" t="s">
        <v>2519</v>
      </c>
      <c r="AE613" s="73" t="s">
        <v>2520</v>
      </c>
      <c r="AF613" s="73" t="str">
        <f t="shared" si="107"/>
        <v>A679078</v>
      </c>
      <c r="AG613" s="73" t="str">
        <f>VLOOKUP(AF613,AKT!$C$4:$E$324,3,FALSE)</f>
        <v>0942</v>
      </c>
    </row>
    <row r="614" spans="30:33">
      <c r="AD614" s="73" t="s">
        <v>2521</v>
      </c>
      <c r="AE614" s="73" t="s">
        <v>2522</v>
      </c>
      <c r="AF614" s="73" t="str">
        <f t="shared" si="107"/>
        <v>A679078</v>
      </c>
      <c r="AG614" s="73" t="str">
        <f>VLOOKUP(AF614,AKT!$C$4:$E$324,3,FALSE)</f>
        <v>0942</v>
      </c>
    </row>
    <row r="615" spans="30:33">
      <c r="AD615" s="73" t="s">
        <v>2523</v>
      </c>
      <c r="AE615" s="73" t="s">
        <v>2524</v>
      </c>
      <c r="AF615" s="73" t="str">
        <f t="shared" si="107"/>
        <v>A679078</v>
      </c>
      <c r="AG615" s="73" t="str">
        <f>VLOOKUP(AF615,AKT!$C$4:$E$324,3,FALSE)</f>
        <v>0942</v>
      </c>
    </row>
    <row r="616" spans="30:33">
      <c r="AD616" s="73" t="s">
        <v>2525</v>
      </c>
      <c r="AE616" s="73" t="s">
        <v>2526</v>
      </c>
      <c r="AF616" s="73" t="str">
        <f t="shared" si="107"/>
        <v>A679078</v>
      </c>
      <c r="AG616" s="73" t="str">
        <f>VLOOKUP(AF616,AKT!$C$4:$E$324,3,FALSE)</f>
        <v>0942</v>
      </c>
    </row>
    <row r="617" spans="30:33">
      <c r="AD617" s="73" t="s">
        <v>2527</v>
      </c>
      <c r="AE617" s="73" t="s">
        <v>2528</v>
      </c>
      <c r="AF617" s="73" t="str">
        <f t="shared" si="107"/>
        <v>A679078</v>
      </c>
      <c r="AG617" s="73" t="str">
        <f>VLOOKUP(AF617,AKT!$C$4:$E$324,3,FALSE)</f>
        <v>0942</v>
      </c>
    </row>
    <row r="618" spans="30:33">
      <c r="AD618" s="73" t="s">
        <v>2529</v>
      </c>
      <c r="AE618" s="73" t="s">
        <v>2530</v>
      </c>
      <c r="AF618" s="73" t="str">
        <f t="shared" si="107"/>
        <v>A679078</v>
      </c>
      <c r="AG618" s="73" t="str">
        <f>VLOOKUP(AF618,AKT!$C$4:$E$324,3,FALSE)</f>
        <v>0942</v>
      </c>
    </row>
    <row r="619" spans="30:33">
      <c r="AD619" s="73" t="s">
        <v>2531</v>
      </c>
      <c r="AE619" s="73" t="s">
        <v>2532</v>
      </c>
      <c r="AF619" s="73" t="str">
        <f t="shared" si="107"/>
        <v>A679078</v>
      </c>
      <c r="AG619" s="73" t="str">
        <f>VLOOKUP(AF619,AKT!$C$4:$E$324,3,FALSE)</f>
        <v>0942</v>
      </c>
    </row>
    <row r="620" spans="30:33">
      <c r="AD620" s="73" t="s">
        <v>2533</v>
      </c>
      <c r="AE620" s="73" t="s">
        <v>2534</v>
      </c>
      <c r="AF620" s="73" t="str">
        <f t="shared" si="107"/>
        <v>A679078</v>
      </c>
      <c r="AG620" s="73" t="str">
        <f>VLOOKUP(AF620,AKT!$C$4:$E$324,3,FALSE)</f>
        <v>0942</v>
      </c>
    </row>
    <row r="621" spans="30:33">
      <c r="AD621" s="73" t="s">
        <v>2535</v>
      </c>
      <c r="AE621" s="73" t="s">
        <v>2536</v>
      </c>
      <c r="AF621" s="73" t="str">
        <f t="shared" si="107"/>
        <v>A679078</v>
      </c>
      <c r="AG621" s="73" t="str">
        <f>VLOOKUP(AF621,AKT!$C$4:$E$324,3,FALSE)</f>
        <v>0942</v>
      </c>
    </row>
    <row r="622" spans="30:33">
      <c r="AD622" s="73" t="s">
        <v>2537</v>
      </c>
      <c r="AE622" s="73" t="s">
        <v>2538</v>
      </c>
      <c r="AF622" s="73" t="str">
        <f t="shared" si="107"/>
        <v>A679078</v>
      </c>
      <c r="AG622" s="73" t="str">
        <f>VLOOKUP(AF622,AKT!$C$4:$E$324,3,FALSE)</f>
        <v>0942</v>
      </c>
    </row>
    <row r="623" spans="30:33">
      <c r="AD623" s="73" t="s">
        <v>2539</v>
      </c>
      <c r="AE623" s="73" t="s">
        <v>2540</v>
      </c>
      <c r="AF623" s="73" t="str">
        <f t="shared" si="107"/>
        <v>A679078</v>
      </c>
      <c r="AG623" s="73" t="str">
        <f>VLOOKUP(AF623,AKT!$C$4:$E$324,3,FALSE)</f>
        <v>0942</v>
      </c>
    </row>
    <row r="624" spans="30:33">
      <c r="AD624" s="73" t="s">
        <v>2541</v>
      </c>
      <c r="AE624" s="73" t="s">
        <v>2542</v>
      </c>
      <c r="AF624" s="73" t="str">
        <f t="shared" si="107"/>
        <v>A679078</v>
      </c>
      <c r="AG624" s="73" t="str">
        <f>VLOOKUP(AF624,AKT!$C$4:$E$324,3,FALSE)</f>
        <v>0942</v>
      </c>
    </row>
    <row r="625" spans="30:33">
      <c r="AD625" s="73" t="s">
        <v>2543</v>
      </c>
      <c r="AE625" s="73" t="s">
        <v>2544</v>
      </c>
      <c r="AF625" s="73" t="str">
        <f t="shared" si="107"/>
        <v>A679078</v>
      </c>
      <c r="AG625" s="73" t="str">
        <f>VLOOKUP(AF625,AKT!$C$4:$E$324,3,FALSE)</f>
        <v>0942</v>
      </c>
    </row>
    <row r="626" spans="30:33">
      <c r="AD626" s="73" t="s">
        <v>2545</v>
      </c>
      <c r="AE626" s="73" t="s">
        <v>2546</v>
      </c>
      <c r="AF626" s="73" t="str">
        <f t="shared" si="107"/>
        <v>A679078</v>
      </c>
      <c r="AG626" s="73" t="str">
        <f>VLOOKUP(AF626,AKT!$C$4:$E$324,3,FALSE)</f>
        <v>0942</v>
      </c>
    </row>
    <row r="627" spans="30:33">
      <c r="AD627" s="73" t="s">
        <v>2547</v>
      </c>
      <c r="AE627" s="73" t="s">
        <v>2548</v>
      </c>
      <c r="AF627" s="73" t="str">
        <f t="shared" si="107"/>
        <v>A679078</v>
      </c>
      <c r="AG627" s="73" t="str">
        <f>VLOOKUP(AF627,AKT!$C$4:$E$324,3,FALSE)</f>
        <v>0942</v>
      </c>
    </row>
    <row r="628" spans="30:33">
      <c r="AD628" s="73" t="s">
        <v>2549</v>
      </c>
      <c r="AE628" s="73" t="s">
        <v>2550</v>
      </c>
      <c r="AF628" s="73" t="str">
        <f t="shared" si="107"/>
        <v>A679078</v>
      </c>
      <c r="AG628" s="73" t="str">
        <f>VLOOKUP(AF628,AKT!$C$4:$E$324,3,FALSE)</f>
        <v>0942</v>
      </c>
    </row>
    <row r="629" spans="30:33">
      <c r="AD629" s="73" t="s">
        <v>2551</v>
      </c>
      <c r="AE629" s="73" t="s">
        <v>2552</v>
      </c>
      <c r="AF629" s="73" t="str">
        <f t="shared" si="107"/>
        <v>A679078</v>
      </c>
      <c r="AG629" s="73" t="str">
        <f>VLOOKUP(AF629,AKT!$C$4:$E$324,3,FALSE)</f>
        <v>0942</v>
      </c>
    </row>
    <row r="630" spans="30:33">
      <c r="AD630" s="73" t="s">
        <v>2553</v>
      </c>
      <c r="AE630" s="73" t="s">
        <v>2554</v>
      </c>
      <c r="AF630" s="73" t="str">
        <f t="shared" si="107"/>
        <v>A679078</v>
      </c>
      <c r="AG630" s="73" t="str">
        <f>VLOOKUP(AF630,AKT!$C$4:$E$324,3,FALSE)</f>
        <v>0942</v>
      </c>
    </row>
    <row r="631" spans="30:33">
      <c r="AD631" s="73" t="s">
        <v>2555</v>
      </c>
      <c r="AE631" s="73" t="s">
        <v>2556</v>
      </c>
      <c r="AF631" s="73" t="str">
        <f t="shared" si="107"/>
        <v>A679078</v>
      </c>
      <c r="AG631" s="73" t="str">
        <f>VLOOKUP(AF631,AKT!$C$4:$E$324,3,FALSE)</f>
        <v>0942</v>
      </c>
    </row>
    <row r="632" spans="30:33">
      <c r="AD632" s="73" t="s">
        <v>2557</v>
      </c>
      <c r="AE632" s="73" t="s">
        <v>2558</v>
      </c>
      <c r="AF632" s="73" t="str">
        <f t="shared" si="107"/>
        <v>A679078</v>
      </c>
      <c r="AG632" s="73" t="str">
        <f>VLOOKUP(AF632,AKT!$C$4:$E$324,3,FALSE)</f>
        <v>0942</v>
      </c>
    </row>
    <row r="633" spans="30:33">
      <c r="AD633" s="73" t="s">
        <v>2559</v>
      </c>
      <c r="AE633" s="73" t="s">
        <v>2560</v>
      </c>
      <c r="AF633" s="73" t="str">
        <f t="shared" si="107"/>
        <v>A679078</v>
      </c>
      <c r="AG633" s="73" t="str">
        <f>VLOOKUP(AF633,AKT!$C$4:$E$324,3,FALSE)</f>
        <v>0942</v>
      </c>
    </row>
    <row r="634" spans="30:33">
      <c r="AD634" s="73" t="s">
        <v>2561</v>
      </c>
      <c r="AE634" s="73" t="s">
        <v>2562</v>
      </c>
      <c r="AF634" s="73" t="str">
        <f t="shared" si="107"/>
        <v>A679078</v>
      </c>
      <c r="AG634" s="73" t="str">
        <f>VLOOKUP(AF634,AKT!$C$4:$E$324,3,FALSE)</f>
        <v>0942</v>
      </c>
    </row>
    <row r="635" spans="30:33">
      <c r="AD635" s="73" t="s">
        <v>2563</v>
      </c>
      <c r="AE635" s="73" t="s">
        <v>2564</v>
      </c>
      <c r="AF635" s="73" t="str">
        <f t="shared" si="107"/>
        <v>A679078</v>
      </c>
      <c r="AG635" s="73" t="str">
        <f>VLOOKUP(AF635,AKT!$C$4:$E$324,3,FALSE)</f>
        <v>0942</v>
      </c>
    </row>
    <row r="636" spans="30:33">
      <c r="AD636" s="73" t="s">
        <v>2565</v>
      </c>
      <c r="AE636" s="73" t="s">
        <v>2566</v>
      </c>
      <c r="AF636" s="73" t="str">
        <f t="shared" si="107"/>
        <v>A679078</v>
      </c>
      <c r="AG636" s="73" t="str">
        <f>VLOOKUP(AF636,AKT!$C$4:$E$324,3,FALSE)</f>
        <v>0942</v>
      </c>
    </row>
    <row r="637" spans="30:33">
      <c r="AD637" s="73" t="s">
        <v>2567</v>
      </c>
      <c r="AE637" s="73" t="s">
        <v>2568</v>
      </c>
      <c r="AF637" s="73" t="str">
        <f t="shared" si="107"/>
        <v>A679078</v>
      </c>
      <c r="AG637" s="73" t="str">
        <f>VLOOKUP(AF637,AKT!$C$4:$E$324,3,FALSE)</f>
        <v>0942</v>
      </c>
    </row>
    <row r="638" spans="30:33">
      <c r="AD638" s="73" t="s">
        <v>2569</v>
      </c>
      <c r="AE638" s="73" t="s">
        <v>2570</v>
      </c>
      <c r="AF638" s="73" t="str">
        <f t="shared" si="107"/>
        <v>A679078</v>
      </c>
      <c r="AG638" s="73" t="str">
        <f>VLOOKUP(AF638,AKT!$C$4:$E$324,3,FALSE)</f>
        <v>0942</v>
      </c>
    </row>
    <row r="639" spans="30:33">
      <c r="AD639" s="73" t="s">
        <v>2571</v>
      </c>
      <c r="AE639" s="73" t="s">
        <v>2572</v>
      </c>
      <c r="AF639" s="73" t="str">
        <f t="shared" ref="AF639:AF702" si="108">LEFT(AD639,7)</f>
        <v>A679078</v>
      </c>
      <c r="AG639" s="73" t="str">
        <f>VLOOKUP(AF639,AKT!$C$4:$E$324,3,FALSE)</f>
        <v>0942</v>
      </c>
    </row>
    <row r="640" spans="30:33">
      <c r="AD640" s="73" t="s">
        <v>2573</v>
      </c>
      <c r="AE640" s="73" t="s">
        <v>2574</v>
      </c>
      <c r="AF640" s="73" t="str">
        <f t="shared" si="108"/>
        <v>A679078</v>
      </c>
      <c r="AG640" s="73" t="str">
        <f>VLOOKUP(AF640,AKT!$C$4:$E$324,3,FALSE)</f>
        <v>0942</v>
      </c>
    </row>
    <row r="641" spans="30:33">
      <c r="AD641" s="73" t="s">
        <v>2575</v>
      </c>
      <c r="AE641" s="73" t="s">
        <v>2576</v>
      </c>
      <c r="AF641" s="73" t="str">
        <f t="shared" si="108"/>
        <v>A679078</v>
      </c>
      <c r="AG641" s="73" t="str">
        <f>VLOOKUP(AF641,AKT!$C$4:$E$324,3,FALSE)</f>
        <v>0942</v>
      </c>
    </row>
    <row r="642" spans="30:33">
      <c r="AD642" s="73" t="s">
        <v>2577</v>
      </c>
      <c r="AE642" s="73" t="s">
        <v>2578</v>
      </c>
      <c r="AF642" s="73" t="str">
        <f t="shared" si="108"/>
        <v>A679078</v>
      </c>
      <c r="AG642" s="73" t="str">
        <f>VLOOKUP(AF642,AKT!$C$4:$E$324,3,FALSE)</f>
        <v>0942</v>
      </c>
    </row>
    <row r="643" spans="30:33">
      <c r="AD643" s="73" t="s">
        <v>2579</v>
      </c>
      <c r="AE643" s="73" t="s">
        <v>2580</v>
      </c>
      <c r="AF643" s="73" t="str">
        <f t="shared" si="108"/>
        <v>A679078</v>
      </c>
      <c r="AG643" s="73" t="str">
        <f>VLOOKUP(AF643,AKT!$C$4:$E$324,3,FALSE)</f>
        <v>0942</v>
      </c>
    </row>
    <row r="644" spans="30:33">
      <c r="AD644" s="73" t="s">
        <v>2581</v>
      </c>
      <c r="AE644" s="73" t="s">
        <v>2582</v>
      </c>
      <c r="AF644" s="73" t="str">
        <f t="shared" si="108"/>
        <v>A679078</v>
      </c>
      <c r="AG644" s="73" t="str">
        <f>VLOOKUP(AF644,AKT!$C$4:$E$324,3,FALSE)</f>
        <v>0942</v>
      </c>
    </row>
    <row r="645" spans="30:33">
      <c r="AD645" s="73" t="s">
        <v>2583</v>
      </c>
      <c r="AE645" s="73" t="s">
        <v>2584</v>
      </c>
      <c r="AF645" s="73" t="str">
        <f t="shared" si="108"/>
        <v>A679078</v>
      </c>
      <c r="AG645" s="73" t="str">
        <f>VLOOKUP(AF645,AKT!$C$4:$E$324,3,FALSE)</f>
        <v>0942</v>
      </c>
    </row>
    <row r="646" spans="30:33">
      <c r="AD646" s="73" t="s">
        <v>2585</v>
      </c>
      <c r="AE646" s="73" t="s">
        <v>2586</v>
      </c>
      <c r="AF646" s="73" t="str">
        <f t="shared" si="108"/>
        <v>A679078</v>
      </c>
      <c r="AG646" s="73" t="str">
        <f>VLOOKUP(AF646,AKT!$C$4:$E$324,3,FALSE)</f>
        <v>0942</v>
      </c>
    </row>
    <row r="647" spans="30:33">
      <c r="AD647" s="73" t="s">
        <v>2587</v>
      </c>
      <c r="AE647" s="73" t="s">
        <v>2588</v>
      </c>
      <c r="AF647" s="73" t="str">
        <f t="shared" si="108"/>
        <v>A679078</v>
      </c>
      <c r="AG647" s="73" t="str">
        <f>VLOOKUP(AF647,AKT!$C$4:$E$324,3,FALSE)</f>
        <v>0942</v>
      </c>
    </row>
    <row r="648" spans="30:33">
      <c r="AD648" s="73" t="s">
        <v>2589</v>
      </c>
      <c r="AE648" s="73" t="s">
        <v>2590</v>
      </c>
      <c r="AF648" s="73" t="str">
        <f t="shared" si="108"/>
        <v>A679078</v>
      </c>
      <c r="AG648" s="73" t="str">
        <f>VLOOKUP(AF648,AKT!$C$4:$E$324,3,FALSE)</f>
        <v>0942</v>
      </c>
    </row>
    <row r="649" spans="30:33">
      <c r="AD649" s="73" t="s">
        <v>2591</v>
      </c>
      <c r="AE649" s="73" t="s">
        <v>2592</v>
      </c>
      <c r="AF649" s="73" t="str">
        <f t="shared" si="108"/>
        <v>A679078</v>
      </c>
      <c r="AG649" s="73" t="str">
        <f>VLOOKUP(AF649,AKT!$C$4:$E$324,3,FALSE)</f>
        <v>0942</v>
      </c>
    </row>
    <row r="650" spans="30:33">
      <c r="AD650" s="73" t="s">
        <v>2593</v>
      </c>
      <c r="AE650" s="73" t="s">
        <v>2594</v>
      </c>
      <c r="AF650" s="73" t="str">
        <f t="shared" si="108"/>
        <v>A679078</v>
      </c>
      <c r="AG650" s="73" t="str">
        <f>VLOOKUP(AF650,AKT!$C$4:$E$324,3,FALSE)</f>
        <v>0942</v>
      </c>
    </row>
    <row r="651" spans="30:33">
      <c r="AD651" s="73" t="s">
        <v>2595</v>
      </c>
      <c r="AE651" s="73" t="s">
        <v>2596</v>
      </c>
      <c r="AF651" s="73" t="str">
        <f t="shared" si="108"/>
        <v>A679078</v>
      </c>
      <c r="AG651" s="73" t="str">
        <f>VLOOKUP(AF651,AKT!$C$4:$E$324,3,FALSE)</f>
        <v>0942</v>
      </c>
    </row>
    <row r="652" spans="30:33">
      <c r="AD652" s="73" t="s">
        <v>2597</v>
      </c>
      <c r="AE652" s="73" t="s">
        <v>2598</v>
      </c>
      <c r="AF652" s="73" t="str">
        <f t="shared" si="108"/>
        <v>A679078</v>
      </c>
      <c r="AG652" s="73" t="str">
        <f>VLOOKUP(AF652,AKT!$C$4:$E$324,3,FALSE)</f>
        <v>0942</v>
      </c>
    </row>
    <row r="653" spans="30:33">
      <c r="AD653" s="73" t="s">
        <v>2599</v>
      </c>
      <c r="AE653" s="73" t="s">
        <v>2600</v>
      </c>
      <c r="AF653" s="73" t="str">
        <f t="shared" si="108"/>
        <v>A679078</v>
      </c>
      <c r="AG653" s="73" t="str">
        <f>VLOOKUP(AF653,AKT!$C$4:$E$324,3,FALSE)</f>
        <v>0942</v>
      </c>
    </row>
    <row r="654" spans="30:33">
      <c r="AD654" s="73" t="s">
        <v>2601</v>
      </c>
      <c r="AE654" s="73" t="s">
        <v>2602</v>
      </c>
      <c r="AF654" s="73" t="str">
        <f t="shared" si="108"/>
        <v>A679078</v>
      </c>
      <c r="AG654" s="73" t="str">
        <f>VLOOKUP(AF654,AKT!$C$4:$E$324,3,FALSE)</f>
        <v>0942</v>
      </c>
    </row>
    <row r="655" spans="30:33">
      <c r="AD655" s="73" t="s">
        <v>2603</v>
      </c>
      <c r="AE655" s="73" t="s">
        <v>2604</v>
      </c>
      <c r="AF655" s="73" t="str">
        <f t="shared" si="108"/>
        <v>A679078</v>
      </c>
      <c r="AG655" s="73" t="str">
        <f>VLOOKUP(AF655,AKT!$C$4:$E$324,3,FALSE)</f>
        <v>0942</v>
      </c>
    </row>
    <row r="656" spans="30:33">
      <c r="AD656" s="73" t="s">
        <v>2605</v>
      </c>
      <c r="AE656" s="73" t="s">
        <v>2606</v>
      </c>
      <c r="AF656" s="73" t="str">
        <f t="shared" si="108"/>
        <v>A679078</v>
      </c>
      <c r="AG656" s="73" t="str">
        <f>VLOOKUP(AF656,AKT!$C$4:$E$324,3,FALSE)</f>
        <v>0942</v>
      </c>
    </row>
    <row r="657" spans="30:33">
      <c r="AD657" s="73" t="s">
        <v>2607</v>
      </c>
      <c r="AE657" s="73" t="s">
        <v>2608</v>
      </c>
      <c r="AF657" s="73" t="str">
        <f t="shared" si="108"/>
        <v>A679078</v>
      </c>
      <c r="AG657" s="73" t="str">
        <f>VLOOKUP(AF657,AKT!$C$4:$E$324,3,FALSE)</f>
        <v>0942</v>
      </c>
    </row>
    <row r="658" spans="30:33">
      <c r="AD658" s="73" t="s">
        <v>2609</v>
      </c>
      <c r="AE658" s="73" t="s">
        <v>2610</v>
      </c>
      <c r="AF658" s="73" t="str">
        <f t="shared" si="108"/>
        <v>A679078</v>
      </c>
      <c r="AG658" s="73" t="str">
        <f>VLOOKUP(AF658,AKT!$C$4:$E$324,3,FALSE)</f>
        <v>0942</v>
      </c>
    </row>
    <row r="659" spans="30:33">
      <c r="AD659" s="73" t="s">
        <v>2611</v>
      </c>
      <c r="AE659" s="73" t="s">
        <v>2612</v>
      </c>
      <c r="AF659" s="73" t="str">
        <f t="shared" si="108"/>
        <v>A679078</v>
      </c>
      <c r="AG659" s="73" t="str">
        <f>VLOOKUP(AF659,AKT!$C$4:$E$324,3,FALSE)</f>
        <v>0942</v>
      </c>
    </row>
    <row r="660" spans="30:33">
      <c r="AD660" s="73" t="s">
        <v>2613</v>
      </c>
      <c r="AE660" s="73" t="s">
        <v>2614</v>
      </c>
      <c r="AF660" s="73" t="str">
        <f t="shared" si="108"/>
        <v>A679078</v>
      </c>
      <c r="AG660" s="73" t="str">
        <f>VLOOKUP(AF660,AKT!$C$4:$E$324,3,FALSE)</f>
        <v>0942</v>
      </c>
    </row>
    <row r="661" spans="30:33">
      <c r="AD661" s="73" t="s">
        <v>2615</v>
      </c>
      <c r="AE661" s="73" t="s">
        <v>2616</v>
      </c>
      <c r="AF661" s="73" t="str">
        <f t="shared" si="108"/>
        <v>A679078</v>
      </c>
      <c r="AG661" s="73" t="str">
        <f>VLOOKUP(AF661,AKT!$C$4:$E$324,3,FALSE)</f>
        <v>0942</v>
      </c>
    </row>
    <row r="662" spans="30:33">
      <c r="AD662" s="73" t="s">
        <v>2617</v>
      </c>
      <c r="AE662" s="73" t="s">
        <v>2618</v>
      </c>
      <c r="AF662" s="73" t="str">
        <f t="shared" si="108"/>
        <v>A679078</v>
      </c>
      <c r="AG662" s="73" t="str">
        <f>VLOOKUP(AF662,AKT!$C$4:$E$324,3,FALSE)</f>
        <v>0942</v>
      </c>
    </row>
    <row r="663" spans="30:33">
      <c r="AD663" s="73" t="s">
        <v>2619</v>
      </c>
      <c r="AE663" s="73" t="s">
        <v>2620</v>
      </c>
      <c r="AF663" s="73" t="str">
        <f t="shared" si="108"/>
        <v>A679078</v>
      </c>
      <c r="AG663" s="73" t="str">
        <f>VLOOKUP(AF663,AKT!$C$4:$E$324,3,FALSE)</f>
        <v>0942</v>
      </c>
    </row>
    <row r="664" spans="30:33">
      <c r="AD664" s="73" t="s">
        <v>2621</v>
      </c>
      <c r="AE664" s="73" t="s">
        <v>2622</v>
      </c>
      <c r="AF664" s="73" t="str">
        <f t="shared" si="108"/>
        <v>A679078</v>
      </c>
      <c r="AG664" s="73" t="str">
        <f>VLOOKUP(AF664,AKT!$C$4:$E$324,3,FALSE)</f>
        <v>0942</v>
      </c>
    </row>
    <row r="665" spans="30:33">
      <c r="AD665" s="73" t="s">
        <v>2623</v>
      </c>
      <c r="AE665" s="73" t="s">
        <v>2624</v>
      </c>
      <c r="AF665" s="73" t="str">
        <f t="shared" si="108"/>
        <v>A679078</v>
      </c>
      <c r="AG665" s="73" t="str">
        <f>VLOOKUP(AF665,AKT!$C$4:$E$324,3,FALSE)</f>
        <v>0942</v>
      </c>
    </row>
    <row r="666" spans="30:33">
      <c r="AD666" s="73" t="s">
        <v>2625</v>
      </c>
      <c r="AE666" s="73" t="s">
        <v>2626</v>
      </c>
      <c r="AF666" s="73" t="str">
        <f t="shared" si="108"/>
        <v>A679078</v>
      </c>
      <c r="AG666" s="73" t="str">
        <f>VLOOKUP(AF666,AKT!$C$4:$E$324,3,FALSE)</f>
        <v>0942</v>
      </c>
    </row>
    <row r="667" spans="30:33">
      <c r="AD667" s="73" t="s">
        <v>2627</v>
      </c>
      <c r="AE667" s="73" t="s">
        <v>2628</v>
      </c>
      <c r="AF667" s="73" t="str">
        <f t="shared" si="108"/>
        <v>A679078</v>
      </c>
      <c r="AG667" s="73" t="str">
        <f>VLOOKUP(AF667,AKT!$C$4:$E$324,3,FALSE)</f>
        <v>0942</v>
      </c>
    </row>
    <row r="668" spans="30:33">
      <c r="AD668" s="73" t="s">
        <v>2629</v>
      </c>
      <c r="AE668" s="73" t="s">
        <v>2630</v>
      </c>
      <c r="AF668" s="73" t="str">
        <f t="shared" si="108"/>
        <v>A679078</v>
      </c>
      <c r="AG668" s="73" t="str">
        <f>VLOOKUP(AF668,AKT!$C$4:$E$324,3,FALSE)</f>
        <v>0942</v>
      </c>
    </row>
    <row r="669" spans="30:33">
      <c r="AD669" s="73" t="s">
        <v>2631</v>
      </c>
      <c r="AE669" s="73" t="s">
        <v>2632</v>
      </c>
      <c r="AF669" s="73" t="str">
        <f t="shared" si="108"/>
        <v>A679078</v>
      </c>
      <c r="AG669" s="73" t="str">
        <f>VLOOKUP(AF669,AKT!$C$4:$E$324,3,FALSE)</f>
        <v>0942</v>
      </c>
    </row>
    <row r="670" spans="30:33">
      <c r="AD670" s="73" t="s">
        <v>2633</v>
      </c>
      <c r="AE670" s="73" t="s">
        <v>2634</v>
      </c>
      <c r="AF670" s="73" t="str">
        <f t="shared" si="108"/>
        <v>A679078</v>
      </c>
      <c r="AG670" s="73" t="str">
        <f>VLOOKUP(AF670,AKT!$C$4:$E$324,3,FALSE)</f>
        <v>0942</v>
      </c>
    </row>
    <row r="671" spans="30:33">
      <c r="AD671" s="73" t="s">
        <v>2635</v>
      </c>
      <c r="AE671" s="73" t="s">
        <v>2636</v>
      </c>
      <c r="AF671" s="73" t="str">
        <f t="shared" si="108"/>
        <v>A679078</v>
      </c>
      <c r="AG671" s="73" t="str">
        <f>VLOOKUP(AF671,AKT!$C$4:$E$324,3,FALSE)</f>
        <v>0942</v>
      </c>
    </row>
    <row r="672" spans="30:33">
      <c r="AD672" s="73" t="s">
        <v>2637</v>
      </c>
      <c r="AE672" s="73" t="s">
        <v>2638</v>
      </c>
      <c r="AF672" s="73" t="str">
        <f t="shared" si="108"/>
        <v>A679078</v>
      </c>
      <c r="AG672" s="73" t="str">
        <f>VLOOKUP(AF672,AKT!$C$4:$E$324,3,FALSE)</f>
        <v>0942</v>
      </c>
    </row>
    <row r="673" spans="30:33">
      <c r="AD673" s="73" t="s">
        <v>2639</v>
      </c>
      <c r="AE673" s="73" t="s">
        <v>2640</v>
      </c>
      <c r="AF673" s="73" t="str">
        <f t="shared" si="108"/>
        <v>A679078</v>
      </c>
      <c r="AG673" s="73" t="str">
        <f>VLOOKUP(AF673,AKT!$C$4:$E$324,3,FALSE)</f>
        <v>0942</v>
      </c>
    </row>
    <row r="674" spans="30:33">
      <c r="AD674" s="73" t="s">
        <v>2641</v>
      </c>
      <c r="AE674" s="73" t="s">
        <v>2642</v>
      </c>
      <c r="AF674" s="73" t="str">
        <f t="shared" si="108"/>
        <v>A679078</v>
      </c>
      <c r="AG674" s="73" t="str">
        <f>VLOOKUP(AF674,AKT!$C$4:$E$324,3,FALSE)</f>
        <v>0942</v>
      </c>
    </row>
    <row r="675" spans="30:33">
      <c r="AD675" s="73" t="s">
        <v>2643</v>
      </c>
      <c r="AE675" s="73" t="s">
        <v>2644</v>
      </c>
      <c r="AF675" s="73" t="str">
        <f t="shared" si="108"/>
        <v>A679078</v>
      </c>
      <c r="AG675" s="73" t="str">
        <f>VLOOKUP(AF675,AKT!$C$4:$E$324,3,FALSE)</f>
        <v>0942</v>
      </c>
    </row>
    <row r="676" spans="30:33">
      <c r="AD676" s="73" t="s">
        <v>2645</v>
      </c>
      <c r="AE676" s="73" t="s">
        <v>2646</v>
      </c>
      <c r="AF676" s="73" t="str">
        <f t="shared" si="108"/>
        <v>A679078</v>
      </c>
      <c r="AG676" s="73" t="str">
        <f>VLOOKUP(AF676,AKT!$C$4:$E$324,3,FALSE)</f>
        <v>0942</v>
      </c>
    </row>
    <row r="677" spans="30:33">
      <c r="AD677" s="73" t="s">
        <v>2647</v>
      </c>
      <c r="AE677" s="73" t="s">
        <v>2648</v>
      </c>
      <c r="AF677" s="73" t="str">
        <f t="shared" si="108"/>
        <v>A679078</v>
      </c>
      <c r="AG677" s="73" t="str">
        <f>VLOOKUP(AF677,AKT!$C$4:$E$324,3,FALSE)</f>
        <v>0942</v>
      </c>
    </row>
    <row r="678" spans="30:33">
      <c r="AD678" s="73" t="s">
        <v>2649</v>
      </c>
      <c r="AE678" s="73" t="s">
        <v>2650</v>
      </c>
      <c r="AF678" s="73" t="str">
        <f t="shared" si="108"/>
        <v>A679078</v>
      </c>
      <c r="AG678" s="73" t="str">
        <f>VLOOKUP(AF678,AKT!$C$4:$E$324,3,FALSE)</f>
        <v>0942</v>
      </c>
    </row>
    <row r="679" spans="30:33">
      <c r="AD679" s="73" t="s">
        <v>2651</v>
      </c>
      <c r="AE679" s="73" t="s">
        <v>2652</v>
      </c>
      <c r="AF679" s="73" t="str">
        <f t="shared" si="108"/>
        <v>A679078</v>
      </c>
      <c r="AG679" s="73" t="str">
        <f>VLOOKUP(AF679,AKT!$C$4:$E$324,3,FALSE)</f>
        <v>0942</v>
      </c>
    </row>
    <row r="680" spans="30:33">
      <c r="AD680" s="73" t="s">
        <v>2653</v>
      </c>
      <c r="AE680" s="73" t="s">
        <v>2654</v>
      </c>
      <c r="AF680" s="73" t="str">
        <f t="shared" si="108"/>
        <v>A679078</v>
      </c>
      <c r="AG680" s="73" t="str">
        <f>VLOOKUP(AF680,AKT!$C$4:$E$324,3,FALSE)</f>
        <v>0942</v>
      </c>
    </row>
    <row r="681" spans="30:33">
      <c r="AD681" s="73" t="s">
        <v>2655</v>
      </c>
      <c r="AE681" s="73" t="s">
        <v>2656</v>
      </c>
      <c r="AF681" s="73" t="str">
        <f t="shared" si="108"/>
        <v>A679078</v>
      </c>
      <c r="AG681" s="73" t="str">
        <f>VLOOKUP(AF681,AKT!$C$4:$E$324,3,FALSE)</f>
        <v>0942</v>
      </c>
    </row>
    <row r="682" spans="30:33">
      <c r="AD682" s="73" t="s">
        <v>2657</v>
      </c>
      <c r="AE682" s="73" t="s">
        <v>2658</v>
      </c>
      <c r="AF682" s="73" t="str">
        <f t="shared" si="108"/>
        <v>A679078</v>
      </c>
      <c r="AG682" s="73" t="str">
        <f>VLOOKUP(AF682,AKT!$C$4:$E$324,3,FALSE)</f>
        <v>0942</v>
      </c>
    </row>
    <row r="683" spans="30:33">
      <c r="AD683" s="73" t="s">
        <v>2659</v>
      </c>
      <c r="AE683" s="73" t="s">
        <v>2660</v>
      </c>
      <c r="AF683" s="73" t="str">
        <f t="shared" si="108"/>
        <v>A679078</v>
      </c>
      <c r="AG683" s="73" t="str">
        <f>VLOOKUP(AF683,AKT!$C$4:$E$324,3,FALSE)</f>
        <v>0942</v>
      </c>
    </row>
    <row r="684" spans="30:33">
      <c r="AD684" s="73" t="s">
        <v>2661</v>
      </c>
      <c r="AE684" s="73" t="s">
        <v>2662</v>
      </c>
      <c r="AF684" s="73" t="str">
        <f t="shared" si="108"/>
        <v>A679078</v>
      </c>
      <c r="AG684" s="73" t="str">
        <f>VLOOKUP(AF684,AKT!$C$4:$E$324,3,FALSE)</f>
        <v>0942</v>
      </c>
    </row>
    <row r="685" spans="30:33">
      <c r="AD685" s="73" t="s">
        <v>2663</v>
      </c>
      <c r="AE685" s="73" t="s">
        <v>2664</v>
      </c>
      <c r="AF685" s="73" t="str">
        <f t="shared" si="108"/>
        <v>A679078</v>
      </c>
      <c r="AG685" s="73" t="str">
        <f>VLOOKUP(AF685,AKT!$C$4:$E$324,3,FALSE)</f>
        <v>0942</v>
      </c>
    </row>
    <row r="686" spans="30:33">
      <c r="AD686" s="73" t="s">
        <v>2665</v>
      </c>
      <c r="AE686" s="73" t="s">
        <v>2666</v>
      </c>
      <c r="AF686" s="73" t="str">
        <f t="shared" si="108"/>
        <v>A679078</v>
      </c>
      <c r="AG686" s="73" t="str">
        <f>VLOOKUP(AF686,AKT!$C$4:$E$324,3,FALSE)</f>
        <v>0942</v>
      </c>
    </row>
    <row r="687" spans="30:33">
      <c r="AD687" s="73" t="s">
        <v>2667</v>
      </c>
      <c r="AE687" s="73" t="s">
        <v>2668</v>
      </c>
      <c r="AF687" s="73" t="str">
        <f t="shared" si="108"/>
        <v>A679078</v>
      </c>
      <c r="AG687" s="73" t="str">
        <f>VLOOKUP(AF687,AKT!$C$4:$E$324,3,FALSE)</f>
        <v>0942</v>
      </c>
    </row>
    <row r="688" spans="30:33">
      <c r="AD688" s="73" t="s">
        <v>2669</v>
      </c>
      <c r="AE688" s="73" t="s">
        <v>2670</v>
      </c>
      <c r="AF688" s="73" t="str">
        <f t="shared" si="108"/>
        <v>A679078</v>
      </c>
      <c r="AG688" s="73" t="str">
        <f>VLOOKUP(AF688,AKT!$C$4:$E$324,3,FALSE)</f>
        <v>0942</v>
      </c>
    </row>
    <row r="689" spans="30:33">
      <c r="AD689" s="73" t="s">
        <v>2671</v>
      </c>
      <c r="AE689" s="73" t="s">
        <v>2672</v>
      </c>
      <c r="AF689" s="73" t="str">
        <f t="shared" si="108"/>
        <v>A679078</v>
      </c>
      <c r="AG689" s="73" t="str">
        <f>VLOOKUP(AF689,AKT!$C$4:$E$324,3,FALSE)</f>
        <v>0942</v>
      </c>
    </row>
    <row r="690" spans="30:33">
      <c r="AD690" s="73" t="s">
        <v>2673</v>
      </c>
      <c r="AE690" s="73" t="s">
        <v>2674</v>
      </c>
      <c r="AF690" s="73" t="str">
        <f t="shared" si="108"/>
        <v>A679078</v>
      </c>
      <c r="AG690" s="73" t="str">
        <f>VLOOKUP(AF690,AKT!$C$4:$E$324,3,FALSE)</f>
        <v>0942</v>
      </c>
    </row>
    <row r="691" spans="30:33">
      <c r="AD691" s="73" t="s">
        <v>2675</v>
      </c>
      <c r="AE691" s="73" t="s">
        <v>2676</v>
      </c>
      <c r="AF691" s="73" t="str">
        <f t="shared" si="108"/>
        <v>A679078</v>
      </c>
      <c r="AG691" s="73" t="str">
        <f>VLOOKUP(AF691,AKT!$C$4:$E$324,3,FALSE)</f>
        <v>0942</v>
      </c>
    </row>
    <row r="692" spans="30:33">
      <c r="AD692" s="73" t="s">
        <v>2677</v>
      </c>
      <c r="AE692" s="73" t="s">
        <v>2678</v>
      </c>
      <c r="AF692" s="73" t="str">
        <f t="shared" si="108"/>
        <v>A679078</v>
      </c>
      <c r="AG692" s="73" t="str">
        <f>VLOOKUP(AF692,AKT!$C$4:$E$324,3,FALSE)</f>
        <v>0942</v>
      </c>
    </row>
    <row r="693" spans="30:33">
      <c r="AD693" s="73" t="s">
        <v>2679</v>
      </c>
      <c r="AE693" s="73" t="s">
        <v>2680</v>
      </c>
      <c r="AF693" s="73" t="str">
        <f t="shared" si="108"/>
        <v>A679078</v>
      </c>
      <c r="AG693" s="73" t="str">
        <f>VLOOKUP(AF693,AKT!$C$4:$E$324,3,FALSE)</f>
        <v>0942</v>
      </c>
    </row>
    <row r="694" spans="30:33">
      <c r="AD694" s="73" t="s">
        <v>2681</v>
      </c>
      <c r="AE694" s="73" t="s">
        <v>2682</v>
      </c>
      <c r="AF694" s="73" t="str">
        <f t="shared" si="108"/>
        <v>A679078</v>
      </c>
      <c r="AG694" s="73" t="str">
        <f>VLOOKUP(AF694,AKT!$C$4:$E$324,3,FALSE)</f>
        <v>0942</v>
      </c>
    </row>
    <row r="695" spans="30:33">
      <c r="AD695" s="73" t="s">
        <v>2683</v>
      </c>
      <c r="AE695" s="73" t="s">
        <v>2684</v>
      </c>
      <c r="AF695" s="73" t="str">
        <f t="shared" si="108"/>
        <v>A679078</v>
      </c>
      <c r="AG695" s="73" t="str">
        <f>VLOOKUP(AF695,AKT!$C$4:$E$324,3,FALSE)</f>
        <v>0942</v>
      </c>
    </row>
    <row r="696" spans="30:33">
      <c r="AD696" s="73" t="s">
        <v>2685</v>
      </c>
      <c r="AE696" s="73" t="s">
        <v>2686</v>
      </c>
      <c r="AF696" s="73" t="str">
        <f t="shared" si="108"/>
        <v>A679078</v>
      </c>
      <c r="AG696" s="73" t="str">
        <f>VLOOKUP(AF696,AKT!$C$4:$E$324,3,FALSE)</f>
        <v>0942</v>
      </c>
    </row>
    <row r="697" spans="30:33">
      <c r="AD697" s="73" t="s">
        <v>2687</v>
      </c>
      <c r="AE697" s="73" t="s">
        <v>2688</v>
      </c>
      <c r="AF697" s="73" t="str">
        <f t="shared" si="108"/>
        <v>A679078</v>
      </c>
      <c r="AG697" s="73" t="str">
        <f>VLOOKUP(AF697,AKT!$C$4:$E$324,3,FALSE)</f>
        <v>0942</v>
      </c>
    </row>
    <row r="698" spans="30:33">
      <c r="AD698" s="73" t="s">
        <v>2689</v>
      </c>
      <c r="AE698" s="73" t="s">
        <v>2690</v>
      </c>
      <c r="AF698" s="73" t="str">
        <f t="shared" si="108"/>
        <v>A679078</v>
      </c>
      <c r="AG698" s="73" t="str">
        <f>VLOOKUP(AF698,AKT!$C$4:$E$324,3,FALSE)</f>
        <v>0942</v>
      </c>
    </row>
    <row r="699" spans="30:33">
      <c r="AD699" s="73" t="s">
        <v>2691</v>
      </c>
      <c r="AE699" s="73" t="s">
        <v>2692</v>
      </c>
      <c r="AF699" s="73" t="str">
        <f t="shared" si="108"/>
        <v>A679078</v>
      </c>
      <c r="AG699" s="73" t="str">
        <f>VLOOKUP(AF699,AKT!$C$4:$E$324,3,FALSE)</f>
        <v>0942</v>
      </c>
    </row>
    <row r="700" spans="30:33">
      <c r="AD700" s="73" t="s">
        <v>2693</v>
      </c>
      <c r="AE700" s="73" t="s">
        <v>2694</v>
      </c>
      <c r="AF700" s="73" t="str">
        <f t="shared" si="108"/>
        <v>A679078</v>
      </c>
      <c r="AG700" s="73" t="str">
        <f>VLOOKUP(AF700,AKT!$C$4:$E$324,3,FALSE)</f>
        <v>0942</v>
      </c>
    </row>
    <row r="701" spans="30:33">
      <c r="AD701" s="73" t="s">
        <v>2695</v>
      </c>
      <c r="AE701" s="73" t="s">
        <v>2696</v>
      </c>
      <c r="AF701" s="73" t="str">
        <f t="shared" si="108"/>
        <v>A679078</v>
      </c>
      <c r="AG701" s="73" t="str">
        <f>VLOOKUP(AF701,AKT!$C$4:$E$324,3,FALSE)</f>
        <v>0942</v>
      </c>
    </row>
    <row r="702" spans="30:33">
      <c r="AD702" s="73" t="s">
        <v>2697</v>
      </c>
      <c r="AE702" s="73" t="s">
        <v>2698</v>
      </c>
      <c r="AF702" s="73" t="str">
        <f t="shared" si="108"/>
        <v>A679078</v>
      </c>
      <c r="AG702" s="73" t="str">
        <f>VLOOKUP(AF702,AKT!$C$4:$E$324,3,FALSE)</f>
        <v>0942</v>
      </c>
    </row>
    <row r="703" spans="30:33">
      <c r="AD703" s="73" t="s">
        <v>2699</v>
      </c>
      <c r="AE703" s="73" t="s">
        <v>2700</v>
      </c>
      <c r="AF703" s="73" t="str">
        <f t="shared" ref="AF703:AF766" si="109">LEFT(AD703,7)</f>
        <v>A679078</v>
      </c>
      <c r="AG703" s="73" t="str">
        <f>VLOOKUP(AF703,AKT!$C$4:$E$324,3,FALSE)</f>
        <v>0942</v>
      </c>
    </row>
    <row r="704" spans="30:33">
      <c r="AD704" s="73" t="s">
        <v>2701</v>
      </c>
      <c r="AE704" s="73" t="s">
        <v>2702</v>
      </c>
      <c r="AF704" s="73" t="str">
        <f t="shared" si="109"/>
        <v>A679078</v>
      </c>
      <c r="AG704" s="73" t="str">
        <f>VLOOKUP(AF704,AKT!$C$4:$E$324,3,FALSE)</f>
        <v>0942</v>
      </c>
    </row>
    <row r="705" spans="30:33">
      <c r="AD705" s="73" t="s">
        <v>2703</v>
      </c>
      <c r="AE705" s="73" t="s">
        <v>2704</v>
      </c>
      <c r="AF705" s="73" t="str">
        <f t="shared" si="109"/>
        <v>A679078</v>
      </c>
      <c r="AG705" s="73" t="str">
        <f>VLOOKUP(AF705,AKT!$C$4:$E$324,3,FALSE)</f>
        <v>0942</v>
      </c>
    </row>
    <row r="706" spans="30:33">
      <c r="AD706" s="73" t="s">
        <v>2705</v>
      </c>
      <c r="AE706" s="73" t="s">
        <v>2706</v>
      </c>
      <c r="AF706" s="73" t="str">
        <f t="shared" si="109"/>
        <v>A679078</v>
      </c>
      <c r="AG706" s="73" t="str">
        <f>VLOOKUP(AF706,AKT!$C$4:$E$324,3,FALSE)</f>
        <v>0942</v>
      </c>
    </row>
    <row r="707" spans="30:33">
      <c r="AD707" s="73" t="s">
        <v>2707</v>
      </c>
      <c r="AE707" s="73" t="s">
        <v>2708</v>
      </c>
      <c r="AF707" s="73" t="str">
        <f t="shared" si="109"/>
        <v>A679078</v>
      </c>
      <c r="AG707" s="73" t="str">
        <f>VLOOKUP(AF707,AKT!$C$4:$E$324,3,FALSE)</f>
        <v>0942</v>
      </c>
    </row>
    <row r="708" spans="30:33">
      <c r="AD708" s="73" t="s">
        <v>2709</v>
      </c>
      <c r="AE708" s="73" t="s">
        <v>2710</v>
      </c>
      <c r="AF708" s="73" t="str">
        <f t="shared" si="109"/>
        <v>A679078</v>
      </c>
      <c r="AG708" s="73" t="str">
        <f>VLOOKUP(AF708,AKT!$C$4:$E$324,3,FALSE)</f>
        <v>0942</v>
      </c>
    </row>
    <row r="709" spans="30:33">
      <c r="AD709" s="73" t="s">
        <v>2711</v>
      </c>
      <c r="AE709" s="73" t="s">
        <v>2712</v>
      </c>
      <c r="AF709" s="73" t="str">
        <f t="shared" si="109"/>
        <v>A679078</v>
      </c>
      <c r="AG709" s="73" t="str">
        <f>VLOOKUP(AF709,AKT!$C$4:$E$324,3,FALSE)</f>
        <v>0942</v>
      </c>
    </row>
    <row r="710" spans="30:33">
      <c r="AD710" s="73" t="s">
        <v>2713</v>
      </c>
      <c r="AE710" s="73" t="s">
        <v>2714</v>
      </c>
      <c r="AF710" s="73" t="str">
        <f t="shared" si="109"/>
        <v>A679078</v>
      </c>
      <c r="AG710" s="73" t="str">
        <f>VLOOKUP(AF710,AKT!$C$4:$E$324,3,FALSE)</f>
        <v>0942</v>
      </c>
    </row>
    <row r="711" spans="30:33">
      <c r="AD711" s="73" t="s">
        <v>2715</v>
      </c>
      <c r="AE711" s="73" t="s">
        <v>2716</v>
      </c>
      <c r="AF711" s="73" t="str">
        <f t="shared" si="109"/>
        <v>A679078</v>
      </c>
      <c r="AG711" s="73" t="str">
        <f>VLOOKUP(AF711,AKT!$C$4:$E$324,3,FALSE)</f>
        <v>0942</v>
      </c>
    </row>
    <row r="712" spans="30:33">
      <c r="AD712" s="73" t="s">
        <v>2717</v>
      </c>
      <c r="AE712" s="73" t="s">
        <v>2718</v>
      </c>
      <c r="AF712" s="73" t="str">
        <f t="shared" si="109"/>
        <v>A679078</v>
      </c>
      <c r="AG712" s="73" t="str">
        <f>VLOOKUP(AF712,AKT!$C$4:$E$324,3,FALSE)</f>
        <v>0942</v>
      </c>
    </row>
    <row r="713" spans="30:33">
      <c r="AD713" s="73" t="s">
        <v>2719</v>
      </c>
      <c r="AE713" s="73" t="s">
        <v>2720</v>
      </c>
      <c r="AF713" s="73" t="str">
        <f t="shared" si="109"/>
        <v>A679078</v>
      </c>
      <c r="AG713" s="73" t="str">
        <f>VLOOKUP(AF713,AKT!$C$4:$E$324,3,FALSE)</f>
        <v>0942</v>
      </c>
    </row>
    <row r="714" spans="30:33">
      <c r="AD714" s="73" t="s">
        <v>2721</v>
      </c>
      <c r="AE714" s="73" t="s">
        <v>2722</v>
      </c>
      <c r="AF714" s="73" t="str">
        <f t="shared" si="109"/>
        <v>A679078</v>
      </c>
      <c r="AG714" s="73" t="str">
        <f>VLOOKUP(AF714,AKT!$C$4:$E$324,3,FALSE)</f>
        <v>0942</v>
      </c>
    </row>
    <row r="715" spans="30:33">
      <c r="AD715" s="73" t="s">
        <v>2723</v>
      </c>
      <c r="AE715" s="73" t="s">
        <v>2724</v>
      </c>
      <c r="AF715" s="73" t="str">
        <f t="shared" si="109"/>
        <v>A679078</v>
      </c>
      <c r="AG715" s="73" t="str">
        <f>VLOOKUP(AF715,AKT!$C$4:$E$324,3,FALSE)</f>
        <v>0942</v>
      </c>
    </row>
    <row r="716" spans="30:33">
      <c r="AD716" s="73" t="s">
        <v>2725</v>
      </c>
      <c r="AE716" s="73" t="s">
        <v>2726</v>
      </c>
      <c r="AF716" s="73" t="str">
        <f t="shared" si="109"/>
        <v>A679078</v>
      </c>
      <c r="AG716" s="73" t="str">
        <f>VLOOKUP(AF716,AKT!$C$4:$E$324,3,FALSE)</f>
        <v>0942</v>
      </c>
    </row>
    <row r="717" spans="30:33">
      <c r="AD717" s="73" t="s">
        <v>2727</v>
      </c>
      <c r="AE717" s="73" t="s">
        <v>2728</v>
      </c>
      <c r="AF717" s="73" t="str">
        <f t="shared" si="109"/>
        <v>A679078</v>
      </c>
      <c r="AG717" s="73" t="str">
        <f>VLOOKUP(AF717,AKT!$C$4:$E$324,3,FALSE)</f>
        <v>0942</v>
      </c>
    </row>
    <row r="718" spans="30:33">
      <c r="AD718" s="73" t="s">
        <v>2729</v>
      </c>
      <c r="AE718" s="73" t="s">
        <v>2730</v>
      </c>
      <c r="AF718" s="73" t="str">
        <f t="shared" si="109"/>
        <v>A679078</v>
      </c>
      <c r="AG718" s="73" t="str">
        <f>VLOOKUP(AF718,AKT!$C$4:$E$324,3,FALSE)</f>
        <v>0942</v>
      </c>
    </row>
    <row r="719" spans="30:33">
      <c r="AD719" s="73" t="s">
        <v>2731</v>
      </c>
      <c r="AE719" s="73" t="s">
        <v>2732</v>
      </c>
      <c r="AF719" s="73" t="str">
        <f t="shared" si="109"/>
        <v>A679078</v>
      </c>
      <c r="AG719" s="73" t="str">
        <f>VLOOKUP(AF719,AKT!$C$4:$E$324,3,FALSE)</f>
        <v>0942</v>
      </c>
    </row>
    <row r="720" spans="30:33">
      <c r="AD720" s="73" t="s">
        <v>2733</v>
      </c>
      <c r="AE720" s="73" t="s">
        <v>2734</v>
      </c>
      <c r="AF720" s="73" t="str">
        <f t="shared" si="109"/>
        <v>A679078</v>
      </c>
      <c r="AG720" s="73" t="str">
        <f>VLOOKUP(AF720,AKT!$C$4:$E$324,3,FALSE)</f>
        <v>0942</v>
      </c>
    </row>
    <row r="721" spans="30:33">
      <c r="AD721" s="73" t="s">
        <v>2735</v>
      </c>
      <c r="AE721" s="73" t="s">
        <v>2736</v>
      </c>
      <c r="AF721" s="73" t="str">
        <f t="shared" si="109"/>
        <v>A679078</v>
      </c>
      <c r="AG721" s="73" t="str">
        <f>VLOOKUP(AF721,AKT!$C$4:$E$324,3,FALSE)</f>
        <v>0942</v>
      </c>
    </row>
    <row r="722" spans="30:33">
      <c r="AD722" s="73" t="s">
        <v>2737</v>
      </c>
      <c r="AE722" s="73" t="s">
        <v>2738</v>
      </c>
      <c r="AF722" s="73" t="str">
        <f t="shared" si="109"/>
        <v>A679078</v>
      </c>
      <c r="AG722" s="73" t="str">
        <f>VLOOKUP(AF722,AKT!$C$4:$E$324,3,FALSE)</f>
        <v>0942</v>
      </c>
    </row>
    <row r="723" spans="30:33">
      <c r="AD723" s="73" t="s">
        <v>2739</v>
      </c>
      <c r="AE723" s="73" t="s">
        <v>2740</v>
      </c>
      <c r="AF723" s="73" t="str">
        <f t="shared" si="109"/>
        <v>A679078</v>
      </c>
      <c r="AG723" s="73" t="str">
        <f>VLOOKUP(AF723,AKT!$C$4:$E$324,3,FALSE)</f>
        <v>0942</v>
      </c>
    </row>
    <row r="724" spans="30:33">
      <c r="AD724" s="73" t="s">
        <v>2741</v>
      </c>
      <c r="AE724" s="73" t="s">
        <v>2742</v>
      </c>
      <c r="AF724" s="73" t="str">
        <f t="shared" si="109"/>
        <v>A679078</v>
      </c>
      <c r="AG724" s="73" t="str">
        <f>VLOOKUP(AF724,AKT!$C$4:$E$324,3,FALSE)</f>
        <v>0942</v>
      </c>
    </row>
    <row r="725" spans="30:33">
      <c r="AD725" s="73" t="s">
        <v>2743</v>
      </c>
      <c r="AE725" s="73" t="s">
        <v>2744</v>
      </c>
      <c r="AF725" s="73" t="str">
        <f t="shared" si="109"/>
        <v>A679078</v>
      </c>
      <c r="AG725" s="73" t="str">
        <f>VLOOKUP(AF725,AKT!$C$4:$E$324,3,FALSE)</f>
        <v>0942</v>
      </c>
    </row>
    <row r="726" spans="30:33">
      <c r="AD726" s="73" t="s">
        <v>2745</v>
      </c>
      <c r="AE726" s="73" t="s">
        <v>2746</v>
      </c>
      <c r="AF726" s="73" t="str">
        <f t="shared" si="109"/>
        <v>A679078</v>
      </c>
      <c r="AG726" s="73" t="str">
        <f>VLOOKUP(AF726,AKT!$C$4:$E$324,3,FALSE)</f>
        <v>0942</v>
      </c>
    </row>
    <row r="727" spans="30:33">
      <c r="AD727" s="73" t="s">
        <v>2747</v>
      </c>
      <c r="AE727" s="73" t="s">
        <v>2748</v>
      </c>
      <c r="AF727" s="73" t="str">
        <f t="shared" si="109"/>
        <v>A679078</v>
      </c>
      <c r="AG727" s="73" t="str">
        <f>VLOOKUP(AF727,AKT!$C$4:$E$324,3,FALSE)</f>
        <v>0942</v>
      </c>
    </row>
    <row r="728" spans="30:33">
      <c r="AD728" s="73" t="s">
        <v>2749</v>
      </c>
      <c r="AE728" s="73" t="s">
        <v>2750</v>
      </c>
      <c r="AF728" s="73" t="str">
        <f t="shared" si="109"/>
        <v>A679078</v>
      </c>
      <c r="AG728" s="73" t="str">
        <f>VLOOKUP(AF728,AKT!$C$4:$E$324,3,FALSE)</f>
        <v>0942</v>
      </c>
    </row>
    <row r="729" spans="30:33">
      <c r="AD729" s="73" t="s">
        <v>2751</v>
      </c>
      <c r="AE729" s="73" t="s">
        <v>2271</v>
      </c>
      <c r="AF729" s="73" t="str">
        <f t="shared" si="109"/>
        <v>A679078</v>
      </c>
      <c r="AG729" s="73" t="str">
        <f>VLOOKUP(AF729,AKT!$C$4:$E$324,3,FALSE)</f>
        <v>0942</v>
      </c>
    </row>
    <row r="730" spans="30:33">
      <c r="AD730" s="73" t="s">
        <v>2752</v>
      </c>
      <c r="AE730" s="73" t="s">
        <v>2753</v>
      </c>
      <c r="AF730" s="73" t="str">
        <f t="shared" si="109"/>
        <v>A679078</v>
      </c>
      <c r="AG730" s="73" t="str">
        <f>VLOOKUP(AF730,AKT!$C$4:$E$324,3,FALSE)</f>
        <v>0942</v>
      </c>
    </row>
    <row r="731" spans="30:33">
      <c r="AD731" s="73" t="s">
        <v>2754</v>
      </c>
      <c r="AE731" s="73" t="s">
        <v>2755</v>
      </c>
      <c r="AF731" s="73" t="str">
        <f t="shared" si="109"/>
        <v>A679078</v>
      </c>
      <c r="AG731" s="73" t="str">
        <f>VLOOKUP(AF731,AKT!$C$4:$E$324,3,FALSE)</f>
        <v>0942</v>
      </c>
    </row>
    <row r="732" spans="30:33">
      <c r="AD732" s="73" t="s">
        <v>2756</v>
      </c>
      <c r="AE732" s="73" t="s">
        <v>2757</v>
      </c>
      <c r="AF732" s="73" t="str">
        <f t="shared" si="109"/>
        <v>A679078</v>
      </c>
      <c r="AG732" s="73" t="str">
        <f>VLOOKUP(AF732,AKT!$C$4:$E$324,3,FALSE)</f>
        <v>0942</v>
      </c>
    </row>
    <row r="733" spans="30:33">
      <c r="AD733" s="73" t="s">
        <v>2758</v>
      </c>
      <c r="AE733" s="73" t="s">
        <v>2759</v>
      </c>
      <c r="AF733" s="73" t="str">
        <f t="shared" si="109"/>
        <v>A679078</v>
      </c>
      <c r="AG733" s="73" t="str">
        <f>VLOOKUP(AF733,AKT!$C$4:$E$324,3,FALSE)</f>
        <v>0942</v>
      </c>
    </row>
    <row r="734" spans="30:33">
      <c r="AD734" s="73" t="s">
        <v>2760</v>
      </c>
      <c r="AE734" s="73" t="s">
        <v>2761</v>
      </c>
      <c r="AF734" s="73" t="str">
        <f t="shared" si="109"/>
        <v>A679078</v>
      </c>
      <c r="AG734" s="73" t="str">
        <f>VLOOKUP(AF734,AKT!$C$4:$E$324,3,FALSE)</f>
        <v>0942</v>
      </c>
    </row>
    <row r="735" spans="30:33">
      <c r="AD735" s="73" t="s">
        <v>2762</v>
      </c>
      <c r="AE735" s="73" t="s">
        <v>2763</v>
      </c>
      <c r="AF735" s="73" t="str">
        <f t="shared" si="109"/>
        <v>A679078</v>
      </c>
      <c r="AG735" s="73" t="str">
        <f>VLOOKUP(AF735,AKT!$C$4:$E$324,3,FALSE)</f>
        <v>0942</v>
      </c>
    </row>
    <row r="736" spans="30:33">
      <c r="AD736" s="73" t="s">
        <v>2764</v>
      </c>
      <c r="AE736" s="73" t="s">
        <v>2765</v>
      </c>
      <c r="AF736" s="73" t="str">
        <f t="shared" si="109"/>
        <v>A679078</v>
      </c>
      <c r="AG736" s="73" t="str">
        <f>VLOOKUP(AF736,AKT!$C$4:$E$324,3,FALSE)</f>
        <v>0942</v>
      </c>
    </row>
    <row r="737" spans="30:33">
      <c r="AD737" s="73" t="s">
        <v>2766</v>
      </c>
      <c r="AE737" s="73" t="s">
        <v>2767</v>
      </c>
      <c r="AF737" s="73" t="str">
        <f t="shared" si="109"/>
        <v>A679078</v>
      </c>
      <c r="AG737" s="73" t="str">
        <f>VLOOKUP(AF737,AKT!$C$4:$E$324,3,FALSE)</f>
        <v>0942</v>
      </c>
    </row>
    <row r="738" spans="30:33">
      <c r="AD738" s="73" t="s">
        <v>2768</v>
      </c>
      <c r="AE738" s="73" t="s">
        <v>2769</v>
      </c>
      <c r="AF738" s="73" t="str">
        <f t="shared" si="109"/>
        <v>A679078</v>
      </c>
      <c r="AG738" s="73" t="str">
        <f>VLOOKUP(AF738,AKT!$C$4:$E$324,3,FALSE)</f>
        <v>0942</v>
      </c>
    </row>
    <row r="739" spans="30:33">
      <c r="AD739" s="73" t="s">
        <v>2770</v>
      </c>
      <c r="AE739" s="73" t="s">
        <v>2771</v>
      </c>
      <c r="AF739" s="73" t="str">
        <f t="shared" si="109"/>
        <v>A679078</v>
      </c>
      <c r="AG739" s="73" t="str">
        <f>VLOOKUP(AF739,AKT!$C$4:$E$324,3,FALSE)</f>
        <v>0942</v>
      </c>
    </row>
    <row r="740" spans="30:33">
      <c r="AD740" s="73" t="s">
        <v>2772</v>
      </c>
      <c r="AE740" s="73" t="s">
        <v>2773</v>
      </c>
      <c r="AF740" s="73" t="str">
        <f t="shared" si="109"/>
        <v>A679078</v>
      </c>
      <c r="AG740" s="73" t="str">
        <f>VLOOKUP(AF740,AKT!$C$4:$E$324,3,FALSE)</f>
        <v>0942</v>
      </c>
    </row>
    <row r="741" spans="30:33">
      <c r="AD741" s="73" t="s">
        <v>2774</v>
      </c>
      <c r="AE741" s="73" t="s">
        <v>2775</v>
      </c>
      <c r="AF741" s="73" t="str">
        <f t="shared" si="109"/>
        <v>A679078</v>
      </c>
      <c r="AG741" s="73" t="str">
        <f>VLOOKUP(AF741,AKT!$C$4:$E$324,3,FALSE)</f>
        <v>0942</v>
      </c>
    </row>
    <row r="742" spans="30:33">
      <c r="AD742" s="73" t="s">
        <v>2776</v>
      </c>
      <c r="AE742" s="73" t="s">
        <v>2777</v>
      </c>
      <c r="AF742" s="73" t="str">
        <f t="shared" si="109"/>
        <v>A679078</v>
      </c>
      <c r="AG742" s="73" t="str">
        <f>VLOOKUP(AF742,AKT!$C$4:$E$324,3,FALSE)</f>
        <v>0942</v>
      </c>
    </row>
    <row r="743" spans="30:33">
      <c r="AD743" s="73" t="s">
        <v>2778</v>
      </c>
      <c r="AE743" s="73" t="s">
        <v>2779</v>
      </c>
      <c r="AF743" s="73" t="str">
        <f t="shared" si="109"/>
        <v>A679078</v>
      </c>
      <c r="AG743" s="73" t="str">
        <f>VLOOKUP(AF743,AKT!$C$4:$E$324,3,FALSE)</f>
        <v>0942</v>
      </c>
    </row>
    <row r="744" spans="30:33">
      <c r="AD744" s="73" t="s">
        <v>2780</v>
      </c>
      <c r="AE744" s="73" t="s">
        <v>2781</v>
      </c>
      <c r="AF744" s="73" t="str">
        <f t="shared" si="109"/>
        <v>A679078</v>
      </c>
      <c r="AG744" s="73" t="str">
        <f>VLOOKUP(AF744,AKT!$C$4:$E$324,3,FALSE)</f>
        <v>0942</v>
      </c>
    </row>
    <row r="745" spans="30:33">
      <c r="AD745" s="73" t="s">
        <v>2782</v>
      </c>
      <c r="AE745" s="73" t="s">
        <v>2783</v>
      </c>
      <c r="AF745" s="73" t="str">
        <f t="shared" si="109"/>
        <v>A679078</v>
      </c>
      <c r="AG745" s="73" t="str">
        <f>VLOOKUP(AF745,AKT!$C$4:$E$324,3,FALSE)</f>
        <v>0942</v>
      </c>
    </row>
    <row r="746" spans="30:33">
      <c r="AD746" s="73" t="s">
        <v>2784</v>
      </c>
      <c r="AE746" s="73" t="s">
        <v>2785</v>
      </c>
      <c r="AF746" s="73" t="str">
        <f t="shared" si="109"/>
        <v>A679078</v>
      </c>
      <c r="AG746" s="73" t="str">
        <f>VLOOKUP(AF746,AKT!$C$4:$E$324,3,FALSE)</f>
        <v>0942</v>
      </c>
    </row>
    <row r="747" spans="30:33">
      <c r="AD747" s="73" t="s">
        <v>2786</v>
      </c>
      <c r="AE747" s="73" t="s">
        <v>2787</v>
      </c>
      <c r="AF747" s="73" t="str">
        <f t="shared" si="109"/>
        <v>A679078</v>
      </c>
      <c r="AG747" s="73" t="str">
        <f>VLOOKUP(AF747,AKT!$C$4:$E$324,3,FALSE)</f>
        <v>0942</v>
      </c>
    </row>
    <row r="748" spans="30:33">
      <c r="AD748" s="73" t="s">
        <v>2788</v>
      </c>
      <c r="AE748" s="73" t="s">
        <v>2789</v>
      </c>
      <c r="AF748" s="73" t="str">
        <f t="shared" si="109"/>
        <v>A679078</v>
      </c>
      <c r="AG748" s="73" t="str">
        <f>VLOOKUP(AF748,AKT!$C$4:$E$324,3,FALSE)</f>
        <v>0942</v>
      </c>
    </row>
    <row r="749" spans="30:33">
      <c r="AD749" s="73" t="s">
        <v>2790</v>
      </c>
      <c r="AE749" s="73" t="s">
        <v>2791</v>
      </c>
      <c r="AF749" s="73" t="str">
        <f t="shared" si="109"/>
        <v>A679078</v>
      </c>
      <c r="AG749" s="73" t="str">
        <f>VLOOKUP(AF749,AKT!$C$4:$E$324,3,FALSE)</f>
        <v>0942</v>
      </c>
    </row>
    <row r="750" spans="30:33">
      <c r="AD750" s="73" t="s">
        <v>2792</v>
      </c>
      <c r="AE750" s="73" t="s">
        <v>2793</v>
      </c>
      <c r="AF750" s="73" t="str">
        <f t="shared" si="109"/>
        <v>A679078</v>
      </c>
      <c r="AG750" s="73" t="str">
        <f>VLOOKUP(AF750,AKT!$C$4:$E$324,3,FALSE)</f>
        <v>0942</v>
      </c>
    </row>
    <row r="751" spans="30:33">
      <c r="AD751" s="73" t="s">
        <v>2794</v>
      </c>
      <c r="AE751" s="73" t="s">
        <v>2795</v>
      </c>
      <c r="AF751" s="73" t="str">
        <f t="shared" si="109"/>
        <v>A679078</v>
      </c>
      <c r="AG751" s="73" t="str">
        <f>VLOOKUP(AF751,AKT!$C$4:$E$324,3,FALSE)</f>
        <v>0942</v>
      </c>
    </row>
    <row r="752" spans="30:33">
      <c r="AD752" s="73" t="s">
        <v>2796</v>
      </c>
      <c r="AE752" s="73" t="s">
        <v>2797</v>
      </c>
      <c r="AF752" s="73" t="str">
        <f t="shared" si="109"/>
        <v>A679078</v>
      </c>
      <c r="AG752" s="73" t="str">
        <f>VLOOKUP(AF752,AKT!$C$4:$E$324,3,FALSE)</f>
        <v>0942</v>
      </c>
    </row>
    <row r="753" spans="30:33">
      <c r="AD753" s="73" t="s">
        <v>2798</v>
      </c>
      <c r="AE753" s="73" t="s">
        <v>2799</v>
      </c>
      <c r="AF753" s="73" t="str">
        <f t="shared" si="109"/>
        <v>A679078</v>
      </c>
      <c r="AG753" s="73" t="str">
        <f>VLOOKUP(AF753,AKT!$C$4:$E$324,3,FALSE)</f>
        <v>0942</v>
      </c>
    </row>
    <row r="754" spans="30:33">
      <c r="AD754" s="73" t="s">
        <v>2800</v>
      </c>
      <c r="AE754" s="73" t="s">
        <v>2801</v>
      </c>
      <c r="AF754" s="73" t="str">
        <f t="shared" si="109"/>
        <v>A679078</v>
      </c>
      <c r="AG754" s="73" t="str">
        <f>VLOOKUP(AF754,AKT!$C$4:$E$324,3,FALSE)</f>
        <v>0942</v>
      </c>
    </row>
    <row r="755" spans="30:33">
      <c r="AD755" s="73" t="s">
        <v>2802</v>
      </c>
      <c r="AE755" s="73" t="s">
        <v>2803</v>
      </c>
      <c r="AF755" s="73" t="str">
        <f t="shared" si="109"/>
        <v>A679078</v>
      </c>
      <c r="AG755" s="73" t="str">
        <f>VLOOKUP(AF755,AKT!$C$4:$E$324,3,FALSE)</f>
        <v>0942</v>
      </c>
    </row>
    <row r="756" spans="30:33">
      <c r="AD756" s="73" t="s">
        <v>2804</v>
      </c>
      <c r="AE756" s="73" t="s">
        <v>2805</v>
      </c>
      <c r="AF756" s="73" t="str">
        <f t="shared" si="109"/>
        <v>A679078</v>
      </c>
      <c r="AG756" s="73" t="str">
        <f>VLOOKUP(AF756,AKT!$C$4:$E$324,3,FALSE)</f>
        <v>0942</v>
      </c>
    </row>
    <row r="757" spans="30:33">
      <c r="AD757" s="73" t="s">
        <v>2806</v>
      </c>
      <c r="AE757" s="73" t="s">
        <v>2807</v>
      </c>
      <c r="AF757" s="73" t="str">
        <f t="shared" si="109"/>
        <v>A679078</v>
      </c>
      <c r="AG757" s="73" t="str">
        <f>VLOOKUP(AF757,AKT!$C$4:$E$324,3,FALSE)</f>
        <v>0942</v>
      </c>
    </row>
    <row r="758" spans="30:33">
      <c r="AD758" s="73" t="s">
        <v>2808</v>
      </c>
      <c r="AE758" s="73" t="s">
        <v>2809</v>
      </c>
      <c r="AF758" s="73" t="str">
        <f t="shared" si="109"/>
        <v>A679078</v>
      </c>
      <c r="AG758" s="73" t="str">
        <f>VLOOKUP(AF758,AKT!$C$4:$E$324,3,FALSE)</f>
        <v>0942</v>
      </c>
    </row>
    <row r="759" spans="30:33">
      <c r="AD759" s="73" t="s">
        <v>2810</v>
      </c>
      <c r="AE759" s="73" t="s">
        <v>2811</v>
      </c>
      <c r="AF759" s="73" t="str">
        <f t="shared" si="109"/>
        <v>A679078</v>
      </c>
      <c r="AG759" s="73" t="str">
        <f>VLOOKUP(AF759,AKT!$C$4:$E$324,3,FALSE)</f>
        <v>0942</v>
      </c>
    </row>
    <row r="760" spans="30:33">
      <c r="AD760" s="73" t="s">
        <v>2812</v>
      </c>
      <c r="AE760" s="73" t="s">
        <v>2813</v>
      </c>
      <c r="AF760" s="73" t="str">
        <f t="shared" si="109"/>
        <v>A679078</v>
      </c>
      <c r="AG760" s="73" t="str">
        <f>VLOOKUP(AF760,AKT!$C$4:$E$324,3,FALSE)</f>
        <v>0942</v>
      </c>
    </row>
    <row r="761" spans="30:33">
      <c r="AD761" s="73" t="s">
        <v>2814</v>
      </c>
      <c r="AE761" s="73" t="s">
        <v>2815</v>
      </c>
      <c r="AF761" s="73" t="str">
        <f t="shared" si="109"/>
        <v>A679078</v>
      </c>
      <c r="AG761" s="73" t="str">
        <f>VLOOKUP(AF761,AKT!$C$4:$E$324,3,FALSE)</f>
        <v>0942</v>
      </c>
    </row>
    <row r="762" spans="30:33">
      <c r="AD762" s="73" t="s">
        <v>2816</v>
      </c>
      <c r="AE762" s="73" t="s">
        <v>2817</v>
      </c>
      <c r="AF762" s="73" t="str">
        <f t="shared" si="109"/>
        <v>A679078</v>
      </c>
      <c r="AG762" s="73" t="str">
        <f>VLOOKUP(AF762,AKT!$C$4:$E$324,3,FALSE)</f>
        <v>0942</v>
      </c>
    </row>
    <row r="763" spans="30:33">
      <c r="AD763" s="73" t="s">
        <v>2818</v>
      </c>
      <c r="AE763" s="73" t="s">
        <v>2761</v>
      </c>
      <c r="AF763" s="73" t="str">
        <f t="shared" si="109"/>
        <v>A679078</v>
      </c>
      <c r="AG763" s="73" t="str">
        <f>VLOOKUP(AF763,AKT!$C$4:$E$324,3,FALSE)</f>
        <v>0942</v>
      </c>
    </row>
    <row r="764" spans="30:33">
      <c r="AD764" s="73" t="s">
        <v>2819</v>
      </c>
      <c r="AE764" s="73" t="s">
        <v>2767</v>
      </c>
      <c r="AF764" s="73" t="str">
        <f t="shared" si="109"/>
        <v>A679078</v>
      </c>
      <c r="AG764" s="73" t="str">
        <f>VLOOKUP(AF764,AKT!$C$4:$E$324,3,FALSE)</f>
        <v>0942</v>
      </c>
    </row>
    <row r="765" spans="30:33">
      <c r="AD765" s="73" t="s">
        <v>2820</v>
      </c>
      <c r="AE765" s="73" t="s">
        <v>2821</v>
      </c>
      <c r="AF765" s="73" t="str">
        <f t="shared" si="109"/>
        <v>A679078</v>
      </c>
      <c r="AG765" s="73" t="str">
        <f>VLOOKUP(AF765,AKT!$C$4:$E$324,3,FALSE)</f>
        <v>0942</v>
      </c>
    </row>
    <row r="766" spans="30:33">
      <c r="AD766" s="73" t="s">
        <v>2822</v>
      </c>
      <c r="AE766" s="73" t="s">
        <v>2823</v>
      </c>
      <c r="AF766" s="73" t="str">
        <f t="shared" si="109"/>
        <v>A679078</v>
      </c>
      <c r="AG766" s="73" t="str">
        <f>VLOOKUP(AF766,AKT!$C$4:$E$324,3,FALSE)</f>
        <v>0942</v>
      </c>
    </row>
    <row r="767" spans="30:33">
      <c r="AD767" s="73" t="s">
        <v>2824</v>
      </c>
      <c r="AE767" s="73" t="s">
        <v>2825</v>
      </c>
      <c r="AF767" s="73" t="str">
        <f t="shared" ref="AF767:AF830" si="110">LEFT(AD767,7)</f>
        <v>A679078</v>
      </c>
      <c r="AG767" s="73" t="str">
        <f>VLOOKUP(AF767,AKT!$C$4:$E$324,3,FALSE)</f>
        <v>0942</v>
      </c>
    </row>
    <row r="768" spans="30:33">
      <c r="AD768" s="73" t="s">
        <v>2826</v>
      </c>
      <c r="AE768" s="73" t="s">
        <v>2827</v>
      </c>
      <c r="AF768" s="73" t="str">
        <f t="shared" si="110"/>
        <v>A679078</v>
      </c>
      <c r="AG768" s="73" t="str">
        <f>VLOOKUP(AF768,AKT!$C$4:$E$324,3,FALSE)</f>
        <v>0942</v>
      </c>
    </row>
    <row r="769" spans="30:33">
      <c r="AD769" s="73" t="s">
        <v>2828</v>
      </c>
      <c r="AE769" s="73" t="s">
        <v>3189</v>
      </c>
      <c r="AF769" s="73" t="str">
        <f t="shared" si="110"/>
        <v>A679078</v>
      </c>
      <c r="AG769" s="73" t="str">
        <f>VLOOKUP(AF769,AKT!$C$4:$E$324,3,FALSE)</f>
        <v>0942</v>
      </c>
    </row>
    <row r="770" spans="30:33">
      <c r="AD770" s="73" t="s">
        <v>2829</v>
      </c>
      <c r="AE770" s="73" t="s">
        <v>2830</v>
      </c>
      <c r="AF770" s="73" t="str">
        <f t="shared" si="110"/>
        <v>A679078</v>
      </c>
      <c r="AG770" s="73" t="str">
        <f>VLOOKUP(AF770,AKT!$C$4:$E$324,3,FALSE)</f>
        <v>0942</v>
      </c>
    </row>
    <row r="771" spans="30:33">
      <c r="AD771" s="73" t="s">
        <v>2831</v>
      </c>
      <c r="AE771" s="73" t="s">
        <v>2832</v>
      </c>
      <c r="AF771" s="73" t="str">
        <f t="shared" si="110"/>
        <v>A679078</v>
      </c>
      <c r="AG771" s="73" t="str">
        <f>VLOOKUP(AF771,AKT!$C$4:$E$324,3,FALSE)</f>
        <v>0942</v>
      </c>
    </row>
    <row r="772" spans="30:33">
      <c r="AD772" s="73" t="s">
        <v>2833</v>
      </c>
      <c r="AE772" s="73" t="s">
        <v>2834</v>
      </c>
      <c r="AF772" s="73" t="str">
        <f t="shared" si="110"/>
        <v>A679078</v>
      </c>
      <c r="AG772" s="73" t="str">
        <f>VLOOKUP(AF772,AKT!$C$4:$E$324,3,FALSE)</f>
        <v>0942</v>
      </c>
    </row>
    <row r="773" spans="30:33">
      <c r="AD773" s="73" t="s">
        <v>2835</v>
      </c>
      <c r="AE773" s="73" t="s">
        <v>2836</v>
      </c>
      <c r="AF773" s="73" t="str">
        <f t="shared" si="110"/>
        <v>A679078</v>
      </c>
      <c r="AG773" s="73" t="str">
        <f>VLOOKUP(AF773,AKT!$C$4:$E$324,3,FALSE)</f>
        <v>0942</v>
      </c>
    </row>
    <row r="774" spans="30:33">
      <c r="AD774" s="73" t="s">
        <v>2837</v>
      </c>
      <c r="AE774" s="73" t="s">
        <v>2838</v>
      </c>
      <c r="AF774" s="73" t="str">
        <f t="shared" si="110"/>
        <v>A679078</v>
      </c>
      <c r="AG774" s="73" t="str">
        <f>VLOOKUP(AF774,AKT!$C$4:$E$324,3,FALSE)</f>
        <v>0942</v>
      </c>
    </row>
    <row r="775" spans="30:33">
      <c r="AD775" s="73" t="s">
        <v>2839</v>
      </c>
      <c r="AE775" s="73" t="s">
        <v>2840</v>
      </c>
      <c r="AF775" s="73" t="str">
        <f t="shared" si="110"/>
        <v>A679078</v>
      </c>
      <c r="AG775" s="73" t="str">
        <f>VLOOKUP(AF775,AKT!$C$4:$E$324,3,FALSE)</f>
        <v>0942</v>
      </c>
    </row>
    <row r="776" spans="30:33">
      <c r="AD776" s="73" t="s">
        <v>2841</v>
      </c>
      <c r="AE776" s="73" t="s">
        <v>2842</v>
      </c>
      <c r="AF776" s="73" t="str">
        <f t="shared" si="110"/>
        <v>A679078</v>
      </c>
      <c r="AG776" s="73" t="str">
        <f>VLOOKUP(AF776,AKT!$C$4:$E$324,3,FALSE)</f>
        <v>0942</v>
      </c>
    </row>
    <row r="777" spans="30:33">
      <c r="AD777" s="73" t="s">
        <v>2843</v>
      </c>
      <c r="AE777" s="73" t="s">
        <v>2844</v>
      </c>
      <c r="AF777" s="73" t="str">
        <f t="shared" si="110"/>
        <v>A679078</v>
      </c>
      <c r="AG777" s="73" t="str">
        <f>VLOOKUP(AF777,AKT!$C$4:$E$324,3,FALSE)</f>
        <v>0942</v>
      </c>
    </row>
    <row r="778" spans="30:33">
      <c r="AD778" s="73" t="s">
        <v>2845</v>
      </c>
      <c r="AE778" s="73" t="s">
        <v>2846</v>
      </c>
      <c r="AF778" s="73" t="str">
        <f t="shared" si="110"/>
        <v>A679078</v>
      </c>
      <c r="AG778" s="73" t="str">
        <f>VLOOKUP(AF778,AKT!$C$4:$E$324,3,FALSE)</f>
        <v>0942</v>
      </c>
    </row>
    <row r="779" spans="30:33">
      <c r="AD779" s="73" t="s">
        <v>2847</v>
      </c>
      <c r="AE779" s="73" t="s">
        <v>2848</v>
      </c>
      <c r="AF779" s="73" t="str">
        <f t="shared" si="110"/>
        <v>A679078</v>
      </c>
      <c r="AG779" s="73" t="str">
        <f>VLOOKUP(AF779,AKT!$C$4:$E$324,3,FALSE)</f>
        <v>0942</v>
      </c>
    </row>
    <row r="780" spans="30:33">
      <c r="AD780" s="73" t="s">
        <v>2849</v>
      </c>
      <c r="AE780" s="73" t="s">
        <v>2850</v>
      </c>
      <c r="AF780" s="73" t="str">
        <f t="shared" si="110"/>
        <v>A679078</v>
      </c>
      <c r="AG780" s="73" t="str">
        <f>VLOOKUP(AF780,AKT!$C$4:$E$324,3,FALSE)</f>
        <v>0942</v>
      </c>
    </row>
    <row r="781" spans="30:33">
      <c r="AD781" s="73" t="s">
        <v>2851</v>
      </c>
      <c r="AE781" s="73" t="s">
        <v>2852</v>
      </c>
      <c r="AF781" s="73" t="str">
        <f t="shared" si="110"/>
        <v>A679078</v>
      </c>
      <c r="AG781" s="73" t="str">
        <f>VLOOKUP(AF781,AKT!$C$4:$E$324,3,FALSE)</f>
        <v>0942</v>
      </c>
    </row>
    <row r="782" spans="30:33">
      <c r="AD782" s="73" t="s">
        <v>2853</v>
      </c>
      <c r="AE782" s="73" t="s">
        <v>2854</v>
      </c>
      <c r="AF782" s="73" t="str">
        <f t="shared" si="110"/>
        <v>A679078</v>
      </c>
      <c r="AG782" s="73" t="str">
        <f>VLOOKUP(AF782,AKT!$C$4:$E$324,3,FALSE)</f>
        <v>0942</v>
      </c>
    </row>
    <row r="783" spans="30:33">
      <c r="AD783" s="73" t="s">
        <v>2855</v>
      </c>
      <c r="AE783" s="73" t="s">
        <v>2856</v>
      </c>
      <c r="AF783" s="73" t="str">
        <f t="shared" si="110"/>
        <v>A679078</v>
      </c>
      <c r="AG783" s="73" t="str">
        <f>VLOOKUP(AF783,AKT!$C$4:$E$324,3,FALSE)</f>
        <v>0942</v>
      </c>
    </row>
    <row r="784" spans="30:33">
      <c r="AD784" s="73" t="s">
        <v>2857</v>
      </c>
      <c r="AE784" s="73" t="s">
        <v>2858</v>
      </c>
      <c r="AF784" s="73" t="str">
        <f t="shared" si="110"/>
        <v>A679078</v>
      </c>
      <c r="AG784" s="73" t="str">
        <f>VLOOKUP(AF784,AKT!$C$4:$E$324,3,FALSE)</f>
        <v>0942</v>
      </c>
    </row>
    <row r="785" spans="30:33">
      <c r="AD785" s="73" t="s">
        <v>2859</v>
      </c>
      <c r="AE785" s="73" t="s">
        <v>2860</v>
      </c>
      <c r="AF785" s="73" t="str">
        <f t="shared" si="110"/>
        <v>A679078</v>
      </c>
      <c r="AG785" s="73" t="str">
        <f>VLOOKUP(AF785,AKT!$C$4:$E$324,3,FALSE)</f>
        <v>0942</v>
      </c>
    </row>
    <row r="786" spans="30:33">
      <c r="AD786" s="73" t="s">
        <v>2861</v>
      </c>
      <c r="AE786" s="73" t="s">
        <v>2862</v>
      </c>
      <c r="AF786" s="73" t="str">
        <f t="shared" si="110"/>
        <v>A679078</v>
      </c>
      <c r="AG786" s="73" t="str">
        <f>VLOOKUP(AF786,AKT!$C$4:$E$324,3,FALSE)</f>
        <v>0942</v>
      </c>
    </row>
    <row r="787" spans="30:33">
      <c r="AD787" s="73" t="s">
        <v>2863</v>
      </c>
      <c r="AE787" s="73" t="s">
        <v>2864</v>
      </c>
      <c r="AF787" s="73" t="str">
        <f t="shared" si="110"/>
        <v>A679078</v>
      </c>
      <c r="AG787" s="73" t="str">
        <f>VLOOKUP(AF787,AKT!$C$4:$E$324,3,FALSE)</f>
        <v>0942</v>
      </c>
    </row>
    <row r="788" spans="30:33">
      <c r="AD788" s="73" t="s">
        <v>2865</v>
      </c>
      <c r="AE788" s="73" t="s">
        <v>2866</v>
      </c>
      <c r="AF788" s="73" t="str">
        <f t="shared" si="110"/>
        <v>A679078</v>
      </c>
      <c r="AG788" s="73" t="str">
        <f>VLOOKUP(AF788,AKT!$C$4:$E$324,3,FALSE)</f>
        <v>0942</v>
      </c>
    </row>
    <row r="789" spans="30:33">
      <c r="AD789" s="73" t="s">
        <v>2867</v>
      </c>
      <c r="AE789" s="73" t="s">
        <v>2868</v>
      </c>
      <c r="AF789" s="73" t="str">
        <f t="shared" si="110"/>
        <v>A679078</v>
      </c>
      <c r="AG789" s="73" t="str">
        <f>VLOOKUP(AF789,AKT!$C$4:$E$324,3,FALSE)</f>
        <v>0942</v>
      </c>
    </row>
    <row r="790" spans="30:33">
      <c r="AD790" s="73" t="s">
        <v>2869</v>
      </c>
      <c r="AE790" s="73" t="s">
        <v>2870</v>
      </c>
      <c r="AF790" s="73" t="str">
        <f t="shared" si="110"/>
        <v>A679078</v>
      </c>
      <c r="AG790" s="73" t="str">
        <f>VLOOKUP(AF790,AKT!$C$4:$E$324,3,FALSE)</f>
        <v>0942</v>
      </c>
    </row>
    <row r="791" spans="30:33">
      <c r="AD791" s="73" t="s">
        <v>2871</v>
      </c>
      <c r="AE791" s="73" t="s">
        <v>2872</v>
      </c>
      <c r="AF791" s="73" t="str">
        <f t="shared" si="110"/>
        <v>A679078</v>
      </c>
      <c r="AG791" s="73" t="str">
        <f>VLOOKUP(AF791,AKT!$C$4:$E$324,3,FALSE)</f>
        <v>0942</v>
      </c>
    </row>
    <row r="792" spans="30:33">
      <c r="AD792" s="73" t="s">
        <v>2873</v>
      </c>
      <c r="AE792" s="73" t="s">
        <v>2874</v>
      </c>
      <c r="AF792" s="73" t="str">
        <f t="shared" si="110"/>
        <v>A679078</v>
      </c>
      <c r="AG792" s="73" t="str">
        <f>VLOOKUP(AF792,AKT!$C$4:$E$324,3,FALSE)</f>
        <v>0942</v>
      </c>
    </row>
    <row r="793" spans="30:33">
      <c r="AD793" s="73" t="s">
        <v>2875</v>
      </c>
      <c r="AE793" s="73" t="s">
        <v>2876</v>
      </c>
      <c r="AF793" s="73" t="str">
        <f t="shared" si="110"/>
        <v>A679078</v>
      </c>
      <c r="AG793" s="73" t="str">
        <f>VLOOKUP(AF793,AKT!$C$4:$E$324,3,FALSE)</f>
        <v>0942</v>
      </c>
    </row>
    <row r="794" spans="30:33">
      <c r="AD794" s="73" t="s">
        <v>2877</v>
      </c>
      <c r="AE794" s="73" t="s">
        <v>2878</v>
      </c>
      <c r="AF794" s="73" t="str">
        <f t="shared" si="110"/>
        <v>A679078</v>
      </c>
      <c r="AG794" s="73" t="str">
        <f>VLOOKUP(AF794,AKT!$C$4:$E$324,3,FALSE)</f>
        <v>0942</v>
      </c>
    </row>
    <row r="795" spans="30:33">
      <c r="AD795" s="73" t="s">
        <v>2879</v>
      </c>
      <c r="AE795" s="73" t="s">
        <v>2880</v>
      </c>
      <c r="AF795" s="73" t="str">
        <f t="shared" si="110"/>
        <v>A679078</v>
      </c>
      <c r="AG795" s="73" t="str">
        <f>VLOOKUP(AF795,AKT!$C$4:$E$324,3,FALSE)</f>
        <v>0942</v>
      </c>
    </row>
    <row r="796" spans="30:33">
      <c r="AD796" s="73" t="s">
        <v>2881</v>
      </c>
      <c r="AE796" s="73" t="s">
        <v>2882</v>
      </c>
      <c r="AF796" s="73" t="str">
        <f t="shared" si="110"/>
        <v>A679078</v>
      </c>
      <c r="AG796" s="73" t="str">
        <f>VLOOKUP(AF796,AKT!$C$4:$E$324,3,FALSE)</f>
        <v>0942</v>
      </c>
    </row>
    <row r="797" spans="30:33">
      <c r="AD797" s="73" t="s">
        <v>2883</v>
      </c>
      <c r="AE797" s="73" t="s">
        <v>2884</v>
      </c>
      <c r="AF797" s="73" t="str">
        <f t="shared" si="110"/>
        <v>A679078</v>
      </c>
      <c r="AG797" s="73" t="str">
        <f>VLOOKUP(AF797,AKT!$C$4:$E$324,3,FALSE)</f>
        <v>0942</v>
      </c>
    </row>
    <row r="798" spans="30:33">
      <c r="AD798" s="73" t="s">
        <v>2885</v>
      </c>
      <c r="AE798" s="73" t="s">
        <v>2642</v>
      </c>
      <c r="AF798" s="73" t="str">
        <f t="shared" si="110"/>
        <v>A679078</v>
      </c>
      <c r="AG798" s="73" t="str">
        <f>VLOOKUP(AF798,AKT!$C$4:$E$324,3,FALSE)</f>
        <v>0942</v>
      </c>
    </row>
    <row r="799" spans="30:33">
      <c r="AD799" s="73" t="s">
        <v>2886</v>
      </c>
      <c r="AE799" s="73" t="s">
        <v>2887</v>
      </c>
      <c r="AF799" s="73" t="str">
        <f t="shared" si="110"/>
        <v>A679078</v>
      </c>
      <c r="AG799" s="73" t="str">
        <f>VLOOKUP(AF799,AKT!$C$4:$E$324,3,FALSE)</f>
        <v>0942</v>
      </c>
    </row>
    <row r="800" spans="30:33">
      <c r="AD800" s="73" t="s">
        <v>2888</v>
      </c>
      <c r="AE800" s="73" t="s">
        <v>2889</v>
      </c>
      <c r="AF800" s="73" t="str">
        <f t="shared" si="110"/>
        <v>A679078</v>
      </c>
      <c r="AG800" s="73" t="str">
        <f>VLOOKUP(AF800,AKT!$C$4:$E$324,3,FALSE)</f>
        <v>0942</v>
      </c>
    </row>
    <row r="801" spans="30:33">
      <c r="AD801" s="73" t="s">
        <v>2890</v>
      </c>
      <c r="AE801" s="73" t="s">
        <v>2891</v>
      </c>
      <c r="AF801" s="73" t="str">
        <f t="shared" si="110"/>
        <v>A679078</v>
      </c>
      <c r="AG801" s="73" t="str">
        <f>VLOOKUP(AF801,AKT!$C$4:$E$324,3,FALSE)</f>
        <v>0942</v>
      </c>
    </row>
    <row r="802" spans="30:33">
      <c r="AD802" s="73" t="s">
        <v>2892</v>
      </c>
      <c r="AE802" s="73" t="s">
        <v>2893</v>
      </c>
      <c r="AF802" s="73" t="str">
        <f t="shared" si="110"/>
        <v>A679078</v>
      </c>
      <c r="AG802" s="73" t="str">
        <f>VLOOKUP(AF802,AKT!$C$4:$E$324,3,FALSE)</f>
        <v>0942</v>
      </c>
    </row>
    <row r="803" spans="30:33">
      <c r="AD803" s="73" t="s">
        <v>2894</v>
      </c>
      <c r="AE803" s="73" t="s">
        <v>2895</v>
      </c>
      <c r="AF803" s="73" t="str">
        <f t="shared" si="110"/>
        <v>A679078</v>
      </c>
      <c r="AG803" s="73" t="str">
        <f>VLOOKUP(AF803,AKT!$C$4:$E$324,3,FALSE)</f>
        <v>0942</v>
      </c>
    </row>
    <row r="804" spans="30:33">
      <c r="AD804" s="73" t="s">
        <v>2896</v>
      </c>
      <c r="AE804" s="73" t="s">
        <v>2897</v>
      </c>
      <c r="AF804" s="73" t="str">
        <f t="shared" si="110"/>
        <v>A679078</v>
      </c>
      <c r="AG804" s="73" t="str">
        <f>VLOOKUP(AF804,AKT!$C$4:$E$324,3,FALSE)</f>
        <v>0942</v>
      </c>
    </row>
    <row r="805" spans="30:33">
      <c r="AD805" s="73" t="s">
        <v>2898</v>
      </c>
      <c r="AE805" s="73" t="s">
        <v>2899</v>
      </c>
      <c r="AF805" s="73" t="str">
        <f t="shared" si="110"/>
        <v>A679078</v>
      </c>
      <c r="AG805" s="73" t="str">
        <f>VLOOKUP(AF805,AKT!$C$4:$E$324,3,FALSE)</f>
        <v>0942</v>
      </c>
    </row>
    <row r="806" spans="30:33">
      <c r="AD806" s="73" t="s">
        <v>2900</v>
      </c>
      <c r="AE806" s="73" t="s">
        <v>2901</v>
      </c>
      <c r="AF806" s="73" t="str">
        <f t="shared" si="110"/>
        <v>A679078</v>
      </c>
      <c r="AG806" s="73" t="str">
        <f>VLOOKUP(AF806,AKT!$C$4:$E$324,3,FALSE)</f>
        <v>0942</v>
      </c>
    </row>
    <row r="807" spans="30:33">
      <c r="AD807" s="73" t="s">
        <v>3190</v>
      </c>
      <c r="AE807" s="73" t="s">
        <v>3191</v>
      </c>
      <c r="AF807" s="73" t="str">
        <f t="shared" si="110"/>
        <v>A679078</v>
      </c>
      <c r="AG807" s="73" t="str">
        <f>VLOOKUP(AF807,AKT!$C$4:$E$324,3,FALSE)</f>
        <v>0942</v>
      </c>
    </row>
    <row r="808" spans="30:33">
      <c r="AD808" s="73" t="s">
        <v>2902</v>
      </c>
      <c r="AE808" s="73" t="s">
        <v>2903</v>
      </c>
      <c r="AF808" s="73" t="str">
        <f t="shared" si="110"/>
        <v>A679078</v>
      </c>
      <c r="AG808" s="73" t="str">
        <f>VLOOKUP(AF808,AKT!$C$4:$E$324,3,FALSE)</f>
        <v>0942</v>
      </c>
    </row>
    <row r="809" spans="30:33">
      <c r="AD809" s="73" t="s">
        <v>2904</v>
      </c>
      <c r="AE809" s="73" t="s">
        <v>2905</v>
      </c>
      <c r="AF809" s="73" t="str">
        <f t="shared" si="110"/>
        <v>A679078</v>
      </c>
      <c r="AG809" s="73" t="str">
        <f>VLOOKUP(AF809,AKT!$C$4:$E$324,3,FALSE)</f>
        <v>0942</v>
      </c>
    </row>
    <row r="810" spans="30:33">
      <c r="AD810" s="73" t="s">
        <v>2906</v>
      </c>
      <c r="AE810" s="73" t="s">
        <v>2907</v>
      </c>
      <c r="AF810" s="73" t="str">
        <f t="shared" si="110"/>
        <v>A679078</v>
      </c>
      <c r="AG810" s="73" t="str">
        <f>VLOOKUP(AF810,AKT!$C$4:$E$324,3,FALSE)</f>
        <v>0942</v>
      </c>
    </row>
    <row r="811" spans="30:33">
      <c r="AD811" s="73" t="s">
        <v>3192</v>
      </c>
      <c r="AE811" s="73" t="s">
        <v>3193</v>
      </c>
      <c r="AF811" s="73" t="str">
        <f t="shared" si="110"/>
        <v>A679078</v>
      </c>
      <c r="AG811" s="73" t="str">
        <f>VLOOKUP(AF811,AKT!$C$4:$E$324,3,FALSE)</f>
        <v>0942</v>
      </c>
    </row>
    <row r="812" spans="30:33">
      <c r="AD812" s="73" t="s">
        <v>3194</v>
      </c>
      <c r="AE812" s="73" t="s">
        <v>3195</v>
      </c>
      <c r="AF812" s="73" t="str">
        <f t="shared" si="110"/>
        <v>A679078</v>
      </c>
      <c r="AG812" s="73" t="str">
        <f>VLOOKUP(AF812,AKT!$C$4:$E$324,3,FALSE)</f>
        <v>0942</v>
      </c>
    </row>
    <row r="813" spans="30:33">
      <c r="AD813" s="73" t="s">
        <v>3196</v>
      </c>
      <c r="AE813" s="73" t="s">
        <v>3197</v>
      </c>
      <c r="AF813" s="73" t="str">
        <f t="shared" si="110"/>
        <v>A679078</v>
      </c>
      <c r="AG813" s="73" t="str">
        <f>VLOOKUP(AF813,AKT!$C$4:$E$324,3,FALSE)</f>
        <v>0942</v>
      </c>
    </row>
    <row r="814" spans="30:33">
      <c r="AD814" s="73" t="s">
        <v>3198</v>
      </c>
      <c r="AE814" s="73" t="s">
        <v>3199</v>
      </c>
      <c r="AF814" s="73" t="str">
        <f t="shared" si="110"/>
        <v>A679078</v>
      </c>
      <c r="AG814" s="73" t="str">
        <f>VLOOKUP(AF814,AKT!$C$4:$E$324,3,FALSE)</f>
        <v>0942</v>
      </c>
    </row>
    <row r="815" spans="30:33">
      <c r="AD815" s="73" t="s">
        <v>3200</v>
      </c>
      <c r="AE815" s="73" t="s">
        <v>3201</v>
      </c>
      <c r="AF815" s="73" t="str">
        <f t="shared" si="110"/>
        <v>A679078</v>
      </c>
      <c r="AG815" s="73" t="str">
        <f>VLOOKUP(AF815,AKT!$C$4:$E$324,3,FALSE)</f>
        <v>0942</v>
      </c>
    </row>
    <row r="816" spans="30:33">
      <c r="AD816" s="73" t="s">
        <v>3202</v>
      </c>
      <c r="AE816" s="73" t="s">
        <v>3203</v>
      </c>
      <c r="AF816" s="73" t="str">
        <f t="shared" si="110"/>
        <v>A679078</v>
      </c>
      <c r="AG816" s="73" t="str">
        <f>VLOOKUP(AF816,AKT!$C$4:$E$324,3,FALSE)</f>
        <v>0942</v>
      </c>
    </row>
    <row r="817" spans="30:33">
      <c r="AD817" s="73" t="s">
        <v>3204</v>
      </c>
      <c r="AE817" s="73" t="s">
        <v>3205</v>
      </c>
      <c r="AF817" s="73" t="str">
        <f t="shared" si="110"/>
        <v>A679078</v>
      </c>
      <c r="AG817" s="73" t="str">
        <f>VLOOKUP(AF817,AKT!$C$4:$E$324,3,FALSE)</f>
        <v>0942</v>
      </c>
    </row>
    <row r="818" spans="30:33">
      <c r="AD818" s="73" t="s">
        <v>3206</v>
      </c>
      <c r="AE818" s="73" t="s">
        <v>3207</v>
      </c>
      <c r="AF818" s="73" t="str">
        <f t="shared" si="110"/>
        <v>A679078</v>
      </c>
      <c r="AG818" s="73" t="str">
        <f>VLOOKUP(AF818,AKT!$C$4:$E$324,3,FALSE)</f>
        <v>0942</v>
      </c>
    </row>
    <row r="819" spans="30:33">
      <c r="AD819" s="73" t="s">
        <v>3208</v>
      </c>
      <c r="AE819" s="73" t="s">
        <v>3209</v>
      </c>
      <c r="AF819" s="73" t="str">
        <f t="shared" si="110"/>
        <v>A679078</v>
      </c>
      <c r="AG819" s="73" t="str">
        <f>VLOOKUP(AF819,AKT!$C$4:$E$324,3,FALSE)</f>
        <v>0942</v>
      </c>
    </row>
    <row r="820" spans="30:33">
      <c r="AD820" s="73" t="s">
        <v>3210</v>
      </c>
      <c r="AE820" s="73" t="s">
        <v>3211</v>
      </c>
      <c r="AF820" s="73" t="str">
        <f t="shared" si="110"/>
        <v>A679078</v>
      </c>
      <c r="AG820" s="73" t="str">
        <f>VLOOKUP(AF820,AKT!$C$4:$E$324,3,FALSE)</f>
        <v>0942</v>
      </c>
    </row>
    <row r="821" spans="30:33">
      <c r="AD821" s="73" t="s">
        <v>3212</v>
      </c>
      <c r="AE821" s="73" t="s">
        <v>3213</v>
      </c>
      <c r="AF821" s="73" t="str">
        <f t="shared" si="110"/>
        <v>A679078</v>
      </c>
      <c r="AG821" s="73" t="str">
        <f>VLOOKUP(AF821,AKT!$C$4:$E$324,3,FALSE)</f>
        <v>0942</v>
      </c>
    </row>
    <row r="822" spans="30:33">
      <c r="AD822" s="73" t="s">
        <v>3214</v>
      </c>
      <c r="AE822" s="73" t="s">
        <v>3215</v>
      </c>
      <c r="AF822" s="73" t="str">
        <f t="shared" si="110"/>
        <v>A679078</v>
      </c>
      <c r="AG822" s="73" t="str">
        <f>VLOOKUP(AF822,AKT!$C$4:$E$324,3,FALSE)</f>
        <v>0942</v>
      </c>
    </row>
    <row r="823" spans="30:33">
      <c r="AD823" s="73" t="s">
        <v>3216</v>
      </c>
      <c r="AE823" s="73" t="s">
        <v>3217</v>
      </c>
      <c r="AF823" s="73" t="str">
        <f t="shared" si="110"/>
        <v>A679078</v>
      </c>
      <c r="AG823" s="73" t="str">
        <f>VLOOKUP(AF823,AKT!$C$4:$E$324,3,FALSE)</f>
        <v>0942</v>
      </c>
    </row>
    <row r="824" spans="30:33">
      <c r="AD824" s="73" t="s">
        <v>3218</v>
      </c>
      <c r="AE824" s="73" t="s">
        <v>3219</v>
      </c>
      <c r="AF824" s="73" t="str">
        <f t="shared" si="110"/>
        <v>A679078</v>
      </c>
      <c r="AG824" s="73" t="str">
        <f>VLOOKUP(AF824,AKT!$C$4:$E$324,3,FALSE)</f>
        <v>0942</v>
      </c>
    </row>
    <row r="825" spans="30:33">
      <c r="AD825" s="73" t="s">
        <v>3220</v>
      </c>
      <c r="AE825" s="73" t="s">
        <v>3221</v>
      </c>
      <c r="AF825" s="73" t="str">
        <f t="shared" si="110"/>
        <v>A679078</v>
      </c>
      <c r="AG825" s="73" t="str">
        <f>VLOOKUP(AF825,AKT!$C$4:$E$324,3,FALSE)</f>
        <v>0942</v>
      </c>
    </row>
    <row r="826" spans="30:33">
      <c r="AD826" s="73" t="s">
        <v>3222</v>
      </c>
      <c r="AE826" s="73" t="s">
        <v>3223</v>
      </c>
      <c r="AF826" s="73" t="str">
        <f t="shared" si="110"/>
        <v>A679078</v>
      </c>
      <c r="AG826" s="73" t="str">
        <f>VLOOKUP(AF826,AKT!$C$4:$E$324,3,FALSE)</f>
        <v>0942</v>
      </c>
    </row>
    <row r="827" spans="30:33">
      <c r="AD827" s="73" t="s">
        <v>3224</v>
      </c>
      <c r="AE827" s="73" t="s">
        <v>3225</v>
      </c>
      <c r="AF827" s="73" t="str">
        <f t="shared" si="110"/>
        <v>A679078</v>
      </c>
      <c r="AG827" s="73" t="str">
        <f>VLOOKUP(AF827,AKT!$C$4:$E$324,3,FALSE)</f>
        <v>0942</v>
      </c>
    </row>
    <row r="828" spans="30:33">
      <c r="AD828" s="73" t="s">
        <v>3226</v>
      </c>
      <c r="AE828" s="73" t="s">
        <v>2803</v>
      </c>
      <c r="AF828" s="73" t="str">
        <f t="shared" si="110"/>
        <v>A679078</v>
      </c>
      <c r="AG828" s="73" t="str">
        <f>VLOOKUP(AF828,AKT!$C$4:$E$324,3,FALSE)</f>
        <v>0942</v>
      </c>
    </row>
    <row r="829" spans="30:33">
      <c r="AD829" s="73" t="s">
        <v>3227</v>
      </c>
      <c r="AE829" s="73" t="s">
        <v>3121</v>
      </c>
      <c r="AF829" s="73" t="str">
        <f t="shared" si="110"/>
        <v>A679078</v>
      </c>
      <c r="AG829" s="73" t="str">
        <f>VLOOKUP(AF829,AKT!$C$4:$E$324,3,FALSE)</f>
        <v>0942</v>
      </c>
    </row>
    <row r="830" spans="30:33">
      <c r="AD830" s="73" t="s">
        <v>3228</v>
      </c>
      <c r="AE830" s="73" t="s">
        <v>3229</v>
      </c>
      <c r="AF830" s="73" t="str">
        <f t="shared" si="110"/>
        <v>A679078</v>
      </c>
      <c r="AG830" s="73" t="str">
        <f>VLOOKUP(AF830,AKT!$C$4:$E$324,3,FALSE)</f>
        <v>0942</v>
      </c>
    </row>
    <row r="831" spans="30:33">
      <c r="AD831" s="73" t="s">
        <v>3230</v>
      </c>
      <c r="AE831" s="73" t="s">
        <v>3231</v>
      </c>
      <c r="AF831" s="73" t="str">
        <f t="shared" ref="AF831:AF894" si="111">LEFT(AD831,7)</f>
        <v>A679078</v>
      </c>
      <c r="AG831" s="73" t="str">
        <f>VLOOKUP(AF831,AKT!$C$4:$E$324,3,FALSE)</f>
        <v>0942</v>
      </c>
    </row>
    <row r="832" spans="30:33">
      <c r="AD832" s="73" t="s">
        <v>3232</v>
      </c>
      <c r="AE832" s="73" t="s">
        <v>3233</v>
      </c>
      <c r="AF832" s="73" t="str">
        <f t="shared" si="111"/>
        <v>A679078</v>
      </c>
      <c r="AG832" s="73" t="str">
        <f>VLOOKUP(AF832,AKT!$C$4:$E$324,3,FALSE)</f>
        <v>0942</v>
      </c>
    </row>
    <row r="833" spans="30:33">
      <c r="AD833" s="73" t="s">
        <v>3234</v>
      </c>
      <c r="AE833" s="73" t="s">
        <v>3235</v>
      </c>
      <c r="AF833" s="73" t="str">
        <f t="shared" si="111"/>
        <v>A679078</v>
      </c>
      <c r="AG833" s="73" t="str">
        <f>VLOOKUP(AF833,AKT!$C$4:$E$324,3,FALSE)</f>
        <v>0942</v>
      </c>
    </row>
    <row r="834" spans="30:33">
      <c r="AD834" s="73" t="s">
        <v>3236</v>
      </c>
      <c r="AE834" s="73" t="s">
        <v>3237</v>
      </c>
      <c r="AF834" s="73" t="str">
        <f t="shared" si="111"/>
        <v>A679078</v>
      </c>
      <c r="AG834" s="73" t="str">
        <f>VLOOKUP(AF834,AKT!$C$4:$E$324,3,FALSE)</f>
        <v>0942</v>
      </c>
    </row>
    <row r="835" spans="30:33">
      <c r="AD835" s="73" t="s">
        <v>3238</v>
      </c>
      <c r="AE835" s="73" t="s">
        <v>3239</v>
      </c>
      <c r="AF835" s="73" t="str">
        <f t="shared" si="111"/>
        <v>A679078</v>
      </c>
      <c r="AG835" s="73" t="str">
        <f>VLOOKUP(AF835,AKT!$C$4:$E$324,3,FALSE)</f>
        <v>0942</v>
      </c>
    </row>
    <row r="836" spans="30:33">
      <c r="AD836" s="73" t="s">
        <v>3240</v>
      </c>
      <c r="AE836" s="73" t="s">
        <v>2474</v>
      </c>
      <c r="AF836" s="73" t="str">
        <f t="shared" si="111"/>
        <v>A679078</v>
      </c>
      <c r="AG836" s="73" t="str">
        <f>VLOOKUP(AF836,AKT!$C$4:$E$324,3,FALSE)</f>
        <v>0942</v>
      </c>
    </row>
    <row r="837" spans="30:33">
      <c r="AD837" s="73" t="s">
        <v>3241</v>
      </c>
      <c r="AE837" s="73" t="s">
        <v>3242</v>
      </c>
      <c r="AF837" s="73" t="str">
        <f t="shared" si="111"/>
        <v>A679078</v>
      </c>
      <c r="AG837" s="73" t="str">
        <f>VLOOKUP(AF837,AKT!$C$4:$E$324,3,FALSE)</f>
        <v>0942</v>
      </c>
    </row>
    <row r="838" spans="30:33">
      <c r="AD838" s="73" t="s">
        <v>3243</v>
      </c>
      <c r="AE838" s="73" t="s">
        <v>3244</v>
      </c>
      <c r="AF838" s="73" t="str">
        <f t="shared" si="111"/>
        <v>A679078</v>
      </c>
      <c r="AG838" s="73" t="str">
        <f>VLOOKUP(AF838,AKT!$C$4:$E$324,3,FALSE)</f>
        <v>0942</v>
      </c>
    </row>
    <row r="839" spans="30:33">
      <c r="AD839" s="73" t="s">
        <v>3245</v>
      </c>
      <c r="AE839" s="73" t="s">
        <v>3246</v>
      </c>
      <c r="AF839" s="73" t="str">
        <f t="shared" si="111"/>
        <v>A679078</v>
      </c>
      <c r="AG839" s="73" t="str">
        <f>VLOOKUP(AF839,AKT!$C$4:$E$324,3,FALSE)</f>
        <v>0942</v>
      </c>
    </row>
    <row r="840" spans="30:33">
      <c r="AD840" s="73" t="s">
        <v>3247</v>
      </c>
      <c r="AE840" s="73" t="s">
        <v>3248</v>
      </c>
      <c r="AF840" s="73" t="str">
        <f t="shared" si="111"/>
        <v>A679078</v>
      </c>
      <c r="AG840" s="73" t="str">
        <f>VLOOKUP(AF840,AKT!$C$4:$E$324,3,FALSE)</f>
        <v>0942</v>
      </c>
    </row>
    <row r="841" spans="30:33">
      <c r="AD841" s="73" t="s">
        <v>3249</v>
      </c>
      <c r="AE841" s="73" t="s">
        <v>3250</v>
      </c>
      <c r="AF841" s="73" t="str">
        <f t="shared" si="111"/>
        <v>A679078</v>
      </c>
      <c r="AG841" s="73" t="str">
        <f>VLOOKUP(AF841,AKT!$C$4:$E$324,3,FALSE)</f>
        <v>0942</v>
      </c>
    </row>
    <row r="842" spans="30:33">
      <c r="AD842" s="73" t="s">
        <v>3251</v>
      </c>
      <c r="AE842" s="73" t="s">
        <v>3252</v>
      </c>
      <c r="AF842" s="73" t="str">
        <f t="shared" si="111"/>
        <v>A679078</v>
      </c>
      <c r="AG842" s="73" t="str">
        <f>VLOOKUP(AF842,AKT!$C$4:$E$324,3,FALSE)</f>
        <v>0942</v>
      </c>
    </row>
    <row r="843" spans="30:33">
      <c r="AD843" s="73" t="s">
        <v>3253</v>
      </c>
      <c r="AE843" s="73" t="s">
        <v>3254</v>
      </c>
      <c r="AF843" s="73" t="str">
        <f t="shared" si="111"/>
        <v>A679078</v>
      </c>
      <c r="AG843" s="73" t="str">
        <f>VLOOKUP(AF843,AKT!$C$4:$E$324,3,FALSE)</f>
        <v>0942</v>
      </c>
    </row>
    <row r="844" spans="30:33">
      <c r="AD844" s="73" t="s">
        <v>3255</v>
      </c>
      <c r="AE844" s="73" t="s">
        <v>3256</v>
      </c>
      <c r="AF844" s="73" t="str">
        <f t="shared" si="111"/>
        <v>A679078</v>
      </c>
      <c r="AG844" s="73" t="str">
        <f>VLOOKUP(AF844,AKT!$C$4:$E$324,3,FALSE)</f>
        <v>0942</v>
      </c>
    </row>
    <row r="845" spans="30:33">
      <c r="AD845" s="73" t="s">
        <v>3257</v>
      </c>
      <c r="AE845" s="73" t="s">
        <v>3258</v>
      </c>
      <c r="AF845" s="73" t="str">
        <f t="shared" si="111"/>
        <v>A679078</v>
      </c>
      <c r="AG845" s="73" t="str">
        <f>VLOOKUP(AF845,AKT!$C$4:$E$324,3,FALSE)</f>
        <v>0942</v>
      </c>
    </row>
    <row r="846" spans="30:33">
      <c r="AD846" s="73" t="s">
        <v>3259</v>
      </c>
      <c r="AE846" s="73" t="s">
        <v>3260</v>
      </c>
      <c r="AF846" s="73" t="str">
        <f t="shared" si="111"/>
        <v>A679078</v>
      </c>
      <c r="AG846" s="73" t="str">
        <f>VLOOKUP(AF846,AKT!$C$4:$E$324,3,FALSE)</f>
        <v>0942</v>
      </c>
    </row>
    <row r="847" spans="30:33">
      <c r="AD847" s="73" t="s">
        <v>3261</v>
      </c>
      <c r="AE847" s="73" t="s">
        <v>3262</v>
      </c>
      <c r="AF847" s="73" t="str">
        <f t="shared" si="111"/>
        <v>A679078</v>
      </c>
      <c r="AG847" s="73" t="str">
        <f>VLOOKUP(AF847,AKT!$C$4:$E$324,3,FALSE)</f>
        <v>0942</v>
      </c>
    </row>
    <row r="848" spans="30:33">
      <c r="AD848" s="73" t="s">
        <v>3263</v>
      </c>
      <c r="AE848" s="73" t="s">
        <v>3264</v>
      </c>
      <c r="AF848" s="73" t="str">
        <f t="shared" si="111"/>
        <v>A679078</v>
      </c>
      <c r="AG848" s="73" t="str">
        <f>VLOOKUP(AF848,AKT!$C$4:$E$324,3,FALSE)</f>
        <v>0942</v>
      </c>
    </row>
    <row r="849" spans="30:33">
      <c r="AD849" s="73" t="s">
        <v>3265</v>
      </c>
      <c r="AE849" s="73" t="s">
        <v>3266</v>
      </c>
      <c r="AF849" s="73" t="str">
        <f t="shared" si="111"/>
        <v>A679078</v>
      </c>
      <c r="AG849" s="73" t="str">
        <f>VLOOKUP(AF849,AKT!$C$4:$E$324,3,FALSE)</f>
        <v>0942</v>
      </c>
    </row>
    <row r="850" spans="30:33">
      <c r="AD850" s="73" t="s">
        <v>3267</v>
      </c>
      <c r="AE850" s="73" t="s">
        <v>3268</v>
      </c>
      <c r="AF850" s="73" t="str">
        <f t="shared" si="111"/>
        <v>A679078</v>
      </c>
      <c r="AG850" s="73" t="str">
        <f>VLOOKUP(AF850,AKT!$C$4:$E$324,3,FALSE)</f>
        <v>0942</v>
      </c>
    </row>
    <row r="851" spans="30:33">
      <c r="AD851" s="73" t="s">
        <v>3269</v>
      </c>
      <c r="AE851" s="73" t="s">
        <v>3270</v>
      </c>
      <c r="AF851" s="73" t="str">
        <f t="shared" si="111"/>
        <v>A679078</v>
      </c>
      <c r="AG851" s="73" t="str">
        <f>VLOOKUP(AF851,AKT!$C$4:$E$324,3,FALSE)</f>
        <v>0942</v>
      </c>
    </row>
    <row r="852" spans="30:33">
      <c r="AD852" s="73" t="s">
        <v>3271</v>
      </c>
      <c r="AE852" s="73" t="s">
        <v>3272</v>
      </c>
      <c r="AF852" s="73" t="str">
        <f t="shared" si="111"/>
        <v>A679078</v>
      </c>
      <c r="AG852" s="73" t="str">
        <f>VLOOKUP(AF852,AKT!$C$4:$E$324,3,FALSE)</f>
        <v>0942</v>
      </c>
    </row>
    <row r="853" spans="30:33">
      <c r="AD853" s="73" t="s">
        <v>3273</v>
      </c>
      <c r="AE853" s="73" t="s">
        <v>3274</v>
      </c>
      <c r="AF853" s="73" t="str">
        <f t="shared" si="111"/>
        <v>A679078</v>
      </c>
      <c r="AG853" s="73" t="str">
        <f>VLOOKUP(AF853,AKT!$C$4:$E$324,3,FALSE)</f>
        <v>0942</v>
      </c>
    </row>
    <row r="854" spans="30:33">
      <c r="AD854" s="73" t="s">
        <v>3275</v>
      </c>
      <c r="AE854" s="73" t="s">
        <v>3276</v>
      </c>
      <c r="AF854" s="73" t="str">
        <f t="shared" si="111"/>
        <v>A679078</v>
      </c>
      <c r="AG854" s="73" t="str">
        <f>VLOOKUP(AF854,AKT!$C$4:$E$324,3,FALSE)</f>
        <v>0942</v>
      </c>
    </row>
    <row r="855" spans="30:33">
      <c r="AD855" s="73" t="s">
        <v>3277</v>
      </c>
      <c r="AE855" s="73" t="s">
        <v>3278</v>
      </c>
      <c r="AF855" s="73" t="str">
        <f t="shared" si="111"/>
        <v>A679078</v>
      </c>
      <c r="AG855" s="73" t="str">
        <f>VLOOKUP(AF855,AKT!$C$4:$E$324,3,FALSE)</f>
        <v>0942</v>
      </c>
    </row>
    <row r="856" spans="30:33">
      <c r="AD856" s="73" t="s">
        <v>3279</v>
      </c>
      <c r="AE856" s="73" t="s">
        <v>3280</v>
      </c>
      <c r="AF856" s="73" t="str">
        <f t="shared" si="111"/>
        <v>A679078</v>
      </c>
      <c r="AG856" s="73" t="str">
        <f>VLOOKUP(AF856,AKT!$C$4:$E$324,3,FALSE)</f>
        <v>0942</v>
      </c>
    </row>
    <row r="857" spans="30:33">
      <c r="AD857" s="73" t="s">
        <v>3281</v>
      </c>
      <c r="AE857" s="73" t="s">
        <v>3282</v>
      </c>
      <c r="AF857" s="73" t="str">
        <f t="shared" si="111"/>
        <v>A679078</v>
      </c>
      <c r="AG857" s="73" t="str">
        <f>VLOOKUP(AF857,AKT!$C$4:$E$324,3,FALSE)</f>
        <v>0942</v>
      </c>
    </row>
    <row r="858" spans="30:33">
      <c r="AD858" s="73" t="s">
        <v>3283</v>
      </c>
      <c r="AE858" s="73" t="s">
        <v>3284</v>
      </c>
      <c r="AF858" s="73" t="str">
        <f t="shared" si="111"/>
        <v>A679078</v>
      </c>
      <c r="AG858" s="73" t="str">
        <f>VLOOKUP(AF858,AKT!$C$4:$E$324,3,FALSE)</f>
        <v>0942</v>
      </c>
    </row>
    <row r="859" spans="30:33">
      <c r="AD859" s="73" t="s">
        <v>3285</v>
      </c>
      <c r="AE859" s="73" t="s">
        <v>3286</v>
      </c>
      <c r="AF859" s="73" t="str">
        <f t="shared" si="111"/>
        <v>A679078</v>
      </c>
      <c r="AG859" s="73" t="str">
        <f>VLOOKUP(AF859,AKT!$C$4:$E$324,3,FALSE)</f>
        <v>0942</v>
      </c>
    </row>
    <row r="860" spans="30:33">
      <c r="AD860" s="73" t="s">
        <v>3287</v>
      </c>
      <c r="AE860" s="73" t="s">
        <v>3288</v>
      </c>
      <c r="AF860" s="73" t="str">
        <f t="shared" si="111"/>
        <v>A679078</v>
      </c>
      <c r="AG860" s="73" t="str">
        <f>VLOOKUP(AF860,AKT!$C$4:$E$324,3,FALSE)</f>
        <v>0942</v>
      </c>
    </row>
    <row r="861" spans="30:33">
      <c r="AD861" s="73" t="s">
        <v>3289</v>
      </c>
      <c r="AE861" s="73" t="s">
        <v>3290</v>
      </c>
      <c r="AF861" s="73" t="str">
        <f t="shared" si="111"/>
        <v>A679078</v>
      </c>
      <c r="AG861" s="73" t="str">
        <f>VLOOKUP(AF861,AKT!$C$4:$E$324,3,FALSE)</f>
        <v>0942</v>
      </c>
    </row>
    <row r="862" spans="30:33">
      <c r="AD862" s="73" t="s">
        <v>3291</v>
      </c>
      <c r="AE862" s="73" t="s">
        <v>3292</v>
      </c>
      <c r="AF862" s="73" t="str">
        <f t="shared" si="111"/>
        <v>A679078</v>
      </c>
      <c r="AG862" s="73" t="str">
        <f>VLOOKUP(AF862,AKT!$C$4:$E$324,3,FALSE)</f>
        <v>0942</v>
      </c>
    </row>
    <row r="863" spans="30:33">
      <c r="AD863" s="73" t="s">
        <v>3293</v>
      </c>
      <c r="AE863" s="73" t="s">
        <v>3294</v>
      </c>
      <c r="AF863" s="73" t="str">
        <f t="shared" si="111"/>
        <v>A679078</v>
      </c>
      <c r="AG863" s="73" t="str">
        <f>VLOOKUP(AF863,AKT!$C$4:$E$324,3,FALSE)</f>
        <v>0942</v>
      </c>
    </row>
    <row r="864" spans="30:33">
      <c r="AD864" s="73" t="s">
        <v>3295</v>
      </c>
      <c r="AE864" s="73" t="s">
        <v>3296</v>
      </c>
      <c r="AF864" s="73" t="str">
        <f t="shared" si="111"/>
        <v>A679078</v>
      </c>
      <c r="AG864" s="73" t="str">
        <f>VLOOKUP(AF864,AKT!$C$4:$E$324,3,FALSE)</f>
        <v>0942</v>
      </c>
    </row>
    <row r="865" spans="30:33">
      <c r="AD865" s="73" t="s">
        <v>3297</v>
      </c>
      <c r="AE865" s="73" t="s">
        <v>3298</v>
      </c>
      <c r="AF865" s="73" t="str">
        <f t="shared" si="111"/>
        <v>A679078</v>
      </c>
      <c r="AG865" s="73" t="str">
        <f>VLOOKUP(AF865,AKT!$C$4:$E$324,3,FALSE)</f>
        <v>0942</v>
      </c>
    </row>
    <row r="866" spans="30:33">
      <c r="AD866" s="73" t="s">
        <v>3299</v>
      </c>
      <c r="AE866" s="73" t="s">
        <v>3300</v>
      </c>
      <c r="AF866" s="73" t="str">
        <f t="shared" si="111"/>
        <v>A679078</v>
      </c>
      <c r="AG866" s="73" t="str">
        <f>VLOOKUP(AF866,AKT!$C$4:$E$324,3,FALSE)</f>
        <v>0942</v>
      </c>
    </row>
    <row r="867" spans="30:33">
      <c r="AD867" s="73" t="s">
        <v>3301</v>
      </c>
      <c r="AE867" s="73" t="s">
        <v>3302</v>
      </c>
      <c r="AF867" s="73" t="str">
        <f t="shared" si="111"/>
        <v>A679078</v>
      </c>
      <c r="AG867" s="73" t="str">
        <f>VLOOKUP(AF867,AKT!$C$4:$E$324,3,FALSE)</f>
        <v>0942</v>
      </c>
    </row>
    <row r="868" spans="30:33">
      <c r="AD868" s="73" t="s">
        <v>3303</v>
      </c>
      <c r="AE868" s="73" t="s">
        <v>3304</v>
      </c>
      <c r="AF868" s="73" t="str">
        <f t="shared" si="111"/>
        <v>A679078</v>
      </c>
      <c r="AG868" s="73" t="str">
        <f>VLOOKUP(AF868,AKT!$C$4:$E$324,3,FALSE)</f>
        <v>0942</v>
      </c>
    </row>
    <row r="869" spans="30:33">
      <c r="AD869" s="73" t="s">
        <v>3305</v>
      </c>
      <c r="AE869" s="73" t="s">
        <v>3306</v>
      </c>
      <c r="AF869" s="73" t="str">
        <f t="shared" si="111"/>
        <v>A679078</v>
      </c>
      <c r="AG869" s="73" t="str">
        <f>VLOOKUP(AF869,AKT!$C$4:$E$324,3,FALSE)</f>
        <v>0942</v>
      </c>
    </row>
    <row r="870" spans="30:33">
      <c r="AD870" s="73" t="s">
        <v>3307</v>
      </c>
      <c r="AE870" s="73" t="s">
        <v>3308</v>
      </c>
      <c r="AF870" s="73" t="str">
        <f t="shared" si="111"/>
        <v>A679078</v>
      </c>
      <c r="AG870" s="73" t="str">
        <f>VLOOKUP(AF870,AKT!$C$4:$E$324,3,FALSE)</f>
        <v>0942</v>
      </c>
    </row>
    <row r="871" spans="30:33">
      <c r="AD871" s="73" t="s">
        <v>3309</v>
      </c>
      <c r="AE871" s="73" t="s">
        <v>3310</v>
      </c>
      <c r="AF871" s="73" t="str">
        <f t="shared" si="111"/>
        <v>A679078</v>
      </c>
      <c r="AG871" s="73" t="str">
        <f>VLOOKUP(AF871,AKT!$C$4:$E$324,3,FALSE)</f>
        <v>0942</v>
      </c>
    </row>
    <row r="872" spans="30:33">
      <c r="AD872" s="73" t="s">
        <v>3311</v>
      </c>
      <c r="AE872" s="73" t="s">
        <v>3312</v>
      </c>
      <c r="AF872" s="73" t="str">
        <f t="shared" si="111"/>
        <v>A679078</v>
      </c>
      <c r="AG872" s="73" t="str">
        <f>VLOOKUP(AF872,AKT!$C$4:$E$324,3,FALSE)</f>
        <v>0942</v>
      </c>
    </row>
    <row r="873" spans="30:33">
      <c r="AD873" s="73" t="s">
        <v>3313</v>
      </c>
      <c r="AE873" s="73" t="s">
        <v>3314</v>
      </c>
      <c r="AF873" s="73" t="str">
        <f t="shared" si="111"/>
        <v>A679078</v>
      </c>
      <c r="AG873" s="73" t="str">
        <f>VLOOKUP(AF873,AKT!$C$4:$E$324,3,FALSE)</f>
        <v>0942</v>
      </c>
    </row>
    <row r="874" spans="30:33">
      <c r="AD874" s="73" t="s">
        <v>3315</v>
      </c>
      <c r="AE874" s="73" t="s">
        <v>3316</v>
      </c>
      <c r="AF874" s="73" t="str">
        <f t="shared" si="111"/>
        <v>A679078</v>
      </c>
      <c r="AG874" s="73" t="str">
        <f>VLOOKUP(AF874,AKT!$C$4:$E$324,3,FALSE)</f>
        <v>0942</v>
      </c>
    </row>
    <row r="875" spans="30:33">
      <c r="AD875" s="73" t="s">
        <v>3317</v>
      </c>
      <c r="AE875" s="73" t="s">
        <v>3318</v>
      </c>
      <c r="AF875" s="73" t="str">
        <f t="shared" si="111"/>
        <v>A679078</v>
      </c>
      <c r="AG875" s="73" t="str">
        <f>VLOOKUP(AF875,AKT!$C$4:$E$324,3,FALSE)</f>
        <v>0942</v>
      </c>
    </row>
    <row r="876" spans="30:33">
      <c r="AD876" s="73" t="s">
        <v>3319</v>
      </c>
      <c r="AE876" s="73" t="s">
        <v>3320</v>
      </c>
      <c r="AF876" s="73" t="str">
        <f t="shared" si="111"/>
        <v>A679078</v>
      </c>
      <c r="AG876" s="73" t="str">
        <f>VLOOKUP(AF876,AKT!$C$4:$E$324,3,FALSE)</f>
        <v>0942</v>
      </c>
    </row>
    <row r="877" spans="30:33">
      <c r="AD877" s="73" t="s">
        <v>3321</v>
      </c>
      <c r="AE877" s="73" t="s">
        <v>3322</v>
      </c>
      <c r="AF877" s="73" t="str">
        <f t="shared" si="111"/>
        <v>A679078</v>
      </c>
      <c r="AG877" s="73" t="str">
        <f>VLOOKUP(AF877,AKT!$C$4:$E$324,3,FALSE)</f>
        <v>0942</v>
      </c>
    </row>
    <row r="878" spans="30:33">
      <c r="AD878" s="73" t="s">
        <v>3323</v>
      </c>
      <c r="AE878" s="73" t="s">
        <v>3324</v>
      </c>
      <c r="AF878" s="73" t="str">
        <f t="shared" si="111"/>
        <v>A679078</v>
      </c>
      <c r="AG878" s="73" t="str">
        <f>VLOOKUP(AF878,AKT!$C$4:$E$324,3,FALSE)</f>
        <v>0942</v>
      </c>
    </row>
    <row r="879" spans="30:33">
      <c r="AD879" s="73" t="s">
        <v>3325</v>
      </c>
      <c r="AE879" s="73" t="s">
        <v>3326</v>
      </c>
      <c r="AF879" s="73" t="str">
        <f t="shared" si="111"/>
        <v>A679078</v>
      </c>
      <c r="AG879" s="73" t="str">
        <f>VLOOKUP(AF879,AKT!$C$4:$E$324,3,FALSE)</f>
        <v>0942</v>
      </c>
    </row>
    <row r="880" spans="30:33">
      <c r="AD880" s="73" t="s">
        <v>3327</v>
      </c>
      <c r="AE880" s="73" t="s">
        <v>3328</v>
      </c>
      <c r="AF880" s="73" t="str">
        <f t="shared" si="111"/>
        <v>A679078</v>
      </c>
      <c r="AG880" s="73" t="str">
        <f>VLOOKUP(AF880,AKT!$C$4:$E$324,3,FALSE)</f>
        <v>0942</v>
      </c>
    </row>
    <row r="881" spans="30:33">
      <c r="AD881" s="73" t="s">
        <v>3329</v>
      </c>
      <c r="AE881" s="73" t="s">
        <v>3330</v>
      </c>
      <c r="AF881" s="73" t="str">
        <f t="shared" si="111"/>
        <v>A679078</v>
      </c>
      <c r="AG881" s="73" t="str">
        <f>VLOOKUP(AF881,AKT!$C$4:$E$324,3,FALSE)</f>
        <v>0942</v>
      </c>
    </row>
    <row r="882" spans="30:33">
      <c r="AD882" s="73" t="s">
        <v>3331</v>
      </c>
      <c r="AE882" s="73" t="s">
        <v>3332</v>
      </c>
      <c r="AF882" s="73" t="str">
        <f t="shared" si="111"/>
        <v>A679078</v>
      </c>
      <c r="AG882" s="73" t="str">
        <f>VLOOKUP(AF882,AKT!$C$4:$E$324,3,FALSE)</f>
        <v>0942</v>
      </c>
    </row>
    <row r="883" spans="30:33">
      <c r="AD883" s="73" t="s">
        <v>3333</v>
      </c>
      <c r="AE883" s="73" t="s">
        <v>3334</v>
      </c>
      <c r="AF883" s="73" t="str">
        <f t="shared" si="111"/>
        <v>A679078</v>
      </c>
      <c r="AG883" s="73" t="str">
        <f>VLOOKUP(AF883,AKT!$C$4:$E$324,3,FALSE)</f>
        <v>0942</v>
      </c>
    </row>
    <row r="884" spans="30:33">
      <c r="AD884" s="73" t="s">
        <v>3335</v>
      </c>
      <c r="AE884" s="73" t="s">
        <v>3336</v>
      </c>
      <c r="AF884" s="73" t="str">
        <f t="shared" si="111"/>
        <v>A679078</v>
      </c>
      <c r="AG884" s="73" t="str">
        <f>VLOOKUP(AF884,AKT!$C$4:$E$324,3,FALSE)</f>
        <v>0942</v>
      </c>
    </row>
    <row r="885" spans="30:33">
      <c r="AD885" s="73" t="s">
        <v>3337</v>
      </c>
      <c r="AE885" s="73" t="s">
        <v>3338</v>
      </c>
      <c r="AF885" s="73" t="str">
        <f t="shared" si="111"/>
        <v>A679078</v>
      </c>
      <c r="AG885" s="73" t="str">
        <f>VLOOKUP(AF885,AKT!$C$4:$E$324,3,FALSE)</f>
        <v>0942</v>
      </c>
    </row>
    <row r="886" spans="30:33">
      <c r="AD886" s="73" t="s">
        <v>3339</v>
      </c>
      <c r="AE886" s="73" t="s">
        <v>3340</v>
      </c>
      <c r="AF886" s="73" t="str">
        <f t="shared" si="111"/>
        <v>A679078</v>
      </c>
      <c r="AG886" s="73" t="str">
        <f>VLOOKUP(AF886,AKT!$C$4:$E$324,3,FALSE)</f>
        <v>0942</v>
      </c>
    </row>
    <row r="887" spans="30:33">
      <c r="AD887" s="73" t="s">
        <v>3341</v>
      </c>
      <c r="AE887" s="73" t="s">
        <v>3342</v>
      </c>
      <c r="AF887" s="73" t="str">
        <f t="shared" si="111"/>
        <v>A679078</v>
      </c>
      <c r="AG887" s="73" t="str">
        <f>VLOOKUP(AF887,AKT!$C$4:$E$324,3,FALSE)</f>
        <v>0942</v>
      </c>
    </row>
    <row r="888" spans="30:33">
      <c r="AD888" s="73" t="s">
        <v>3343</v>
      </c>
      <c r="AE888" s="73" t="s">
        <v>3344</v>
      </c>
      <c r="AF888" s="73" t="str">
        <f t="shared" si="111"/>
        <v>A679078</v>
      </c>
      <c r="AG888" s="73" t="str">
        <f>VLOOKUP(AF888,AKT!$C$4:$E$324,3,FALSE)</f>
        <v>0942</v>
      </c>
    </row>
    <row r="889" spans="30:33">
      <c r="AD889" s="73" t="s">
        <v>3345</v>
      </c>
      <c r="AE889" s="73" t="s">
        <v>3346</v>
      </c>
      <c r="AF889" s="73" t="str">
        <f t="shared" si="111"/>
        <v>A679078</v>
      </c>
      <c r="AG889" s="73" t="str">
        <f>VLOOKUP(AF889,AKT!$C$4:$E$324,3,FALSE)</f>
        <v>0942</v>
      </c>
    </row>
    <row r="890" spans="30:33">
      <c r="AD890" s="73" t="s">
        <v>3347</v>
      </c>
      <c r="AE890" s="73" t="s">
        <v>3348</v>
      </c>
      <c r="AF890" s="73" t="str">
        <f t="shared" si="111"/>
        <v>A679078</v>
      </c>
      <c r="AG890" s="73" t="str">
        <f>VLOOKUP(AF890,AKT!$C$4:$E$324,3,FALSE)</f>
        <v>0942</v>
      </c>
    </row>
    <row r="891" spans="30:33">
      <c r="AD891" s="73" t="s">
        <v>3349</v>
      </c>
      <c r="AE891" s="73" t="s">
        <v>3350</v>
      </c>
      <c r="AF891" s="73" t="str">
        <f t="shared" si="111"/>
        <v>A679078</v>
      </c>
      <c r="AG891" s="73" t="str">
        <f>VLOOKUP(AF891,AKT!$C$4:$E$324,3,FALSE)</f>
        <v>0942</v>
      </c>
    </row>
    <row r="892" spans="30:33">
      <c r="AD892" s="73" t="s">
        <v>3351</v>
      </c>
      <c r="AE892" s="73" t="s">
        <v>3352</v>
      </c>
      <c r="AF892" s="73" t="str">
        <f t="shared" si="111"/>
        <v>A679078</v>
      </c>
      <c r="AG892" s="73" t="str">
        <f>VLOOKUP(AF892,AKT!$C$4:$E$324,3,FALSE)</f>
        <v>0942</v>
      </c>
    </row>
    <row r="893" spans="30:33">
      <c r="AD893" s="73" t="s">
        <v>3353</v>
      </c>
      <c r="AE893" s="73" t="s">
        <v>1269</v>
      </c>
      <c r="AF893" s="73" t="str">
        <f t="shared" si="111"/>
        <v>A679078</v>
      </c>
      <c r="AG893" s="73" t="str">
        <f>VLOOKUP(AF893,AKT!$C$4:$E$324,3,FALSE)</f>
        <v>0942</v>
      </c>
    </row>
    <row r="894" spans="30:33">
      <c r="AD894" s="73" t="s">
        <v>3354</v>
      </c>
      <c r="AE894" s="73" t="s">
        <v>2036</v>
      </c>
      <c r="AF894" s="73" t="str">
        <f t="shared" si="111"/>
        <v>A679078</v>
      </c>
      <c r="AG894" s="73" t="str">
        <f>VLOOKUP(AF894,AKT!$C$4:$E$324,3,FALSE)</f>
        <v>0942</v>
      </c>
    </row>
    <row r="895" spans="30:33">
      <c r="AD895" s="73" t="s">
        <v>3355</v>
      </c>
      <c r="AE895" s="73" t="s">
        <v>3356</v>
      </c>
      <c r="AF895" s="73" t="str">
        <f t="shared" ref="AF895:AF958" si="112">LEFT(AD895,7)</f>
        <v>A679078</v>
      </c>
      <c r="AG895" s="73" t="str">
        <f>VLOOKUP(AF895,AKT!$C$4:$E$324,3,FALSE)</f>
        <v>0942</v>
      </c>
    </row>
    <row r="896" spans="30:33">
      <c r="AD896" s="73" t="s">
        <v>3357</v>
      </c>
      <c r="AE896" s="73" t="s">
        <v>2919</v>
      </c>
      <c r="AF896" s="73" t="str">
        <f t="shared" si="112"/>
        <v>A679078</v>
      </c>
      <c r="AG896" s="73" t="str">
        <f>VLOOKUP(AF896,AKT!$C$4:$E$324,3,FALSE)</f>
        <v>0942</v>
      </c>
    </row>
    <row r="897" spans="30:33">
      <c r="AD897" s="73" t="s">
        <v>3358</v>
      </c>
      <c r="AE897" s="73" t="s">
        <v>1165</v>
      </c>
      <c r="AF897" s="73" t="str">
        <f t="shared" si="112"/>
        <v>A679078</v>
      </c>
      <c r="AG897" s="73" t="str">
        <f>VLOOKUP(AF897,AKT!$C$4:$E$324,3,FALSE)</f>
        <v>0942</v>
      </c>
    </row>
    <row r="898" spans="30:33">
      <c r="AD898" s="73" t="s">
        <v>3359</v>
      </c>
      <c r="AE898" s="73" t="s">
        <v>1259</v>
      </c>
      <c r="AF898" s="73" t="str">
        <f t="shared" si="112"/>
        <v>A679078</v>
      </c>
      <c r="AG898" s="73" t="str">
        <f>VLOOKUP(AF898,AKT!$C$4:$E$324,3,FALSE)</f>
        <v>0942</v>
      </c>
    </row>
    <row r="899" spans="30:33">
      <c r="AD899" s="73" t="s">
        <v>3360</v>
      </c>
      <c r="AE899" s="73" t="s">
        <v>3361</v>
      </c>
      <c r="AF899" s="73" t="str">
        <f t="shared" si="112"/>
        <v>A679078</v>
      </c>
      <c r="AG899" s="73" t="str">
        <f>VLOOKUP(AF899,AKT!$C$4:$E$324,3,FALSE)</f>
        <v>0942</v>
      </c>
    </row>
    <row r="900" spans="30:33">
      <c r="AD900" s="73" t="s">
        <v>3362</v>
      </c>
      <c r="AE900" s="73" t="s">
        <v>3363</v>
      </c>
      <c r="AF900" s="73" t="str">
        <f t="shared" si="112"/>
        <v>A679078</v>
      </c>
      <c r="AG900" s="73" t="str">
        <f>VLOOKUP(AF900,AKT!$C$4:$E$324,3,FALSE)</f>
        <v>0942</v>
      </c>
    </row>
    <row r="901" spans="30:33">
      <c r="AD901" s="73" t="s">
        <v>855</v>
      </c>
      <c r="AE901" s="73" t="s">
        <v>856</v>
      </c>
      <c r="AF901" s="73" t="str">
        <f t="shared" si="112"/>
        <v>A679081</v>
      </c>
      <c r="AG901" s="73" t="str">
        <f>VLOOKUP(AF901,AKT!$C$4:$E$324,3,FALSE)</f>
        <v>0942</v>
      </c>
    </row>
    <row r="902" spans="30:33">
      <c r="AD902" s="73" t="s">
        <v>3364</v>
      </c>
      <c r="AE902" s="73" t="s">
        <v>3365</v>
      </c>
      <c r="AF902" s="73" t="str">
        <f t="shared" si="112"/>
        <v>A679081</v>
      </c>
      <c r="AG902" s="73" t="str">
        <f>VLOOKUP(AF902,AKT!$C$4:$E$324,3,FALSE)</f>
        <v>0942</v>
      </c>
    </row>
    <row r="903" spans="30:33">
      <c r="AD903" s="73" t="s">
        <v>857</v>
      </c>
      <c r="AE903" s="73" t="s">
        <v>858</v>
      </c>
      <c r="AF903" s="73" t="str">
        <f t="shared" si="112"/>
        <v>A679081</v>
      </c>
      <c r="AG903" s="73" t="str">
        <f>VLOOKUP(AF903,AKT!$C$4:$E$324,3,FALSE)</f>
        <v>0942</v>
      </c>
    </row>
    <row r="904" spans="30:33">
      <c r="AD904" s="73" t="s">
        <v>859</v>
      </c>
      <c r="AE904" s="73" t="s">
        <v>860</v>
      </c>
      <c r="AF904" s="73" t="str">
        <f t="shared" si="112"/>
        <v>A679081</v>
      </c>
      <c r="AG904" s="73" t="str">
        <f>VLOOKUP(AF904,AKT!$C$4:$E$324,3,FALSE)</f>
        <v>0942</v>
      </c>
    </row>
    <row r="905" spans="30:33">
      <c r="AD905" s="73" t="s">
        <v>1560</v>
      </c>
      <c r="AE905" s="73" t="s">
        <v>1561</v>
      </c>
      <c r="AF905" s="73" t="str">
        <f t="shared" si="112"/>
        <v>A679081</v>
      </c>
      <c r="AG905" s="73" t="str">
        <f>VLOOKUP(AF905,AKT!$C$4:$E$324,3,FALSE)</f>
        <v>0942</v>
      </c>
    </row>
    <row r="906" spans="30:33">
      <c r="AD906" s="73" t="s">
        <v>3366</v>
      </c>
      <c r="AE906" s="73" t="s">
        <v>3367</v>
      </c>
      <c r="AF906" s="73" t="str">
        <f t="shared" si="112"/>
        <v>A679081</v>
      </c>
      <c r="AG906" s="73" t="str">
        <f>VLOOKUP(AF906,AKT!$C$4:$E$324,3,FALSE)</f>
        <v>0942</v>
      </c>
    </row>
    <row r="907" spans="30:33">
      <c r="AD907" s="73" t="s">
        <v>3368</v>
      </c>
      <c r="AE907" s="73" t="s">
        <v>3211</v>
      </c>
      <c r="AF907" s="73" t="str">
        <f t="shared" si="112"/>
        <v>A679081</v>
      </c>
      <c r="AG907" s="73" t="str">
        <f>VLOOKUP(AF907,AKT!$C$4:$E$324,3,FALSE)</f>
        <v>0942</v>
      </c>
    </row>
    <row r="908" spans="30:33">
      <c r="AD908" s="73" t="s">
        <v>3369</v>
      </c>
      <c r="AE908" s="73" t="s">
        <v>3370</v>
      </c>
      <c r="AF908" s="73" t="str">
        <f t="shared" si="112"/>
        <v>A679081</v>
      </c>
      <c r="AG908" s="73" t="str">
        <f>VLOOKUP(AF908,AKT!$C$4:$E$324,3,FALSE)</f>
        <v>0942</v>
      </c>
    </row>
    <row r="909" spans="30:33">
      <c r="AD909" s="73" t="s">
        <v>3371</v>
      </c>
      <c r="AE909" s="73" t="s">
        <v>3372</v>
      </c>
      <c r="AF909" s="73" t="str">
        <f t="shared" si="112"/>
        <v>A679081</v>
      </c>
      <c r="AG909" s="73" t="str">
        <f>VLOOKUP(AF909,AKT!$C$4:$E$324,3,FALSE)</f>
        <v>0942</v>
      </c>
    </row>
    <row r="910" spans="30:33">
      <c r="AD910" s="73" t="s">
        <v>3373</v>
      </c>
      <c r="AE910" s="73" t="s">
        <v>3374</v>
      </c>
      <c r="AF910" s="73" t="str">
        <f t="shared" si="112"/>
        <v>A679081</v>
      </c>
      <c r="AG910" s="73" t="str">
        <f>VLOOKUP(AF910,AKT!$C$4:$E$324,3,FALSE)</f>
        <v>0942</v>
      </c>
    </row>
    <row r="911" spans="30:33">
      <c r="AD911" s="73" t="s">
        <v>3375</v>
      </c>
      <c r="AE911" s="73" t="s">
        <v>3376</v>
      </c>
      <c r="AF911" s="73" t="str">
        <f t="shared" si="112"/>
        <v>A679081</v>
      </c>
      <c r="AG911" s="73" t="str">
        <f>VLOOKUP(AF911,AKT!$C$4:$E$324,3,FALSE)</f>
        <v>0942</v>
      </c>
    </row>
    <row r="912" spans="30:33">
      <c r="AD912" s="73" t="s">
        <v>2908</v>
      </c>
      <c r="AE912" s="73" t="s">
        <v>2909</v>
      </c>
      <c r="AF912" s="73" t="str">
        <f t="shared" si="112"/>
        <v>A679115</v>
      </c>
      <c r="AG912" s="73" t="str">
        <f>VLOOKUP(AF912,AKT!$C$4:$E$324,3,FALSE)</f>
        <v>0942</v>
      </c>
    </row>
    <row r="913" spans="30:33">
      <c r="AD913" s="73" t="s">
        <v>2910</v>
      </c>
      <c r="AE913" s="73" t="s">
        <v>2911</v>
      </c>
      <c r="AF913" s="73" t="str">
        <f t="shared" si="112"/>
        <v>A679115</v>
      </c>
      <c r="AG913" s="73" t="str">
        <f>VLOOKUP(AF913,AKT!$C$4:$E$324,3,FALSE)</f>
        <v>0942</v>
      </c>
    </row>
    <row r="914" spans="30:33">
      <c r="AD914" s="73" t="s">
        <v>2913</v>
      </c>
      <c r="AE914" s="73" t="s">
        <v>2912</v>
      </c>
      <c r="AF914" s="73" t="str">
        <f t="shared" si="112"/>
        <v>A679115</v>
      </c>
      <c r="AG914" s="73" t="str">
        <f>VLOOKUP(AF914,AKT!$C$4:$E$324,3,FALSE)</f>
        <v>0942</v>
      </c>
    </row>
    <row r="915" spans="30:33">
      <c r="AD915" s="73" t="s">
        <v>2914</v>
      </c>
      <c r="AE915" s="73" t="s">
        <v>2915</v>
      </c>
      <c r="AF915" s="73" t="str">
        <f t="shared" si="112"/>
        <v>A679115</v>
      </c>
      <c r="AG915" s="73" t="str">
        <f>VLOOKUP(AF915,AKT!$C$4:$E$324,3,FALSE)</f>
        <v>0942</v>
      </c>
    </row>
    <row r="916" spans="30:33">
      <c r="AD916" s="73" t="s">
        <v>2916</v>
      </c>
      <c r="AE916" s="73" t="s">
        <v>2917</v>
      </c>
      <c r="AF916" s="73" t="str">
        <f t="shared" si="112"/>
        <v>A679115</v>
      </c>
      <c r="AG916" s="73" t="str">
        <f>VLOOKUP(AF916,AKT!$C$4:$E$324,3,FALSE)</f>
        <v>0942</v>
      </c>
    </row>
    <row r="917" spans="30:33">
      <c r="AD917" s="73" t="s">
        <v>3377</v>
      </c>
      <c r="AE917" s="73" t="s">
        <v>3378</v>
      </c>
      <c r="AF917" s="73" t="str">
        <f t="shared" si="112"/>
        <v>A679115</v>
      </c>
      <c r="AG917" s="73" t="str">
        <f>VLOOKUP(AF917,AKT!$C$4:$E$324,3,FALSE)</f>
        <v>0942</v>
      </c>
    </row>
    <row r="918" spans="30:33">
      <c r="AD918" s="73" t="s">
        <v>3379</v>
      </c>
      <c r="AE918" s="73" t="s">
        <v>3380</v>
      </c>
      <c r="AF918" s="73" t="str">
        <f t="shared" si="112"/>
        <v>A679115</v>
      </c>
      <c r="AG918" s="73" t="str">
        <f>VLOOKUP(AF918,AKT!$C$4:$E$324,3,FALSE)</f>
        <v>0942</v>
      </c>
    </row>
    <row r="919" spans="30:33">
      <c r="AD919" s="73" t="s">
        <v>3381</v>
      </c>
      <c r="AE919" s="73" t="s">
        <v>3382</v>
      </c>
      <c r="AF919" s="73" t="str">
        <f t="shared" si="112"/>
        <v>A679115</v>
      </c>
      <c r="AG919" s="73" t="str">
        <f>VLOOKUP(AF919,AKT!$C$4:$E$324,3,FALSE)</f>
        <v>0942</v>
      </c>
    </row>
    <row r="920" spans="30:33">
      <c r="AD920" s="73" t="s">
        <v>861</v>
      </c>
      <c r="AE920" s="73" t="s">
        <v>253</v>
      </c>
      <c r="AF920" s="73" t="str">
        <f t="shared" si="112"/>
        <v>K679084</v>
      </c>
      <c r="AG920" s="73" t="str">
        <f>VLOOKUP(AF920,AKT!$C$4:$E$324,3,FALSE)</f>
        <v>0942</v>
      </c>
    </row>
    <row r="921" spans="30:33">
      <c r="AD921" s="73" t="s">
        <v>862</v>
      </c>
      <c r="AE921" s="73" t="s">
        <v>254</v>
      </c>
      <c r="AF921" s="73" t="str">
        <f t="shared" si="112"/>
        <v>K679084</v>
      </c>
      <c r="AG921" s="73" t="str">
        <f>VLOOKUP(AF921,AKT!$C$4:$E$324,3,FALSE)</f>
        <v>0942</v>
      </c>
    </row>
    <row r="922" spans="30:33">
      <c r="AD922" s="73" t="s">
        <v>863</v>
      </c>
      <c r="AE922" s="73" t="s">
        <v>864</v>
      </c>
      <c r="AF922" s="73" t="str">
        <f t="shared" si="112"/>
        <v>K679084</v>
      </c>
      <c r="AG922" s="73" t="str">
        <f>VLOOKUP(AF922,AKT!$C$4:$E$324,3,FALSE)</f>
        <v>0942</v>
      </c>
    </row>
    <row r="923" spans="30:33">
      <c r="AD923" s="73" t="s">
        <v>865</v>
      </c>
      <c r="AE923" s="73" t="s">
        <v>866</v>
      </c>
      <c r="AF923" s="73" t="str">
        <f t="shared" si="112"/>
        <v>K679084</v>
      </c>
      <c r="AG923" s="73" t="str">
        <f>VLOOKUP(AF923,AKT!$C$4:$E$324,3,FALSE)</f>
        <v>0942</v>
      </c>
    </row>
    <row r="924" spans="30:33">
      <c r="AD924" s="73" t="s">
        <v>1562</v>
      </c>
      <c r="AE924" s="73" t="s">
        <v>1167</v>
      </c>
      <c r="AF924" s="73" t="str">
        <f t="shared" si="112"/>
        <v>K679084</v>
      </c>
      <c r="AG924" s="73" t="str">
        <f>VLOOKUP(AF924,AKT!$C$4:$E$324,3,FALSE)</f>
        <v>0942</v>
      </c>
    </row>
    <row r="925" spans="30:33">
      <c r="AD925" s="73" t="s">
        <v>2918</v>
      </c>
      <c r="AE925" s="73" t="s">
        <v>2919</v>
      </c>
      <c r="AF925" s="73" t="str">
        <f t="shared" si="112"/>
        <v>K679084</v>
      </c>
      <c r="AG925" s="73" t="str">
        <f>VLOOKUP(AF925,AKT!$C$4:$E$324,3,FALSE)</f>
        <v>0942</v>
      </c>
    </row>
    <row r="926" spans="30:33">
      <c r="AD926" s="73" t="s">
        <v>2920</v>
      </c>
      <c r="AE926" s="73" t="s">
        <v>1174</v>
      </c>
      <c r="AF926" s="73" t="str">
        <f t="shared" si="112"/>
        <v>K679084</v>
      </c>
      <c r="AG926" s="73" t="str">
        <f>VLOOKUP(AF926,AKT!$C$4:$E$324,3,FALSE)</f>
        <v>0942</v>
      </c>
    </row>
    <row r="927" spans="30:33">
      <c r="AD927" s="73" t="s">
        <v>867</v>
      </c>
      <c r="AE927" s="73" t="s">
        <v>868</v>
      </c>
      <c r="AF927" s="73" t="str">
        <f t="shared" si="112"/>
        <v>K679106</v>
      </c>
      <c r="AG927" s="73" t="str">
        <f>VLOOKUP(AF927,AKT!$C$4:$E$324,3,FALSE)</f>
        <v>0942</v>
      </c>
    </row>
    <row r="928" spans="30:33">
      <c r="AD928" s="73" t="s">
        <v>869</v>
      </c>
      <c r="AE928" s="73" t="s">
        <v>870</v>
      </c>
      <c r="AF928" s="73" t="str">
        <f t="shared" si="112"/>
        <v>K679106</v>
      </c>
      <c r="AG928" s="73" t="str">
        <f>VLOOKUP(AF928,AKT!$C$4:$E$324,3,FALSE)</f>
        <v>0942</v>
      </c>
    </row>
    <row r="929" spans="30:33">
      <c r="AD929" s="73" t="s">
        <v>871</v>
      </c>
      <c r="AE929" s="73" t="s">
        <v>872</v>
      </c>
      <c r="AF929" s="73" t="str">
        <f t="shared" si="112"/>
        <v>K679106</v>
      </c>
      <c r="AG929" s="73" t="str">
        <f>VLOOKUP(AF929,AKT!$C$4:$E$324,3,FALSE)</f>
        <v>0942</v>
      </c>
    </row>
    <row r="930" spans="30:33">
      <c r="AD930" s="73" t="s">
        <v>2921</v>
      </c>
      <c r="AE930" s="73" t="s">
        <v>2922</v>
      </c>
      <c r="AF930" s="73" t="str">
        <f t="shared" si="112"/>
        <v>K679106</v>
      </c>
      <c r="AG930" s="73" t="str">
        <f>VLOOKUP(AF930,AKT!$C$4:$E$324,3,FALSE)</f>
        <v>0942</v>
      </c>
    </row>
    <row r="931" spans="30:33">
      <c r="AD931" s="73" t="s">
        <v>2923</v>
      </c>
      <c r="AE931" s="73" t="s">
        <v>2924</v>
      </c>
      <c r="AF931" s="73" t="str">
        <f t="shared" si="112"/>
        <v>K679106</v>
      </c>
      <c r="AG931" s="73" t="str">
        <f>VLOOKUP(AF931,AKT!$C$4:$E$324,3,FALSE)</f>
        <v>0942</v>
      </c>
    </row>
    <row r="932" spans="30:33">
      <c r="AD932" s="73" t="s">
        <v>873</v>
      </c>
      <c r="AE932" s="73" t="s">
        <v>874</v>
      </c>
      <c r="AF932" s="73" t="str">
        <f>LEFT(AD932,7)</f>
        <v>K679111</v>
      </c>
      <c r="AG932" s="73" t="str">
        <f>IFERROR(VLOOKUP(AF932,AKT!$C$4:$E$324,3,FALSE),"0942")</f>
        <v>0942</v>
      </c>
    </row>
    <row r="933" spans="30:33">
      <c r="AD933" s="73" t="s">
        <v>875</v>
      </c>
      <c r="AE933" s="73" t="s">
        <v>876</v>
      </c>
      <c r="AF933" s="73" t="str">
        <f t="shared" si="112"/>
        <v>A622125</v>
      </c>
      <c r="AG933" s="73" t="str">
        <f>VLOOKUP(AF933,AKT!$C$4:$E$324,3,FALSE)</f>
        <v>0150</v>
      </c>
    </row>
    <row r="934" spans="30:33">
      <c r="AD934" s="73" t="s">
        <v>3383</v>
      </c>
      <c r="AE934" s="73" t="s">
        <v>876</v>
      </c>
      <c r="AF934" s="73" t="str">
        <f t="shared" si="112"/>
        <v>A622125</v>
      </c>
      <c r="AG934" s="73" t="str">
        <f>VLOOKUP(AF934,AKT!$C$4:$E$324,3,FALSE)</f>
        <v>0150</v>
      </c>
    </row>
    <row r="935" spans="30:33">
      <c r="AD935" s="73" t="s">
        <v>877</v>
      </c>
      <c r="AE935" s="73" t="s">
        <v>878</v>
      </c>
      <c r="AF935" s="73" t="str">
        <f t="shared" si="112"/>
        <v>A622125</v>
      </c>
      <c r="AG935" s="73" t="str">
        <f>VLOOKUP(AF935,AKT!$C$4:$E$324,3,FALSE)</f>
        <v>0150</v>
      </c>
    </row>
    <row r="936" spans="30:33">
      <c r="AD936" s="73" t="s">
        <v>879</v>
      </c>
      <c r="AE936" s="73" t="s">
        <v>880</v>
      </c>
      <c r="AF936" s="73" t="str">
        <f t="shared" si="112"/>
        <v>A622125</v>
      </c>
      <c r="AG936" s="73" t="str">
        <f>VLOOKUP(AF936,AKT!$C$4:$E$324,3,FALSE)</f>
        <v>0150</v>
      </c>
    </row>
    <row r="937" spans="30:33">
      <c r="AD937" s="73" t="s">
        <v>881</v>
      </c>
      <c r="AE937" s="73" t="s">
        <v>882</v>
      </c>
      <c r="AF937" s="73" t="str">
        <f t="shared" si="112"/>
        <v>A622125</v>
      </c>
      <c r="AG937" s="73" t="str">
        <f>VLOOKUP(AF937,AKT!$C$4:$E$324,3,FALSE)</f>
        <v>0150</v>
      </c>
    </row>
    <row r="938" spans="30:33">
      <c r="AD938" s="73" t="s">
        <v>883</v>
      </c>
      <c r="AE938" s="73" t="s">
        <v>884</v>
      </c>
      <c r="AF938" s="73" t="str">
        <f t="shared" si="112"/>
        <v>A622125</v>
      </c>
      <c r="AG938" s="73" t="str">
        <f>VLOOKUP(AF938,AKT!$C$4:$E$324,3,FALSE)</f>
        <v>0150</v>
      </c>
    </row>
    <row r="939" spans="30:33">
      <c r="AD939" s="73" t="s">
        <v>885</v>
      </c>
      <c r="AE939" s="73" t="s">
        <v>886</v>
      </c>
      <c r="AF939" s="73" t="str">
        <f t="shared" si="112"/>
        <v>A622125</v>
      </c>
      <c r="AG939" s="73" t="str">
        <f>VLOOKUP(AF939,AKT!$C$4:$E$324,3,FALSE)</f>
        <v>0150</v>
      </c>
    </row>
    <row r="940" spans="30:33">
      <c r="AD940" s="73" t="s">
        <v>887</v>
      </c>
      <c r="AE940" s="73" t="s">
        <v>888</v>
      </c>
      <c r="AF940" s="73" t="str">
        <f t="shared" si="112"/>
        <v>A622125</v>
      </c>
      <c r="AG940" s="73" t="str">
        <f>VLOOKUP(AF940,AKT!$C$4:$E$324,3,FALSE)</f>
        <v>0150</v>
      </c>
    </row>
    <row r="941" spans="30:33">
      <c r="AD941" s="73" t="s">
        <v>889</v>
      </c>
      <c r="AE941" s="73" t="s">
        <v>890</v>
      </c>
      <c r="AF941" s="73" t="str">
        <f t="shared" si="112"/>
        <v>A622125</v>
      </c>
      <c r="AG941" s="73" t="str">
        <f>VLOOKUP(AF941,AKT!$C$4:$E$324,3,FALSE)</f>
        <v>0150</v>
      </c>
    </row>
    <row r="942" spans="30:33">
      <c r="AD942" s="73" t="s">
        <v>891</v>
      </c>
      <c r="AE942" s="73" t="s">
        <v>892</v>
      </c>
      <c r="AF942" s="73" t="str">
        <f t="shared" si="112"/>
        <v>A622125</v>
      </c>
      <c r="AG942" s="73" t="str">
        <f>VLOOKUP(AF942,AKT!$C$4:$E$324,3,FALSE)</f>
        <v>0150</v>
      </c>
    </row>
    <row r="943" spans="30:33">
      <c r="AD943" s="73" t="s">
        <v>893</v>
      </c>
      <c r="AE943" s="73" t="s">
        <v>894</v>
      </c>
      <c r="AF943" s="73" t="str">
        <f t="shared" si="112"/>
        <v>A622125</v>
      </c>
      <c r="AG943" s="73" t="str">
        <f>VLOOKUP(AF943,AKT!$C$4:$E$324,3,FALSE)</f>
        <v>0150</v>
      </c>
    </row>
    <row r="944" spans="30:33">
      <c r="AD944" s="73" t="s">
        <v>895</v>
      </c>
      <c r="AE944" s="73" t="s">
        <v>896</v>
      </c>
      <c r="AF944" s="73" t="str">
        <f t="shared" si="112"/>
        <v>A622125</v>
      </c>
      <c r="AG944" s="73" t="str">
        <f>VLOOKUP(AF944,AKT!$C$4:$E$324,3,FALSE)</f>
        <v>0150</v>
      </c>
    </row>
    <row r="945" spans="30:33">
      <c r="AD945" s="73" t="s">
        <v>897</v>
      </c>
      <c r="AE945" s="73" t="s">
        <v>898</v>
      </c>
      <c r="AF945" s="73" t="str">
        <f t="shared" si="112"/>
        <v>A622125</v>
      </c>
      <c r="AG945" s="73" t="str">
        <f>VLOOKUP(AF945,AKT!$C$4:$E$324,3,FALSE)</f>
        <v>0150</v>
      </c>
    </row>
    <row r="946" spans="30:33">
      <c r="AD946" s="73" t="s">
        <v>899</v>
      </c>
      <c r="AE946" s="73" t="s">
        <v>900</v>
      </c>
      <c r="AF946" s="73" t="str">
        <f t="shared" si="112"/>
        <v>A622125</v>
      </c>
      <c r="AG946" s="73" t="str">
        <f>VLOOKUP(AF946,AKT!$C$4:$E$324,3,FALSE)</f>
        <v>0150</v>
      </c>
    </row>
    <row r="947" spans="30:33">
      <c r="AD947" s="73" t="s">
        <v>901</v>
      </c>
      <c r="AE947" s="73" t="s">
        <v>902</v>
      </c>
      <c r="AF947" s="73" t="str">
        <f t="shared" si="112"/>
        <v>A622125</v>
      </c>
      <c r="AG947" s="73" t="str">
        <f>VLOOKUP(AF947,AKT!$C$4:$E$324,3,FALSE)</f>
        <v>0150</v>
      </c>
    </row>
    <row r="948" spans="30:33">
      <c r="AD948" s="73" t="s">
        <v>903</v>
      </c>
      <c r="AE948" s="73" t="s">
        <v>904</v>
      </c>
      <c r="AF948" s="73" t="str">
        <f t="shared" si="112"/>
        <v>A622125</v>
      </c>
      <c r="AG948" s="73" t="str">
        <f>VLOOKUP(AF948,AKT!$C$4:$E$324,3,FALSE)</f>
        <v>0150</v>
      </c>
    </row>
    <row r="949" spans="30:33">
      <c r="AD949" s="73" t="s">
        <v>905</v>
      </c>
      <c r="AE949" s="73" t="s">
        <v>906</v>
      </c>
      <c r="AF949" s="73" t="str">
        <f t="shared" si="112"/>
        <v>A622125</v>
      </c>
      <c r="AG949" s="73" t="str">
        <f>VLOOKUP(AF949,AKT!$C$4:$E$324,3,FALSE)</f>
        <v>0150</v>
      </c>
    </row>
    <row r="950" spans="30:33">
      <c r="AD950" s="73" t="s">
        <v>907</v>
      </c>
      <c r="AE950" s="73" t="s">
        <v>908</v>
      </c>
      <c r="AF950" s="73" t="str">
        <f t="shared" si="112"/>
        <v>A622125</v>
      </c>
      <c r="AG950" s="73" t="str">
        <f>VLOOKUP(AF950,AKT!$C$4:$E$324,3,FALSE)</f>
        <v>0150</v>
      </c>
    </row>
    <row r="951" spans="30:33">
      <c r="AD951" s="73" t="s">
        <v>909</v>
      </c>
      <c r="AE951" s="73" t="s">
        <v>910</v>
      </c>
      <c r="AF951" s="73" t="str">
        <f t="shared" si="112"/>
        <v>A622125</v>
      </c>
      <c r="AG951" s="73" t="str">
        <f>VLOOKUP(AF951,AKT!$C$4:$E$324,3,FALSE)</f>
        <v>0150</v>
      </c>
    </row>
    <row r="952" spans="30:33">
      <c r="AD952" s="73" t="s">
        <v>911</v>
      </c>
      <c r="AE952" s="73" t="s">
        <v>912</v>
      </c>
      <c r="AF952" s="73" t="str">
        <f t="shared" si="112"/>
        <v>A622125</v>
      </c>
      <c r="AG952" s="73" t="str">
        <f>VLOOKUP(AF952,AKT!$C$4:$E$324,3,FALSE)</f>
        <v>0150</v>
      </c>
    </row>
    <row r="953" spans="30:33">
      <c r="AD953" s="73" t="s">
        <v>913</v>
      </c>
      <c r="AE953" s="73" t="s">
        <v>914</v>
      </c>
      <c r="AF953" s="73" t="str">
        <f t="shared" si="112"/>
        <v>A622125</v>
      </c>
      <c r="AG953" s="73" t="str">
        <f>VLOOKUP(AF953,AKT!$C$4:$E$324,3,FALSE)</f>
        <v>0150</v>
      </c>
    </row>
    <row r="954" spans="30:33">
      <c r="AD954" s="73" t="s">
        <v>915</v>
      </c>
      <c r="AE954" s="73" t="s">
        <v>916</v>
      </c>
      <c r="AF954" s="73" t="str">
        <f t="shared" si="112"/>
        <v>A622125</v>
      </c>
      <c r="AG954" s="73" t="str">
        <f>VLOOKUP(AF954,AKT!$C$4:$E$324,3,FALSE)</f>
        <v>0150</v>
      </c>
    </row>
    <row r="955" spans="30:33">
      <c r="AD955" s="73" t="s">
        <v>917</v>
      </c>
      <c r="AE955" s="73" t="s">
        <v>918</v>
      </c>
      <c r="AF955" s="73" t="str">
        <f t="shared" si="112"/>
        <v>A622125</v>
      </c>
      <c r="AG955" s="73" t="str">
        <f>VLOOKUP(AF955,AKT!$C$4:$E$324,3,FALSE)</f>
        <v>0150</v>
      </c>
    </row>
    <row r="956" spans="30:33">
      <c r="AD956" s="73" t="s">
        <v>919</v>
      </c>
      <c r="AE956" s="73" t="s">
        <v>920</v>
      </c>
      <c r="AF956" s="73" t="str">
        <f t="shared" si="112"/>
        <v>A622125</v>
      </c>
      <c r="AG956" s="73" t="str">
        <f>VLOOKUP(AF956,AKT!$C$4:$E$324,3,FALSE)</f>
        <v>0150</v>
      </c>
    </row>
    <row r="957" spans="30:33">
      <c r="AD957" s="73" t="s">
        <v>921</v>
      </c>
      <c r="AE957" s="73" t="s">
        <v>922</v>
      </c>
      <c r="AF957" s="73" t="str">
        <f t="shared" si="112"/>
        <v>A622125</v>
      </c>
      <c r="AG957" s="73" t="str">
        <f>VLOOKUP(AF957,AKT!$C$4:$E$324,3,FALSE)</f>
        <v>0150</v>
      </c>
    </row>
    <row r="958" spans="30:33">
      <c r="AD958" s="73" t="s">
        <v>1563</v>
      </c>
      <c r="AE958" s="73" t="s">
        <v>1564</v>
      </c>
      <c r="AF958" s="73" t="str">
        <f t="shared" si="112"/>
        <v>A622125</v>
      </c>
      <c r="AG958" s="73" t="str">
        <f>VLOOKUP(AF958,AKT!$C$4:$E$324,3,FALSE)</f>
        <v>0150</v>
      </c>
    </row>
    <row r="959" spans="30:33">
      <c r="AD959" s="73" t="s">
        <v>1565</v>
      </c>
      <c r="AE959" s="73" t="s">
        <v>1566</v>
      </c>
      <c r="AF959" s="73" t="str">
        <f t="shared" ref="AF959:AF1022" si="113">LEFT(AD959,7)</f>
        <v>A622125</v>
      </c>
      <c r="AG959" s="73" t="str">
        <f>VLOOKUP(AF959,AKT!$C$4:$E$324,3,FALSE)</f>
        <v>0150</v>
      </c>
    </row>
    <row r="960" spans="30:33">
      <c r="AD960" s="73" t="s">
        <v>1567</v>
      </c>
      <c r="AE960" s="73" t="s">
        <v>1568</v>
      </c>
      <c r="AF960" s="73" t="str">
        <f t="shared" si="113"/>
        <v>A622125</v>
      </c>
      <c r="AG960" s="73" t="str">
        <f>VLOOKUP(AF960,AKT!$C$4:$E$324,3,FALSE)</f>
        <v>0150</v>
      </c>
    </row>
    <row r="961" spans="30:33">
      <c r="AD961" s="73" t="s">
        <v>1569</v>
      </c>
      <c r="AE961" s="73" t="s">
        <v>1570</v>
      </c>
      <c r="AF961" s="73" t="str">
        <f t="shared" si="113"/>
        <v>A622125</v>
      </c>
      <c r="AG961" s="73" t="str">
        <f>VLOOKUP(AF961,AKT!$C$4:$E$324,3,FALSE)</f>
        <v>0150</v>
      </c>
    </row>
    <row r="962" spans="30:33">
      <c r="AD962" s="73" t="s">
        <v>1571</v>
      </c>
      <c r="AE962" s="73" t="s">
        <v>1572</v>
      </c>
      <c r="AF962" s="73" t="str">
        <f t="shared" si="113"/>
        <v>A622125</v>
      </c>
      <c r="AG962" s="73" t="str">
        <f>VLOOKUP(AF962,AKT!$C$4:$E$324,3,FALSE)</f>
        <v>0150</v>
      </c>
    </row>
    <row r="963" spans="30:33">
      <c r="AD963" s="73" t="s">
        <v>1573</v>
      </c>
      <c r="AE963" s="73" t="s">
        <v>1574</v>
      </c>
      <c r="AF963" s="73" t="str">
        <f t="shared" si="113"/>
        <v>A622125</v>
      </c>
      <c r="AG963" s="73" t="str">
        <f>VLOOKUP(AF963,AKT!$C$4:$E$324,3,FALSE)</f>
        <v>0150</v>
      </c>
    </row>
    <row r="964" spans="30:33">
      <c r="AD964" s="73" t="s">
        <v>1575</v>
      </c>
      <c r="AE964" s="73" t="s">
        <v>1576</v>
      </c>
      <c r="AF964" s="73" t="str">
        <f t="shared" si="113"/>
        <v>A622125</v>
      </c>
      <c r="AG964" s="73" t="str">
        <f>VLOOKUP(AF964,AKT!$C$4:$E$324,3,FALSE)</f>
        <v>0150</v>
      </c>
    </row>
    <row r="965" spans="30:33">
      <c r="AD965" s="73" t="s">
        <v>1577</v>
      </c>
      <c r="AE965" s="73" t="s">
        <v>1578</v>
      </c>
      <c r="AF965" s="73" t="str">
        <f t="shared" si="113"/>
        <v>A622125</v>
      </c>
      <c r="AG965" s="73" t="str">
        <f>VLOOKUP(AF965,AKT!$C$4:$E$324,3,FALSE)</f>
        <v>0150</v>
      </c>
    </row>
    <row r="966" spans="30:33">
      <c r="AD966" s="73" t="s">
        <v>1579</v>
      </c>
      <c r="AE966" s="73" t="s">
        <v>1580</v>
      </c>
      <c r="AF966" s="73" t="str">
        <f t="shared" si="113"/>
        <v>A622125</v>
      </c>
      <c r="AG966" s="73" t="str">
        <f>VLOOKUP(AF966,AKT!$C$4:$E$324,3,FALSE)</f>
        <v>0150</v>
      </c>
    </row>
    <row r="967" spans="30:33">
      <c r="AD967" s="73" t="s">
        <v>1581</v>
      </c>
      <c r="AE967" s="73" t="s">
        <v>1582</v>
      </c>
      <c r="AF967" s="73" t="str">
        <f t="shared" si="113"/>
        <v>A622125</v>
      </c>
      <c r="AG967" s="73" t="str">
        <f>VLOOKUP(AF967,AKT!$C$4:$E$324,3,FALSE)</f>
        <v>0150</v>
      </c>
    </row>
    <row r="968" spans="30:33">
      <c r="AD968" s="73" t="s">
        <v>1583</v>
      </c>
      <c r="AE968" s="73" t="s">
        <v>1584</v>
      </c>
      <c r="AF968" s="73" t="str">
        <f t="shared" si="113"/>
        <v>A622125</v>
      </c>
      <c r="AG968" s="73" t="str">
        <f>VLOOKUP(AF968,AKT!$C$4:$E$324,3,FALSE)</f>
        <v>0150</v>
      </c>
    </row>
    <row r="969" spans="30:33">
      <c r="AD969" s="73" t="s">
        <v>1585</v>
      </c>
      <c r="AE969" s="73" t="s">
        <v>1586</v>
      </c>
      <c r="AF969" s="73" t="str">
        <f t="shared" si="113"/>
        <v>A622125</v>
      </c>
      <c r="AG969" s="73" t="str">
        <f>VLOOKUP(AF969,AKT!$C$4:$E$324,3,FALSE)</f>
        <v>0150</v>
      </c>
    </row>
    <row r="970" spans="30:33">
      <c r="AD970" s="73" t="s">
        <v>1587</v>
      </c>
      <c r="AE970" s="73" t="s">
        <v>1588</v>
      </c>
      <c r="AF970" s="73" t="str">
        <f t="shared" si="113"/>
        <v>A622125</v>
      </c>
      <c r="AG970" s="73" t="str">
        <f>VLOOKUP(AF970,AKT!$C$4:$E$324,3,FALSE)</f>
        <v>0150</v>
      </c>
    </row>
    <row r="971" spans="30:33">
      <c r="AD971" s="73" t="s">
        <v>1589</v>
      </c>
      <c r="AE971" s="73" t="s">
        <v>1590</v>
      </c>
      <c r="AF971" s="73" t="str">
        <f t="shared" si="113"/>
        <v>A622125</v>
      </c>
      <c r="AG971" s="73" t="str">
        <f>VLOOKUP(AF971,AKT!$C$4:$E$324,3,FALSE)</f>
        <v>0150</v>
      </c>
    </row>
    <row r="972" spans="30:33">
      <c r="AD972" s="73" t="s">
        <v>1591</v>
      </c>
      <c r="AE972" s="73" t="s">
        <v>1592</v>
      </c>
      <c r="AF972" s="73" t="str">
        <f t="shared" si="113"/>
        <v>A622125</v>
      </c>
      <c r="AG972" s="73" t="str">
        <f>VLOOKUP(AF972,AKT!$C$4:$E$324,3,FALSE)</f>
        <v>0150</v>
      </c>
    </row>
    <row r="973" spans="30:33">
      <c r="AD973" s="73" t="s">
        <v>1593</v>
      </c>
      <c r="AE973" s="73" t="s">
        <v>1594</v>
      </c>
      <c r="AF973" s="73" t="str">
        <f t="shared" si="113"/>
        <v>A622125</v>
      </c>
      <c r="AG973" s="73" t="str">
        <f>VLOOKUP(AF973,AKT!$C$4:$E$324,3,FALSE)</f>
        <v>0150</v>
      </c>
    </row>
    <row r="974" spans="30:33">
      <c r="AD974" s="73" t="s">
        <v>1595</v>
      </c>
      <c r="AE974" s="73" t="s">
        <v>1596</v>
      </c>
      <c r="AF974" s="73" t="str">
        <f t="shared" si="113"/>
        <v>A622125</v>
      </c>
      <c r="AG974" s="73" t="str">
        <f>VLOOKUP(AF974,AKT!$C$4:$E$324,3,FALSE)</f>
        <v>0150</v>
      </c>
    </row>
    <row r="975" spans="30:33">
      <c r="AD975" s="73" t="s">
        <v>1597</v>
      </c>
      <c r="AE975" s="73" t="s">
        <v>1598</v>
      </c>
      <c r="AF975" s="73" t="str">
        <f t="shared" si="113"/>
        <v>A622125</v>
      </c>
      <c r="AG975" s="73" t="str">
        <f>VLOOKUP(AF975,AKT!$C$4:$E$324,3,FALSE)</f>
        <v>0150</v>
      </c>
    </row>
    <row r="976" spans="30:33">
      <c r="AD976" s="73" t="s">
        <v>1599</v>
      </c>
      <c r="AE976" s="73" t="s">
        <v>1600</v>
      </c>
      <c r="AF976" s="73" t="str">
        <f t="shared" si="113"/>
        <v>A622125</v>
      </c>
      <c r="AG976" s="73" t="str">
        <f>VLOOKUP(AF976,AKT!$C$4:$E$324,3,FALSE)</f>
        <v>0150</v>
      </c>
    </row>
    <row r="977" spans="30:33">
      <c r="AD977" s="73" t="s">
        <v>1601</v>
      </c>
      <c r="AE977" s="73" t="s">
        <v>1602</v>
      </c>
      <c r="AF977" s="73" t="str">
        <f t="shared" si="113"/>
        <v>A622125</v>
      </c>
      <c r="AG977" s="73" t="str">
        <f>VLOOKUP(AF977,AKT!$C$4:$E$324,3,FALSE)</f>
        <v>0150</v>
      </c>
    </row>
    <row r="978" spans="30:33">
      <c r="AD978" s="73" t="s">
        <v>1603</v>
      </c>
      <c r="AE978" s="73" t="s">
        <v>1604</v>
      </c>
      <c r="AF978" s="73" t="str">
        <f t="shared" si="113"/>
        <v>A622125</v>
      </c>
      <c r="AG978" s="73" t="str">
        <f>VLOOKUP(AF978,AKT!$C$4:$E$324,3,FALSE)</f>
        <v>0150</v>
      </c>
    </row>
    <row r="979" spans="30:33">
      <c r="AD979" s="73" t="s">
        <v>1605</v>
      </c>
      <c r="AE979" s="73" t="s">
        <v>1606</v>
      </c>
      <c r="AF979" s="73" t="str">
        <f t="shared" si="113"/>
        <v>A622125</v>
      </c>
      <c r="AG979" s="73" t="str">
        <f>VLOOKUP(AF979,AKT!$C$4:$E$324,3,FALSE)</f>
        <v>0150</v>
      </c>
    </row>
    <row r="980" spans="30:33">
      <c r="AD980" s="73" t="s">
        <v>1607</v>
      </c>
      <c r="AE980" s="73" t="s">
        <v>1608</v>
      </c>
      <c r="AF980" s="73" t="str">
        <f t="shared" si="113"/>
        <v>A622125</v>
      </c>
      <c r="AG980" s="73" t="str">
        <f>VLOOKUP(AF980,AKT!$C$4:$E$324,3,FALSE)</f>
        <v>0150</v>
      </c>
    </row>
    <row r="981" spans="30:33">
      <c r="AD981" s="73" t="s">
        <v>2925</v>
      </c>
      <c r="AE981" s="73" t="s">
        <v>2926</v>
      </c>
      <c r="AF981" s="73" t="str">
        <f t="shared" si="113"/>
        <v>A622125</v>
      </c>
      <c r="AG981" s="73" t="str">
        <f>VLOOKUP(AF981,AKT!$C$4:$E$324,3,FALSE)</f>
        <v>0150</v>
      </c>
    </row>
    <row r="982" spans="30:33">
      <c r="AD982" s="73" t="s">
        <v>2927</v>
      </c>
      <c r="AE982" s="73" t="s">
        <v>2928</v>
      </c>
      <c r="AF982" s="73" t="str">
        <f t="shared" si="113"/>
        <v>A622125</v>
      </c>
      <c r="AG982" s="73" t="str">
        <f>VLOOKUP(AF982,AKT!$C$4:$E$324,3,FALSE)</f>
        <v>0150</v>
      </c>
    </row>
    <row r="983" spans="30:33">
      <c r="AD983" s="73" t="s">
        <v>2929</v>
      </c>
      <c r="AE983" s="73" t="s">
        <v>2930</v>
      </c>
      <c r="AF983" s="73" t="str">
        <f t="shared" si="113"/>
        <v>A622125</v>
      </c>
      <c r="AG983" s="73" t="str">
        <f>VLOOKUP(AF983,AKT!$C$4:$E$324,3,FALSE)</f>
        <v>0150</v>
      </c>
    </row>
    <row r="984" spans="30:33">
      <c r="AD984" s="73" t="s">
        <v>2931</v>
      </c>
      <c r="AE984" s="73" t="s">
        <v>2932</v>
      </c>
      <c r="AF984" s="73" t="str">
        <f t="shared" si="113"/>
        <v>A622125</v>
      </c>
      <c r="AG984" s="73" t="str">
        <f>VLOOKUP(AF984,AKT!$C$4:$E$324,3,FALSE)</f>
        <v>0150</v>
      </c>
    </row>
    <row r="985" spans="30:33">
      <c r="AD985" s="73" t="s">
        <v>2933</v>
      </c>
      <c r="AE985" s="73" t="s">
        <v>2934</v>
      </c>
      <c r="AF985" s="73" t="str">
        <f t="shared" si="113"/>
        <v>A622125</v>
      </c>
      <c r="AG985" s="73" t="str">
        <f>VLOOKUP(AF985,AKT!$C$4:$E$324,3,FALSE)</f>
        <v>0150</v>
      </c>
    </row>
    <row r="986" spans="30:33">
      <c r="AD986" s="73" t="s">
        <v>2935</v>
      </c>
      <c r="AE986" s="73" t="s">
        <v>2936</v>
      </c>
      <c r="AF986" s="73" t="str">
        <f t="shared" si="113"/>
        <v>A622125</v>
      </c>
      <c r="AG986" s="73" t="str">
        <f>VLOOKUP(AF986,AKT!$C$4:$E$324,3,FALSE)</f>
        <v>0150</v>
      </c>
    </row>
    <row r="987" spans="30:33">
      <c r="AD987" s="73" t="s">
        <v>2937</v>
      </c>
      <c r="AE987" s="73" t="s">
        <v>2938</v>
      </c>
      <c r="AF987" s="73" t="str">
        <f t="shared" si="113"/>
        <v>A622125</v>
      </c>
      <c r="AG987" s="73" t="str">
        <f>VLOOKUP(AF987,AKT!$C$4:$E$324,3,FALSE)</f>
        <v>0150</v>
      </c>
    </row>
    <row r="988" spans="30:33">
      <c r="AD988" s="73" t="s">
        <v>2939</v>
      </c>
      <c r="AE988" s="73" t="s">
        <v>2940</v>
      </c>
      <c r="AF988" s="73" t="str">
        <f t="shared" si="113"/>
        <v>A622125</v>
      </c>
      <c r="AG988" s="73" t="str">
        <f>VLOOKUP(AF988,AKT!$C$4:$E$324,3,FALSE)</f>
        <v>0150</v>
      </c>
    </row>
    <row r="989" spans="30:33">
      <c r="AD989" s="73" t="s">
        <v>2941</v>
      </c>
      <c r="AE989" s="73" t="s">
        <v>2942</v>
      </c>
      <c r="AF989" s="73" t="str">
        <f t="shared" si="113"/>
        <v>A622125</v>
      </c>
      <c r="AG989" s="73" t="str">
        <f>VLOOKUP(AF989,AKT!$C$4:$E$324,3,FALSE)</f>
        <v>0150</v>
      </c>
    </row>
    <row r="990" spans="30:33">
      <c r="AD990" s="73" t="s">
        <v>2943</v>
      </c>
      <c r="AE990" s="73" t="s">
        <v>2944</v>
      </c>
      <c r="AF990" s="73" t="str">
        <f t="shared" si="113"/>
        <v>A622125</v>
      </c>
      <c r="AG990" s="73" t="str">
        <f>VLOOKUP(AF990,AKT!$C$4:$E$324,3,FALSE)</f>
        <v>0150</v>
      </c>
    </row>
    <row r="991" spans="30:33">
      <c r="AD991" s="73" t="s">
        <v>2945</v>
      </c>
      <c r="AE991" s="73" t="s">
        <v>2946</v>
      </c>
      <c r="AF991" s="73" t="str">
        <f t="shared" si="113"/>
        <v>A622125</v>
      </c>
      <c r="AG991" s="73" t="str">
        <f>VLOOKUP(AF991,AKT!$C$4:$E$324,3,FALSE)</f>
        <v>0150</v>
      </c>
    </row>
    <row r="992" spans="30:33">
      <c r="AD992" s="73" t="s">
        <v>2947</v>
      </c>
      <c r="AE992" s="73" t="s">
        <v>2948</v>
      </c>
      <c r="AF992" s="73" t="str">
        <f t="shared" si="113"/>
        <v>A622125</v>
      </c>
      <c r="AG992" s="73" t="str">
        <f>VLOOKUP(AF992,AKT!$C$4:$E$324,3,FALSE)</f>
        <v>0150</v>
      </c>
    </row>
    <row r="993" spans="30:33">
      <c r="AD993" s="73" t="s">
        <v>2949</v>
      </c>
      <c r="AE993" s="73" t="s">
        <v>2950</v>
      </c>
      <c r="AF993" s="73" t="str">
        <f t="shared" si="113"/>
        <v>A622125</v>
      </c>
      <c r="AG993" s="73" t="str">
        <f>VLOOKUP(AF993,AKT!$C$4:$E$324,3,FALSE)</f>
        <v>0150</v>
      </c>
    </row>
    <row r="994" spans="30:33">
      <c r="AD994" s="73" t="s">
        <v>2951</v>
      </c>
      <c r="AE994" s="73" t="s">
        <v>2952</v>
      </c>
      <c r="AF994" s="73" t="str">
        <f t="shared" si="113"/>
        <v>A622125</v>
      </c>
      <c r="AG994" s="73" t="str">
        <f>VLOOKUP(AF994,AKT!$C$4:$E$324,3,FALSE)</f>
        <v>0150</v>
      </c>
    </row>
    <row r="995" spans="30:33">
      <c r="AD995" s="73" t="s">
        <v>2953</v>
      </c>
      <c r="AE995" s="73" t="s">
        <v>2954</v>
      </c>
      <c r="AF995" s="73" t="str">
        <f t="shared" si="113"/>
        <v>A622125</v>
      </c>
      <c r="AG995" s="73" t="str">
        <f>VLOOKUP(AF995,AKT!$C$4:$E$324,3,FALSE)</f>
        <v>0150</v>
      </c>
    </row>
    <row r="996" spans="30:33">
      <c r="AD996" s="73" t="s">
        <v>2955</v>
      </c>
      <c r="AE996" s="73" t="s">
        <v>2956</v>
      </c>
      <c r="AF996" s="73" t="str">
        <f t="shared" si="113"/>
        <v>A622125</v>
      </c>
      <c r="AG996" s="73" t="str">
        <f>VLOOKUP(AF996,AKT!$C$4:$E$324,3,FALSE)</f>
        <v>0150</v>
      </c>
    </row>
    <row r="997" spans="30:33">
      <c r="AD997" s="73" t="s">
        <v>2957</v>
      </c>
      <c r="AE997" s="73" t="s">
        <v>2958</v>
      </c>
      <c r="AF997" s="73" t="str">
        <f t="shared" si="113"/>
        <v>A622125</v>
      </c>
      <c r="AG997" s="73" t="str">
        <f>VLOOKUP(AF997,AKT!$C$4:$E$324,3,FALSE)</f>
        <v>0150</v>
      </c>
    </row>
    <row r="998" spans="30:33">
      <c r="AD998" s="73" t="s">
        <v>2959</v>
      </c>
      <c r="AE998" s="73" t="s">
        <v>2960</v>
      </c>
      <c r="AF998" s="73" t="str">
        <f t="shared" si="113"/>
        <v>A622125</v>
      </c>
      <c r="AG998" s="73" t="str">
        <f>VLOOKUP(AF998,AKT!$C$4:$E$324,3,FALSE)</f>
        <v>0150</v>
      </c>
    </row>
    <row r="999" spans="30:33">
      <c r="AD999" s="73" t="s">
        <v>2961</v>
      </c>
      <c r="AE999" s="73" t="s">
        <v>2962</v>
      </c>
      <c r="AF999" s="73" t="str">
        <f t="shared" si="113"/>
        <v>A622125</v>
      </c>
      <c r="AG999" s="73" t="str">
        <f>VLOOKUP(AF999,AKT!$C$4:$E$324,3,FALSE)</f>
        <v>0150</v>
      </c>
    </row>
    <row r="1000" spans="30:33">
      <c r="AD1000" s="73" t="s">
        <v>2963</v>
      </c>
      <c r="AE1000" s="73" t="s">
        <v>2964</v>
      </c>
      <c r="AF1000" s="73" t="str">
        <f t="shared" si="113"/>
        <v>A622125</v>
      </c>
      <c r="AG1000" s="73" t="str">
        <f>VLOOKUP(AF1000,AKT!$C$4:$E$324,3,FALSE)</f>
        <v>0150</v>
      </c>
    </row>
    <row r="1001" spans="30:33">
      <c r="AD1001" s="73" t="s">
        <v>2965</v>
      </c>
      <c r="AE1001" s="73" t="s">
        <v>2966</v>
      </c>
      <c r="AF1001" s="73" t="str">
        <f t="shared" si="113"/>
        <v>A622125</v>
      </c>
      <c r="AG1001" s="73" t="str">
        <f>VLOOKUP(AF1001,AKT!$C$4:$E$324,3,FALSE)</f>
        <v>0150</v>
      </c>
    </row>
    <row r="1002" spans="30:33">
      <c r="AD1002" s="73" t="s">
        <v>2967</v>
      </c>
      <c r="AE1002" s="73" t="s">
        <v>2968</v>
      </c>
      <c r="AF1002" s="73" t="str">
        <f t="shared" si="113"/>
        <v>A622125</v>
      </c>
      <c r="AG1002" s="73" t="str">
        <f>VLOOKUP(AF1002,AKT!$C$4:$E$324,3,FALSE)</f>
        <v>0150</v>
      </c>
    </row>
    <row r="1003" spans="30:33">
      <c r="AD1003" s="73" t="s">
        <v>2969</v>
      </c>
      <c r="AE1003" s="73" t="s">
        <v>2970</v>
      </c>
      <c r="AF1003" s="73" t="str">
        <f t="shared" si="113"/>
        <v>A622125</v>
      </c>
      <c r="AG1003" s="73" t="str">
        <f>VLOOKUP(AF1003,AKT!$C$4:$E$324,3,FALSE)</f>
        <v>0150</v>
      </c>
    </row>
    <row r="1004" spans="30:33">
      <c r="AD1004" s="73" t="s">
        <v>2971</v>
      </c>
      <c r="AE1004" s="73" t="s">
        <v>2972</v>
      </c>
      <c r="AF1004" s="73" t="str">
        <f t="shared" si="113"/>
        <v>A622125</v>
      </c>
      <c r="AG1004" s="73" t="str">
        <f>VLOOKUP(AF1004,AKT!$C$4:$E$324,3,FALSE)</f>
        <v>0150</v>
      </c>
    </row>
    <row r="1005" spans="30:33">
      <c r="AD1005" s="73" t="s">
        <v>2973</v>
      </c>
      <c r="AE1005" s="73" t="s">
        <v>2974</v>
      </c>
      <c r="AF1005" s="73" t="str">
        <f t="shared" si="113"/>
        <v>A622125</v>
      </c>
      <c r="AG1005" s="73" t="str">
        <f>VLOOKUP(AF1005,AKT!$C$4:$E$324,3,FALSE)</f>
        <v>0150</v>
      </c>
    </row>
    <row r="1006" spans="30:33">
      <c r="AD1006" s="73" t="s">
        <v>2975</v>
      </c>
      <c r="AE1006" s="73" t="s">
        <v>2976</v>
      </c>
      <c r="AF1006" s="73" t="str">
        <f t="shared" si="113"/>
        <v>A622125</v>
      </c>
      <c r="AG1006" s="73" t="str">
        <f>VLOOKUP(AF1006,AKT!$C$4:$E$324,3,FALSE)</f>
        <v>0150</v>
      </c>
    </row>
    <row r="1007" spans="30:33">
      <c r="AD1007" s="73" t="s">
        <v>2977</v>
      </c>
      <c r="AE1007" s="73" t="s">
        <v>3384</v>
      </c>
      <c r="AF1007" s="73" t="str">
        <f t="shared" si="113"/>
        <v>A622125</v>
      </c>
      <c r="AG1007" s="73" t="str">
        <f>VLOOKUP(AF1007,AKT!$C$4:$E$324,3,FALSE)</f>
        <v>0150</v>
      </c>
    </row>
    <row r="1008" spans="30:33">
      <c r="AD1008" s="73" t="s">
        <v>2978</v>
      </c>
      <c r="AE1008" s="73" t="s">
        <v>2979</v>
      </c>
      <c r="AF1008" s="73" t="str">
        <f t="shared" si="113"/>
        <v>A622125</v>
      </c>
      <c r="AG1008" s="73" t="str">
        <f>VLOOKUP(AF1008,AKT!$C$4:$E$324,3,FALSE)</f>
        <v>0150</v>
      </c>
    </row>
    <row r="1009" spans="30:33">
      <c r="AD1009" s="73" t="s">
        <v>2980</v>
      </c>
      <c r="AE1009" s="73" t="s">
        <v>2981</v>
      </c>
      <c r="AF1009" s="73" t="str">
        <f t="shared" si="113"/>
        <v>A622125</v>
      </c>
      <c r="AG1009" s="73" t="str">
        <f>VLOOKUP(AF1009,AKT!$C$4:$E$324,3,FALSE)</f>
        <v>0150</v>
      </c>
    </row>
    <row r="1010" spans="30:33">
      <c r="AD1010" s="73" t="s">
        <v>3385</v>
      </c>
      <c r="AE1010" s="73" t="s">
        <v>3386</v>
      </c>
      <c r="AF1010" s="73" t="str">
        <f t="shared" si="113"/>
        <v>A622125</v>
      </c>
      <c r="AG1010" s="73" t="str">
        <f>VLOOKUP(AF1010,AKT!$C$4:$E$324,3,FALSE)</f>
        <v>0150</v>
      </c>
    </row>
    <row r="1011" spans="30:33">
      <c r="AD1011" s="73" t="s">
        <v>2982</v>
      </c>
      <c r="AE1011" s="73" t="s">
        <v>2983</v>
      </c>
      <c r="AF1011" s="73" t="str">
        <f t="shared" si="113"/>
        <v>A622125</v>
      </c>
      <c r="AG1011" s="73" t="str">
        <f>VLOOKUP(AF1011,AKT!$C$4:$E$324,3,FALSE)</f>
        <v>0150</v>
      </c>
    </row>
    <row r="1012" spans="30:33">
      <c r="AD1012" s="73" t="s">
        <v>2984</v>
      </c>
      <c r="AE1012" s="73" t="s">
        <v>1588</v>
      </c>
      <c r="AF1012" s="73" t="str">
        <f t="shared" si="113"/>
        <v>A622125</v>
      </c>
      <c r="AG1012" s="73" t="str">
        <f>VLOOKUP(AF1012,AKT!$C$4:$E$324,3,FALSE)</f>
        <v>0150</v>
      </c>
    </row>
    <row r="1013" spans="30:33">
      <c r="AD1013" s="73" t="s">
        <v>2985</v>
      </c>
      <c r="AE1013" s="73" t="s">
        <v>2986</v>
      </c>
      <c r="AF1013" s="73" t="str">
        <f t="shared" si="113"/>
        <v>A622125</v>
      </c>
      <c r="AG1013" s="73" t="str">
        <f>VLOOKUP(AF1013,AKT!$C$4:$E$324,3,FALSE)</f>
        <v>0150</v>
      </c>
    </row>
    <row r="1014" spans="30:33">
      <c r="AD1014" s="73" t="s">
        <v>2987</v>
      </c>
      <c r="AE1014" s="73" t="s">
        <v>2988</v>
      </c>
      <c r="AF1014" s="73" t="str">
        <f t="shared" si="113"/>
        <v>A622125</v>
      </c>
      <c r="AG1014" s="73" t="str">
        <f>VLOOKUP(AF1014,AKT!$C$4:$E$324,3,FALSE)</f>
        <v>0150</v>
      </c>
    </row>
    <row r="1015" spans="30:33">
      <c r="AD1015" s="73" t="s">
        <v>2990</v>
      </c>
      <c r="AE1015" s="73" t="s">
        <v>2991</v>
      </c>
      <c r="AF1015" s="73" t="str">
        <f t="shared" si="113"/>
        <v>A622125</v>
      </c>
      <c r="AG1015" s="73" t="str">
        <f>VLOOKUP(AF1015,AKT!$C$4:$E$324,3,FALSE)</f>
        <v>0150</v>
      </c>
    </row>
    <row r="1016" spans="30:33">
      <c r="AD1016" s="73" t="s">
        <v>2992</v>
      </c>
      <c r="AE1016" s="73" t="s">
        <v>2981</v>
      </c>
      <c r="AF1016" s="73" t="str">
        <f t="shared" si="113"/>
        <v>A622125</v>
      </c>
      <c r="AG1016" s="73" t="str">
        <f>VLOOKUP(AF1016,AKT!$C$4:$E$324,3,FALSE)</f>
        <v>0150</v>
      </c>
    </row>
    <row r="1017" spans="30:33">
      <c r="AD1017" s="73" t="s">
        <v>2993</v>
      </c>
      <c r="AE1017" s="73" t="s">
        <v>2989</v>
      </c>
      <c r="AF1017" s="73" t="str">
        <f t="shared" si="113"/>
        <v>A622125</v>
      </c>
      <c r="AG1017" s="73" t="str">
        <f>VLOOKUP(AF1017,AKT!$C$4:$E$324,3,FALSE)</f>
        <v>0150</v>
      </c>
    </row>
    <row r="1018" spans="30:33">
      <c r="AD1018" s="73" t="s">
        <v>2994</v>
      </c>
      <c r="AE1018" s="73" t="s">
        <v>2995</v>
      </c>
      <c r="AF1018" s="73" t="str">
        <f t="shared" si="113"/>
        <v>A622125</v>
      </c>
      <c r="AG1018" s="73" t="str">
        <f>VLOOKUP(AF1018,AKT!$C$4:$E$324,3,FALSE)</f>
        <v>0150</v>
      </c>
    </row>
    <row r="1019" spans="30:33">
      <c r="AD1019" s="73" t="s">
        <v>2996</v>
      </c>
      <c r="AE1019" s="73" t="s">
        <v>2997</v>
      </c>
      <c r="AF1019" s="73" t="str">
        <f t="shared" si="113"/>
        <v>A622125</v>
      </c>
      <c r="AG1019" s="73" t="str">
        <f>VLOOKUP(AF1019,AKT!$C$4:$E$324,3,FALSE)</f>
        <v>0150</v>
      </c>
    </row>
    <row r="1020" spans="30:33">
      <c r="AD1020" s="73" t="s">
        <v>2998</v>
      </c>
      <c r="AE1020" s="73" t="s">
        <v>2999</v>
      </c>
      <c r="AF1020" s="73" t="str">
        <f t="shared" si="113"/>
        <v>A622125</v>
      </c>
      <c r="AG1020" s="73" t="str">
        <f>VLOOKUP(AF1020,AKT!$C$4:$E$324,3,FALSE)</f>
        <v>0150</v>
      </c>
    </row>
    <row r="1021" spans="30:33">
      <c r="AD1021" s="73" t="s">
        <v>3000</v>
      </c>
      <c r="AE1021" s="73" t="s">
        <v>3001</v>
      </c>
      <c r="AF1021" s="73" t="str">
        <f t="shared" si="113"/>
        <v>A622125</v>
      </c>
      <c r="AG1021" s="73" t="str">
        <f>VLOOKUP(AF1021,AKT!$C$4:$E$324,3,FALSE)</f>
        <v>0150</v>
      </c>
    </row>
    <row r="1022" spans="30:33">
      <c r="AD1022" s="73" t="s">
        <v>3002</v>
      </c>
      <c r="AE1022" s="73" t="s">
        <v>3003</v>
      </c>
      <c r="AF1022" s="73" t="str">
        <f t="shared" si="113"/>
        <v>A622125</v>
      </c>
      <c r="AG1022" s="73" t="str">
        <f>VLOOKUP(AF1022,AKT!$C$4:$E$324,3,FALSE)</f>
        <v>0150</v>
      </c>
    </row>
    <row r="1023" spans="30:33">
      <c r="AD1023" s="73" t="s">
        <v>3004</v>
      </c>
      <c r="AE1023" s="73" t="s">
        <v>3005</v>
      </c>
      <c r="AF1023" s="73" t="str">
        <f t="shared" ref="AF1023:AF1081" si="114">LEFT(AD1023,7)</f>
        <v>A622125</v>
      </c>
      <c r="AG1023" s="73" t="str">
        <f>VLOOKUP(AF1023,AKT!$C$4:$E$324,3,FALSE)</f>
        <v>0150</v>
      </c>
    </row>
    <row r="1024" spans="30:33">
      <c r="AD1024" s="73" t="s">
        <v>3006</v>
      </c>
      <c r="AE1024" s="73" t="s">
        <v>3007</v>
      </c>
      <c r="AF1024" s="73" t="str">
        <f t="shared" si="114"/>
        <v>A622125</v>
      </c>
      <c r="AG1024" s="73" t="str">
        <f>VLOOKUP(AF1024,AKT!$C$4:$E$324,3,FALSE)</f>
        <v>0150</v>
      </c>
    </row>
    <row r="1025" spans="30:33">
      <c r="AD1025" s="73" t="s">
        <v>3008</v>
      </c>
      <c r="AE1025" s="73" t="s">
        <v>3009</v>
      </c>
      <c r="AF1025" s="73" t="str">
        <f t="shared" si="114"/>
        <v>A622125</v>
      </c>
      <c r="AG1025" s="73" t="str">
        <f>VLOOKUP(AF1025,AKT!$C$4:$E$324,3,FALSE)</f>
        <v>0150</v>
      </c>
    </row>
    <row r="1026" spans="30:33">
      <c r="AD1026" s="73" t="s">
        <v>3387</v>
      </c>
      <c r="AE1026" s="73" t="s">
        <v>3388</v>
      </c>
      <c r="AF1026" s="73" t="str">
        <f t="shared" si="114"/>
        <v>A622125</v>
      </c>
      <c r="AG1026" s="73" t="str">
        <f>VLOOKUP(AF1026,AKT!$C$4:$E$324,3,FALSE)</f>
        <v>0150</v>
      </c>
    </row>
    <row r="1027" spans="30:33">
      <c r="AD1027" s="73" t="s">
        <v>3389</v>
      </c>
      <c r="AE1027" s="73" t="s">
        <v>3390</v>
      </c>
      <c r="AF1027" s="73" t="str">
        <f t="shared" si="114"/>
        <v>A622125</v>
      </c>
      <c r="AG1027" s="73" t="str">
        <f>VLOOKUP(AF1027,AKT!$C$4:$E$324,3,FALSE)</f>
        <v>0150</v>
      </c>
    </row>
    <row r="1028" spans="30:33">
      <c r="AD1028" s="73" t="s">
        <v>3391</v>
      </c>
      <c r="AE1028" s="73" t="s">
        <v>3392</v>
      </c>
      <c r="AF1028" s="73" t="str">
        <f t="shared" si="114"/>
        <v>A622125</v>
      </c>
      <c r="AG1028" s="73" t="str">
        <f>VLOOKUP(AF1028,AKT!$C$4:$E$324,3,FALSE)</f>
        <v>0150</v>
      </c>
    </row>
    <row r="1029" spans="30:33">
      <c r="AD1029" s="73" t="s">
        <v>3393</v>
      </c>
      <c r="AE1029" s="73" t="s">
        <v>3394</v>
      </c>
      <c r="AF1029" s="73" t="str">
        <f t="shared" si="114"/>
        <v>A622125</v>
      </c>
      <c r="AG1029" s="73" t="str">
        <f>VLOOKUP(AF1029,AKT!$C$4:$E$324,3,FALSE)</f>
        <v>0150</v>
      </c>
    </row>
    <row r="1030" spans="30:33">
      <c r="AD1030" s="73" t="s">
        <v>3395</v>
      </c>
      <c r="AE1030" s="73" t="s">
        <v>3396</v>
      </c>
      <c r="AF1030" s="73" t="str">
        <f t="shared" si="114"/>
        <v>A622125</v>
      </c>
      <c r="AG1030" s="73" t="str">
        <f>VLOOKUP(AF1030,AKT!$C$4:$E$324,3,FALSE)</f>
        <v>0150</v>
      </c>
    </row>
    <row r="1031" spans="30:33">
      <c r="AD1031" s="73" t="s">
        <v>3397</v>
      </c>
      <c r="AE1031" s="73" t="s">
        <v>3398</v>
      </c>
      <c r="AF1031" s="73" t="str">
        <f t="shared" si="114"/>
        <v>A622125</v>
      </c>
      <c r="AG1031" s="73" t="str">
        <f>VLOOKUP(AF1031,AKT!$C$4:$E$324,3,FALSE)</f>
        <v>0150</v>
      </c>
    </row>
    <row r="1032" spans="30:33">
      <c r="AD1032" s="73" t="s">
        <v>3399</v>
      </c>
      <c r="AE1032" s="73" t="s">
        <v>3400</v>
      </c>
      <c r="AF1032" s="73" t="str">
        <f t="shared" si="114"/>
        <v>A622125</v>
      </c>
      <c r="AG1032" s="73" t="str">
        <f>VLOOKUP(AF1032,AKT!$C$4:$E$324,3,FALSE)</f>
        <v>0150</v>
      </c>
    </row>
    <row r="1033" spans="30:33">
      <c r="AD1033" s="73" t="s">
        <v>3401</v>
      </c>
      <c r="AE1033" s="73" t="s">
        <v>3402</v>
      </c>
      <c r="AF1033" s="73" t="str">
        <f t="shared" si="114"/>
        <v>A622125</v>
      </c>
      <c r="AG1033" s="73" t="str">
        <f>VLOOKUP(AF1033,AKT!$C$4:$E$324,3,FALSE)</f>
        <v>0150</v>
      </c>
    </row>
    <row r="1034" spans="30:33">
      <c r="AD1034" s="73" t="s">
        <v>3403</v>
      </c>
      <c r="AE1034" s="73" t="s">
        <v>2803</v>
      </c>
      <c r="AF1034" s="73" t="str">
        <f t="shared" si="114"/>
        <v>A622125</v>
      </c>
      <c r="AG1034" s="73" t="str">
        <f>VLOOKUP(AF1034,AKT!$C$4:$E$324,3,FALSE)</f>
        <v>0150</v>
      </c>
    </row>
    <row r="1035" spans="30:33">
      <c r="AD1035" s="73" t="s">
        <v>3404</v>
      </c>
      <c r="AE1035" s="73" t="s">
        <v>3405</v>
      </c>
      <c r="AF1035" s="73" t="str">
        <f t="shared" si="114"/>
        <v>A622125</v>
      </c>
      <c r="AG1035" s="73" t="str">
        <f>VLOOKUP(AF1035,AKT!$C$4:$E$324,3,FALSE)</f>
        <v>0150</v>
      </c>
    </row>
    <row r="1036" spans="30:33">
      <c r="AD1036" s="73" t="s">
        <v>3406</v>
      </c>
      <c r="AE1036" s="73" t="s">
        <v>3407</v>
      </c>
      <c r="AF1036" s="73" t="str">
        <f t="shared" si="114"/>
        <v>A622125</v>
      </c>
      <c r="AG1036" s="73" t="str">
        <f>VLOOKUP(AF1036,AKT!$C$4:$E$324,3,FALSE)</f>
        <v>0150</v>
      </c>
    </row>
    <row r="1037" spans="30:33">
      <c r="AD1037" s="73" t="s">
        <v>3408</v>
      </c>
      <c r="AE1037" s="73" t="s">
        <v>3409</v>
      </c>
      <c r="AF1037" s="73" t="str">
        <f t="shared" si="114"/>
        <v>A622125</v>
      </c>
      <c r="AG1037" s="73" t="str">
        <f>VLOOKUP(AF1037,AKT!$C$4:$E$324,3,FALSE)</f>
        <v>0150</v>
      </c>
    </row>
    <row r="1038" spans="30:33">
      <c r="AD1038" s="73" t="s">
        <v>3410</v>
      </c>
      <c r="AE1038" s="73" t="s">
        <v>3411</v>
      </c>
      <c r="AF1038" s="73" t="str">
        <f t="shared" si="114"/>
        <v>A622125</v>
      </c>
      <c r="AG1038" s="73" t="str">
        <f>VLOOKUP(AF1038,AKT!$C$4:$E$324,3,FALSE)</f>
        <v>0150</v>
      </c>
    </row>
    <row r="1039" spans="30:33">
      <c r="AD1039" s="73" t="s">
        <v>3412</v>
      </c>
      <c r="AE1039" s="73" t="s">
        <v>3413</v>
      </c>
      <c r="AF1039" s="73" t="str">
        <f t="shared" si="114"/>
        <v>A622125</v>
      </c>
      <c r="AG1039" s="73" t="str">
        <f>VLOOKUP(AF1039,AKT!$C$4:$E$324,3,FALSE)</f>
        <v>0150</v>
      </c>
    </row>
    <row r="1040" spans="30:33">
      <c r="AD1040" s="73" t="s">
        <v>3414</v>
      </c>
      <c r="AE1040" s="73" t="s">
        <v>1261</v>
      </c>
      <c r="AF1040" s="73" t="str">
        <f t="shared" si="114"/>
        <v>A622125</v>
      </c>
      <c r="AG1040" s="73" t="str">
        <f>VLOOKUP(AF1040,AKT!$C$4:$E$324,3,FALSE)</f>
        <v>0150</v>
      </c>
    </row>
    <row r="1041" spans="30:33">
      <c r="AD1041" s="73" t="s">
        <v>3415</v>
      </c>
      <c r="AE1041" s="73" t="s">
        <v>3416</v>
      </c>
      <c r="AF1041" s="73" t="str">
        <f t="shared" si="114"/>
        <v>A622125</v>
      </c>
      <c r="AG1041" s="73" t="str">
        <f>VLOOKUP(AF1041,AKT!$C$4:$E$324,3,FALSE)</f>
        <v>0150</v>
      </c>
    </row>
    <row r="1042" spans="30:33">
      <c r="AD1042" s="73" t="s">
        <v>3417</v>
      </c>
      <c r="AE1042" s="73" t="s">
        <v>3418</v>
      </c>
      <c r="AF1042" s="73" t="str">
        <f t="shared" si="114"/>
        <v>A622125</v>
      </c>
      <c r="AG1042" s="73" t="str">
        <f>VLOOKUP(AF1042,AKT!$C$4:$E$324,3,FALSE)</f>
        <v>0150</v>
      </c>
    </row>
    <row r="1043" spans="30:33">
      <c r="AD1043" s="73" t="s">
        <v>3419</v>
      </c>
      <c r="AE1043" s="73" t="s">
        <v>3420</v>
      </c>
      <c r="AF1043" s="73" t="str">
        <f t="shared" si="114"/>
        <v>A622125</v>
      </c>
      <c r="AG1043" s="73" t="str">
        <f>VLOOKUP(AF1043,AKT!$C$4:$E$324,3,FALSE)</f>
        <v>0150</v>
      </c>
    </row>
    <row r="1044" spans="30:33">
      <c r="AD1044" s="73" t="s">
        <v>3421</v>
      </c>
      <c r="AE1044" s="73" t="s">
        <v>3422</v>
      </c>
      <c r="AF1044" s="73" t="str">
        <f t="shared" si="114"/>
        <v>A622125</v>
      </c>
      <c r="AG1044" s="73" t="str">
        <f>VLOOKUP(AF1044,AKT!$C$4:$E$324,3,FALSE)</f>
        <v>0150</v>
      </c>
    </row>
    <row r="1045" spans="30:33">
      <c r="AD1045" s="73" t="s">
        <v>3423</v>
      </c>
      <c r="AE1045" s="73" t="s">
        <v>3424</v>
      </c>
      <c r="AF1045" s="73" t="str">
        <f t="shared" si="114"/>
        <v>A622125</v>
      </c>
      <c r="AG1045" s="73" t="str">
        <f>VLOOKUP(AF1045,AKT!$C$4:$E$324,3,FALSE)</f>
        <v>0150</v>
      </c>
    </row>
    <row r="1046" spans="30:33">
      <c r="AD1046" s="73" t="s">
        <v>3425</v>
      </c>
      <c r="AE1046" s="73" t="s">
        <v>3426</v>
      </c>
      <c r="AF1046" s="73" t="str">
        <f t="shared" si="114"/>
        <v>A622125</v>
      </c>
      <c r="AG1046" s="73" t="str">
        <f>VLOOKUP(AF1046,AKT!$C$4:$E$324,3,FALSE)</f>
        <v>0150</v>
      </c>
    </row>
    <row r="1047" spans="30:33">
      <c r="AD1047" s="73" t="s">
        <v>3427</v>
      </c>
      <c r="AE1047" s="73" t="s">
        <v>3428</v>
      </c>
      <c r="AF1047" s="73" t="str">
        <f t="shared" si="114"/>
        <v>A622125</v>
      </c>
      <c r="AG1047" s="73" t="str">
        <f>VLOOKUP(AF1047,AKT!$C$4:$E$324,3,FALSE)</f>
        <v>0150</v>
      </c>
    </row>
    <row r="1048" spans="30:33">
      <c r="AD1048" s="73" t="s">
        <v>3429</v>
      </c>
      <c r="AE1048" s="73" t="s">
        <v>3430</v>
      </c>
      <c r="AF1048" s="73" t="str">
        <f t="shared" si="114"/>
        <v>A622125</v>
      </c>
      <c r="AG1048" s="73" t="str">
        <f>VLOOKUP(AF1048,AKT!$C$4:$E$324,3,FALSE)</f>
        <v>0150</v>
      </c>
    </row>
    <row r="1049" spans="30:33">
      <c r="AD1049" s="73" t="s">
        <v>3431</v>
      </c>
      <c r="AE1049" s="73" t="s">
        <v>3432</v>
      </c>
      <c r="AF1049" s="73" t="str">
        <f t="shared" si="114"/>
        <v>A622125</v>
      </c>
      <c r="AG1049" s="73" t="str">
        <f>VLOOKUP(AF1049,AKT!$C$4:$E$324,3,FALSE)</f>
        <v>0150</v>
      </c>
    </row>
    <row r="1050" spans="30:33">
      <c r="AD1050" s="73" t="s">
        <v>3433</v>
      </c>
      <c r="AE1050" s="73" t="s">
        <v>3262</v>
      </c>
      <c r="AF1050" s="73" t="str">
        <f t="shared" si="114"/>
        <v>A622125</v>
      </c>
      <c r="AG1050" s="73" t="str">
        <f>VLOOKUP(AF1050,AKT!$C$4:$E$324,3,FALSE)</f>
        <v>0150</v>
      </c>
    </row>
    <row r="1051" spans="30:33">
      <c r="AD1051" s="73" t="s">
        <v>3434</v>
      </c>
      <c r="AE1051" s="73" t="s">
        <v>3435</v>
      </c>
      <c r="AF1051" s="73" t="str">
        <f t="shared" si="114"/>
        <v>A622125</v>
      </c>
      <c r="AG1051" s="73" t="str">
        <f>VLOOKUP(AF1051,AKT!$C$4:$E$324,3,FALSE)</f>
        <v>0150</v>
      </c>
    </row>
    <row r="1052" spans="30:33">
      <c r="AD1052" s="73" t="s">
        <v>3436</v>
      </c>
      <c r="AE1052" s="73" t="s">
        <v>3437</v>
      </c>
      <c r="AF1052" s="73" t="str">
        <f t="shared" si="114"/>
        <v>A622125</v>
      </c>
      <c r="AG1052" s="73" t="str">
        <f>VLOOKUP(AF1052,AKT!$C$4:$E$324,3,FALSE)</f>
        <v>0150</v>
      </c>
    </row>
    <row r="1053" spans="30:33">
      <c r="AD1053" s="73" t="s">
        <v>3438</v>
      </c>
      <c r="AE1053" s="73" t="s">
        <v>3439</v>
      </c>
      <c r="AF1053" s="73" t="str">
        <f t="shared" si="114"/>
        <v>A622125</v>
      </c>
      <c r="AG1053" s="73" t="str">
        <f>VLOOKUP(AF1053,AKT!$C$4:$E$324,3,FALSE)</f>
        <v>0150</v>
      </c>
    </row>
    <row r="1054" spans="30:33">
      <c r="AD1054" s="73" t="s">
        <v>3440</v>
      </c>
      <c r="AE1054" s="73" t="s">
        <v>3441</v>
      </c>
      <c r="AF1054" s="73" t="str">
        <f t="shared" si="114"/>
        <v>A622125</v>
      </c>
      <c r="AG1054" s="73" t="str">
        <f>VLOOKUP(AF1054,AKT!$C$4:$E$324,3,FALSE)</f>
        <v>0150</v>
      </c>
    </row>
    <row r="1055" spans="30:33">
      <c r="AD1055" s="73" t="s">
        <v>3442</v>
      </c>
      <c r="AE1055" s="73" t="s">
        <v>3443</v>
      </c>
      <c r="AF1055" s="73" t="str">
        <f t="shared" si="114"/>
        <v>A622125</v>
      </c>
      <c r="AG1055" s="73" t="str">
        <f>VLOOKUP(AF1055,AKT!$C$4:$E$324,3,FALSE)</f>
        <v>0150</v>
      </c>
    </row>
    <row r="1056" spans="30:33">
      <c r="AD1056" s="73" t="s">
        <v>3444</v>
      </c>
      <c r="AE1056" s="73" t="s">
        <v>3445</v>
      </c>
      <c r="AF1056" s="73" t="str">
        <f t="shared" si="114"/>
        <v>A622125</v>
      </c>
      <c r="AG1056" s="73" t="str">
        <f>VLOOKUP(AF1056,AKT!$C$4:$E$324,3,FALSE)</f>
        <v>0150</v>
      </c>
    </row>
    <row r="1057" spans="30:33">
      <c r="AD1057" s="73" t="s">
        <v>3446</v>
      </c>
      <c r="AE1057" s="73" t="s">
        <v>1385</v>
      </c>
      <c r="AF1057" s="73" t="str">
        <f t="shared" si="114"/>
        <v>A622125</v>
      </c>
      <c r="AG1057" s="73" t="str">
        <f>VLOOKUP(AF1057,AKT!$C$4:$E$324,3,FALSE)</f>
        <v>0150</v>
      </c>
    </row>
    <row r="1058" spans="30:33">
      <c r="AD1058" s="73" t="s">
        <v>3447</v>
      </c>
      <c r="AE1058" s="73" t="s">
        <v>3448</v>
      </c>
      <c r="AF1058" s="73" t="str">
        <f t="shared" si="114"/>
        <v>A622125</v>
      </c>
      <c r="AG1058" s="73" t="str">
        <f>VLOOKUP(AF1058,AKT!$C$4:$E$324,3,FALSE)</f>
        <v>0150</v>
      </c>
    </row>
    <row r="1059" spans="30:33">
      <c r="AD1059" s="73" t="s">
        <v>923</v>
      </c>
      <c r="AE1059" s="73" t="s">
        <v>253</v>
      </c>
      <c r="AF1059" s="73" t="str">
        <f t="shared" si="114"/>
        <v>K622128</v>
      </c>
      <c r="AG1059" s="73" t="str">
        <f>VLOOKUP(AF1059,AKT!$C$4:$E$324,3,FALSE)</f>
        <v>0150</v>
      </c>
    </row>
    <row r="1060" spans="30:33">
      <c r="AD1060" s="73" t="s">
        <v>924</v>
      </c>
      <c r="AE1060" s="73" t="s">
        <v>254</v>
      </c>
      <c r="AF1060" s="73" t="str">
        <f t="shared" si="114"/>
        <v>K622128</v>
      </c>
      <c r="AG1060" s="73" t="str">
        <f>VLOOKUP(AF1060,AKT!$C$4:$E$324,3,FALSE)</f>
        <v>0150</v>
      </c>
    </row>
    <row r="1061" spans="30:33">
      <c r="AD1061" s="73" t="s">
        <v>925</v>
      </c>
      <c r="AE1061" s="73" t="s">
        <v>926</v>
      </c>
      <c r="AF1061" s="73" t="str">
        <f t="shared" si="114"/>
        <v>K622128</v>
      </c>
      <c r="AG1061" s="73" t="str">
        <f>VLOOKUP(AF1061,AKT!$C$4:$E$324,3,FALSE)</f>
        <v>0150</v>
      </c>
    </row>
    <row r="1062" spans="30:33">
      <c r="AD1062" s="73" t="s">
        <v>927</v>
      </c>
      <c r="AE1062" s="73" t="s">
        <v>864</v>
      </c>
      <c r="AF1062" s="73" t="str">
        <f t="shared" si="114"/>
        <v>K622128</v>
      </c>
      <c r="AG1062" s="73" t="str">
        <f>VLOOKUP(AF1062,AKT!$C$4:$E$324,3,FALSE)</f>
        <v>0150</v>
      </c>
    </row>
    <row r="1063" spans="30:33">
      <c r="AD1063" s="73" t="s">
        <v>1609</v>
      </c>
      <c r="AE1063" s="73" t="s">
        <v>1610</v>
      </c>
      <c r="AF1063" s="73" t="str">
        <f t="shared" si="114"/>
        <v>K622128</v>
      </c>
      <c r="AG1063" s="73" t="str">
        <f>VLOOKUP(AF1063,AKT!$C$4:$E$324,3,FALSE)</f>
        <v>0150</v>
      </c>
    </row>
    <row r="1064" spans="30:33">
      <c r="AD1064" s="73" t="s">
        <v>1611</v>
      </c>
      <c r="AE1064" s="73" t="s">
        <v>1167</v>
      </c>
      <c r="AF1064" s="73" t="str">
        <f t="shared" si="114"/>
        <v>K622128</v>
      </c>
      <c r="AG1064" s="73" t="str">
        <f>VLOOKUP(AF1064,AKT!$C$4:$E$324,3,FALSE)</f>
        <v>0150</v>
      </c>
    </row>
    <row r="1065" spans="30:33">
      <c r="AD1065" s="73" t="s">
        <v>3010</v>
      </c>
      <c r="AE1065" s="73" t="s">
        <v>2919</v>
      </c>
      <c r="AF1065" s="73" t="str">
        <f t="shared" si="114"/>
        <v>K622128</v>
      </c>
      <c r="AG1065" s="73" t="str">
        <f>VLOOKUP(AF1065,AKT!$C$4:$E$324,3,FALSE)</f>
        <v>0150</v>
      </c>
    </row>
    <row r="1066" spans="30:33">
      <c r="AD1066" s="73" t="s">
        <v>3449</v>
      </c>
      <c r="AE1066" s="73" t="s">
        <v>1174</v>
      </c>
      <c r="AF1066" s="73" t="str">
        <f t="shared" si="114"/>
        <v>K622128</v>
      </c>
      <c r="AG1066" s="73" t="str">
        <f>VLOOKUP(AF1066,AKT!$C$4:$E$324,3,FALSE)</f>
        <v>0150</v>
      </c>
    </row>
    <row r="1067" spans="30:33">
      <c r="AD1067" s="73" t="s">
        <v>1179</v>
      </c>
      <c r="AE1067" s="73" t="s">
        <v>1180</v>
      </c>
      <c r="AF1067" s="73" t="str">
        <f t="shared" si="114"/>
        <v>K628080</v>
      </c>
      <c r="AG1067" s="73" t="str">
        <f>VLOOKUP(AF1067,AKT!$C$4:$E$324,3,FALSE)</f>
        <v>0970</v>
      </c>
    </row>
    <row r="1068" spans="30:33">
      <c r="AD1068" s="73" t="s">
        <v>3450</v>
      </c>
      <c r="AE1068" s="73" t="s">
        <v>3451</v>
      </c>
      <c r="AF1068" s="73" t="str">
        <f t="shared" si="114"/>
        <v>K628080</v>
      </c>
      <c r="AG1068" s="73" t="str">
        <f>VLOOKUP(AF1068,AKT!$C$4:$E$324,3,FALSE)</f>
        <v>0970</v>
      </c>
    </row>
    <row r="1069" spans="30:33">
      <c r="AD1069" s="73" t="s">
        <v>1181</v>
      </c>
      <c r="AE1069" s="73" t="s">
        <v>1182</v>
      </c>
      <c r="AF1069" s="73" t="str">
        <f t="shared" si="114"/>
        <v>K628081</v>
      </c>
      <c r="AG1069" s="73" t="str">
        <f>VLOOKUP(AF1069,AKT!$C$4:$E$324,3,FALSE)</f>
        <v>0970</v>
      </c>
    </row>
    <row r="1070" spans="30:33">
      <c r="AD1070" s="73" t="s">
        <v>1183</v>
      </c>
      <c r="AE1070" s="73" t="s">
        <v>1184</v>
      </c>
      <c r="AF1070" s="73" t="str">
        <f t="shared" si="114"/>
        <v>K628081</v>
      </c>
      <c r="AG1070" s="73" t="str">
        <f>VLOOKUP(AF1070,AKT!$C$4:$E$324,3,FALSE)</f>
        <v>0970</v>
      </c>
    </row>
    <row r="1071" spans="30:33">
      <c r="AD1071" s="73" t="s">
        <v>3452</v>
      </c>
      <c r="AE1071" s="73" t="s">
        <v>3451</v>
      </c>
      <c r="AF1071" s="73" t="str">
        <f t="shared" si="114"/>
        <v>K628081</v>
      </c>
      <c r="AG1071" s="73" t="str">
        <f>VLOOKUP(AF1071,AKT!$C$4:$E$324,3,FALSE)</f>
        <v>0970</v>
      </c>
    </row>
    <row r="1072" spans="30:33">
      <c r="AD1072" s="73" t="s">
        <v>1185</v>
      </c>
      <c r="AE1072" s="73" t="s">
        <v>1186</v>
      </c>
      <c r="AF1072" s="73" t="str">
        <f t="shared" si="114"/>
        <v>K628087</v>
      </c>
      <c r="AG1072" s="73" t="str">
        <f>VLOOKUP(AF1072,AKT!$C$4:$E$324,3,FALSE)</f>
        <v>0133</v>
      </c>
    </row>
    <row r="1073" spans="30:33">
      <c r="AD1073" s="73" t="s">
        <v>1187</v>
      </c>
      <c r="AE1073" s="73" t="s">
        <v>1188</v>
      </c>
      <c r="AF1073" s="73" t="str">
        <f t="shared" si="114"/>
        <v>K628087</v>
      </c>
      <c r="AG1073" s="73" t="str">
        <f>VLOOKUP(AF1073,AKT!$C$4:$E$324,3,FALSE)</f>
        <v>0133</v>
      </c>
    </row>
    <row r="1074" spans="30:33">
      <c r="AD1074" s="73" t="s">
        <v>1189</v>
      </c>
      <c r="AE1074" s="73" t="s">
        <v>1190</v>
      </c>
      <c r="AF1074" s="73" t="str">
        <f t="shared" si="114"/>
        <v>K848038</v>
      </c>
      <c r="AG1074" s="73" t="str">
        <f>VLOOKUP(AF1074,AKT!$C$4:$E$324,3,FALSE)</f>
        <v>0950</v>
      </c>
    </row>
    <row r="1075" spans="30:33">
      <c r="AD1075" s="73" t="s">
        <v>1191</v>
      </c>
      <c r="AE1075" s="73" t="s">
        <v>1192</v>
      </c>
      <c r="AF1075" s="73" t="str">
        <f t="shared" si="114"/>
        <v>K848038</v>
      </c>
      <c r="AG1075" s="73" t="str">
        <f>VLOOKUP(AF1075,AKT!$C$4:$E$324,3,FALSE)</f>
        <v>0950</v>
      </c>
    </row>
    <row r="1076" spans="30:33">
      <c r="AD1076" s="73" t="s">
        <v>1193</v>
      </c>
      <c r="AE1076" s="73" t="s">
        <v>1194</v>
      </c>
      <c r="AF1076" s="73" t="str">
        <f t="shared" si="114"/>
        <v>K848038</v>
      </c>
      <c r="AG1076" s="73" t="str">
        <f>VLOOKUP(AF1076,AKT!$C$4:$E$324,3,FALSE)</f>
        <v>0950</v>
      </c>
    </row>
    <row r="1077" spans="30:33">
      <c r="AD1077" s="73" t="s">
        <v>1195</v>
      </c>
      <c r="AE1077" s="73" t="s">
        <v>1196</v>
      </c>
      <c r="AF1077" s="73" t="str">
        <f t="shared" si="114"/>
        <v>K848038</v>
      </c>
      <c r="AG1077" s="73" t="str">
        <f>VLOOKUP(AF1077,AKT!$C$4:$E$324,3,FALSE)</f>
        <v>0950</v>
      </c>
    </row>
    <row r="1078" spans="30:33">
      <c r="AD1078" s="73" t="s">
        <v>1197</v>
      </c>
      <c r="AE1078" s="73" t="s">
        <v>1198</v>
      </c>
      <c r="AF1078" s="73" t="str">
        <f t="shared" si="114"/>
        <v>K848038</v>
      </c>
      <c r="AG1078" s="73" t="str">
        <f>VLOOKUP(AF1078,AKT!$C$4:$E$324,3,FALSE)</f>
        <v>0950</v>
      </c>
    </row>
    <row r="1079" spans="30:33">
      <c r="AD1079" s="73" t="s">
        <v>1199</v>
      </c>
      <c r="AE1079" s="73" t="s">
        <v>1200</v>
      </c>
      <c r="AF1079" s="73" t="str">
        <f t="shared" si="114"/>
        <v>K848038</v>
      </c>
      <c r="AG1079" s="73" t="str">
        <f>VLOOKUP(AF1079,AKT!$C$4:$E$324,3,FALSE)</f>
        <v>0950</v>
      </c>
    </row>
    <row r="1080" spans="30:33">
      <c r="AD1080" s="73" t="s">
        <v>3456</v>
      </c>
      <c r="AE1080" s="73" t="s">
        <v>1149</v>
      </c>
      <c r="AF1080" s="73" t="str">
        <f t="shared" si="114"/>
        <v>K733069</v>
      </c>
      <c r="AG1080" s="73" t="str">
        <f>VLOOKUP(AF1080,AKT!$C$4:$E$324,3,FALSE)</f>
        <v>0150</v>
      </c>
    </row>
    <row r="1081" spans="30:33">
      <c r="AD1081" s="73" t="s">
        <v>3457</v>
      </c>
      <c r="AE1081" s="73" t="s">
        <v>1151</v>
      </c>
      <c r="AF1081" s="73" t="str">
        <f t="shared" si="114"/>
        <v>K733069</v>
      </c>
      <c r="AG1081" s="73" t="str">
        <f>VLOOKUP(AF1081,AKT!$C$4:$E$324,3,FALSE)</f>
        <v>0150</v>
      </c>
    </row>
  </sheetData>
  <sheetProtection selectLockedCells="1"/>
  <autoFilter ref="A2:J23" xr:uid="{AC027303-4281-4F0C-A672-2B1787C8198D}">
    <filterColumn colId="4">
      <filters>
        <filter val="K679084"/>
      </filters>
    </filterColumn>
  </autoFilter>
  <sortState ref="AD7:AE239">
    <sortCondition ref="AD7"/>
  </sortState>
  <mergeCells count="1">
    <mergeCell ref="A1:B1"/>
  </mergeCells>
  <dataValidations count="9">
    <dataValidation type="list" allowBlank="1" showInputMessage="1" showErrorMessage="1" errorTitle="GREŠKA" error="Za unos odaberite vrijednost iz padajućeg izbornika!" prompt="Molimo odaberite vrijednost iz padajućeg izbornika!" sqref="A37:A38 A5:A10 A41:A49 A3 A12:A34 A52 A55:A57" xr:uid="{00000000-0002-0000-0300-000000000000}">
      <formula1>$U$7:$U$29</formula1>
    </dataValidation>
    <dataValidation type="list" allowBlank="1" showInputMessage="1" showErrorMessage="1" errorTitle="GREŠKA" error="Za unos odaberite vrijednost iz padajućeg izbornika!" prompt="Molimo odaberite vrijednost iz padajućeg izbornika!" sqref="C35:C42 C46:C51 C53:C54 C58:C492" xr:uid="{00000000-0002-0000-0300-000001000000}">
      <formula1>$X$6:$X$120</formula1>
    </dataValidation>
    <dataValidation type="list" allowBlank="1" showInputMessage="1" showErrorMessage="1" errorTitle="GREŠKA" error="Za unos odaberite vrijednost iz padajućeg izbornika!" prompt="Molimo odaberite vrijednost iz padajućeg izbornika!" sqref="A35:A36 A39:A40 A50:A51 A53:A54 A58:A492" xr:uid="{00000000-0002-0000-0300-000002000000}">
      <formula1>$U$7:$U$21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5:E42 E46:E51 E53:E54 E58:E492" xr:uid="{00000000-0002-0000-0300-000003000000}">
      <formula1>$AD$7:$AD$1081</formula1>
    </dataValidation>
    <dataValidation type="list" allowBlank="1" showInputMessage="1" showErrorMessage="1" errorTitle="GREŠKA" error="Za unos odaberite vrijednost iz padajućeg izbornika!" prompt="Molimo odaberite vrijednost iz padajućeg izbornika!" sqref="C29:C34 C55:C57 C43:C45 C52 C3:C27" xr:uid="{00000000-0002-0000-0300-000004000000}">
      <formula1>$X$6:$X$125</formula1>
    </dataValidation>
    <dataValidation type="list" allowBlank="1" showInputMessage="1" showErrorMessage="1" errorTitle="GREŠKA" error="Za unos odaberite vrijednost iz padajućeg izbornika!" prompt="Molimo odaberite vrijednost iz padajućeg izbornika!" sqref="C28" xr:uid="{00000000-0002-0000-0300-000005000000}">
      <formula1>$V$6:$V$123</formula1>
    </dataValidation>
    <dataValidation type="list" allowBlank="1" showInputMessage="1" showErrorMessage="1" errorTitle="GREŠKA" error="Za unos odaberite vrijednost iz padajućeg izbornika!" prompt="Molimo odaberite vrijednost iz padajućeg izbornika!" sqref="A11 A4" xr:uid="{00000000-0002-0000-0300-000006000000}">
      <formula1>$S$7:$S$27</formula1>
    </dataValidation>
    <dataValidation type="whole" allowBlank="1" showInputMessage="1" showErrorMessage="1" errorTitle="GREŠKA" error="U ovo polje je dozvoljen unos samo brojčanih vrijednosti (bez decimala!)" sqref="J3:J492 H3:H492" xr:uid="{00000000-0002-0000-0300-000007000000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34 E43:E45 E52 E55:E57" xr:uid="{00000000-0002-0000-0300-000008000000}">
      <formula1>$AD$7:$AD$1086</formula1>
    </dataValidation>
  </dataValidations>
  <pageMargins left="0.11811023622047245" right="0.11811023622047245" top="0.15748031496062992" bottom="0.15748031496062992" header="0.31496062992125984" footer="0.31496062992125984"/>
  <pageSetup paperSize="9" scale="7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9000000}">
          <x14:formula1>
            <xm:f>IF(OR(C3=3691,C3=3692,C3=3693,C3=3694),'KORISNICI DP'!$D$4:$D$614,$M$1)</xm:f>
          </x14:formula1>
          <xm:sqref>P3:P492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6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32" sqref="G32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94" t="s">
        <v>5073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1" ht="15.6" customHeight="1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</row>
    <row r="3" spans="1:21" ht="15.6" customHeight="1">
      <c r="A3" s="394" t="s">
        <v>5074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</row>
    <row r="4" spans="1:21" ht="15.6" customHeight="1">
      <c r="A4" s="394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</row>
    <row r="5" spans="1:21" ht="15.6" customHeight="1">
      <c r="A5" s="394" t="s">
        <v>5098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</row>
    <row r="6" spans="1:21" s="38" customFormat="1" ht="15">
      <c r="A6" s="37"/>
      <c r="B6" s="37"/>
      <c r="C6" s="37"/>
      <c r="R6" s="39"/>
      <c r="U6" s="291" t="s">
        <v>5246</v>
      </c>
    </row>
    <row r="7" spans="1:21" s="38" customFormat="1" ht="89.25">
      <c r="A7" s="40" t="s">
        <v>233</v>
      </c>
      <c r="B7" s="40" t="s">
        <v>234</v>
      </c>
      <c r="C7" s="176" t="s">
        <v>235</v>
      </c>
      <c r="D7" s="134" t="s">
        <v>255</v>
      </c>
      <c r="E7" s="134" t="s">
        <v>247</v>
      </c>
      <c r="F7" s="135" t="s">
        <v>16</v>
      </c>
      <c r="G7" s="135" t="s">
        <v>1224</v>
      </c>
      <c r="H7" s="135" t="s">
        <v>17</v>
      </c>
      <c r="I7" s="135" t="s">
        <v>236</v>
      </c>
      <c r="J7" s="135" t="s">
        <v>237</v>
      </c>
      <c r="K7" s="135" t="s">
        <v>1225</v>
      </c>
      <c r="L7" s="135" t="s">
        <v>238</v>
      </c>
      <c r="M7" s="135" t="s">
        <v>239</v>
      </c>
      <c r="N7" s="135" t="s">
        <v>240</v>
      </c>
      <c r="O7" s="135" t="s">
        <v>1226</v>
      </c>
      <c r="P7" s="135" t="s">
        <v>1227</v>
      </c>
      <c r="Q7" s="135" t="s">
        <v>1702</v>
      </c>
      <c r="R7" s="41" t="s">
        <v>3011</v>
      </c>
      <c r="S7" s="135" t="s">
        <v>241</v>
      </c>
      <c r="T7" s="41" t="s">
        <v>242</v>
      </c>
      <c r="U7" s="41" t="s">
        <v>246</v>
      </c>
    </row>
    <row r="8" spans="1:21" s="38" customFormat="1" ht="20.25" customHeight="1">
      <c r="A8" s="327">
        <v>2024</v>
      </c>
      <c r="B8" s="327" t="s">
        <v>5260</v>
      </c>
      <c r="C8" s="60">
        <f>SUM(D8:U8)</f>
        <v>5835269</v>
      </c>
      <c r="D8" s="60">
        <f>+D30+D27</f>
        <v>3642136</v>
      </c>
      <c r="E8" s="60">
        <f>+E30+E27</f>
        <v>107688</v>
      </c>
      <c r="F8" s="60">
        <f>+F30+F27</f>
        <v>70400</v>
      </c>
      <c r="G8" s="60">
        <f t="shared" ref="G8:U8" si="0">+G30+G27</f>
        <v>0</v>
      </c>
      <c r="H8" s="60">
        <f t="shared" si="0"/>
        <v>650000</v>
      </c>
      <c r="I8" s="60">
        <f>+I30+I27</f>
        <v>0</v>
      </c>
      <c r="J8" s="60">
        <f t="shared" si="0"/>
        <v>365045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1000000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0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5077</v>
      </c>
      <c r="B9" s="57" t="s">
        <v>5076</v>
      </c>
      <c r="C9" s="27">
        <f t="shared" ref="C9:C29" si="1">SUM(D9:U9)</f>
        <v>0</v>
      </c>
      <c r="D9" s="115">
        <f>SUMIFS('Unos prihoda i primitaka'!$G$3:$G$501,'Unos prihoda i primitaka'!$C$3:$C$501,"=11",'Unos prihoda i primitaka'!$L$3:$L$501,"=61")</f>
        <v>0</v>
      </c>
      <c r="E9" s="115">
        <f>SUMIFS('Unos prihoda i primitaka'!$G$3:$G$501,'Unos prihoda i primitaka'!$C$3:$C$501,"=12",'Unos prihoda i primitaka'!$L$3:$L$501,"=61")</f>
        <v>0</v>
      </c>
      <c r="F9" s="115">
        <f>SUMIFS('Unos prihoda i primitaka'!$G$3:$G$501,'Unos prihoda i primitaka'!$C$3:$C$501,"=31",'Unos prihoda i primitaka'!$L$3:$L$501,"=61")</f>
        <v>0</v>
      </c>
      <c r="G9" s="115">
        <f>SUMIFS('Unos prihoda i primitaka'!$G$3:$G$501,'Unos prihoda i primitaka'!$C$3:$C$501,"=41",'Unos prihoda i primitaka'!$L$3:$L$501,"=61")</f>
        <v>0</v>
      </c>
      <c r="H9" s="115">
        <f>SUMIFS('Unos prihoda i primitaka'!$G$3:$G$501,'Unos prihoda i primitaka'!$C$3:$C$501,"=43",'Unos prihoda i primitaka'!$L$3:$L$501,"=61")</f>
        <v>0</v>
      </c>
      <c r="I9" s="115">
        <f>SUMIFS('Unos prihoda i primitaka'!$G$3:$G$501,'Unos prihoda i primitaka'!$C$3:$C$501,"=51",'Unos prihoda i primitaka'!$L$3:$L$501,"=61")</f>
        <v>0</v>
      </c>
      <c r="J9" s="115">
        <f>SUMIFS('Unos prihoda i primitaka'!$G$3:$G$501,'Unos prihoda i primitaka'!$C$3:$C$501,"=52",'Unos prihoda i primitaka'!$L$3:$L$501,"=61")</f>
        <v>0</v>
      </c>
      <c r="K9" s="115">
        <f>SUMIFS('Unos prihoda i primitaka'!$G$3:$G$501,'Unos prihoda i primitaka'!$C$3:$C$501,"=552",'Unos prihoda i primitaka'!$L$3:$L$501,"=61")</f>
        <v>0</v>
      </c>
      <c r="L9" s="115">
        <f>SUMIFS('Unos prihoda i primitaka'!$G$3:$G$501,'Unos prihoda i primitaka'!$C$3:$C$501,"=559",'Unos prihoda i primitaka'!$L$3:$L$501,"=61")</f>
        <v>0</v>
      </c>
      <c r="M9" s="115">
        <f>SUMIFS('Unos prihoda i primitaka'!$G$3:$G$501,'Unos prihoda i primitaka'!$C$3:$C$501,"=561",'Unos prihoda i primitaka'!$L$3:$L$501,"=61")</f>
        <v>0</v>
      </c>
      <c r="N9" s="115">
        <f>SUMIFS('Unos prihoda i primitaka'!$G$3:$G$501,'Unos prihoda i primitaka'!$C$3:$C$501,"=563",'Unos prihoda i primitaka'!$L$3:$L$501,"=61")</f>
        <v>0</v>
      </c>
      <c r="O9" s="115">
        <f>SUMIFS('Unos prihoda i primitaka'!$G$3:$G$501,'Unos prihoda i primitaka'!$C$3:$C$501,"=573",'Unos prihoda i primitaka'!$L$3:$L$501,"=61")</f>
        <v>0</v>
      </c>
      <c r="P9" s="115">
        <f>SUMIFS('Unos prihoda i primitaka'!$G$3:$G$501,'Unos prihoda i primitaka'!$C$3:$C$501,"=575",'Unos prihoda i primitaka'!$L$3:$L$501,"=61")</f>
        <v>0</v>
      </c>
      <c r="Q9" s="115">
        <f>SUMIFS('Unos prihoda i primitaka'!$G$3:$G$501,'Unos prihoda i primitaka'!$C$3:$C$501,"=576",'Unos prihoda i primitaka'!$L$3:$L$501,"=61")</f>
        <v>0</v>
      </c>
      <c r="R9" s="115">
        <f>SUMIFS('Unos prihoda i primitaka'!$G$3:$G$501,'Unos prihoda i primitaka'!$C$3:$C$501,"=581",'Unos prihoda i primitaka'!$L$3:$L$501,"=61")</f>
        <v>0</v>
      </c>
      <c r="S9" s="115">
        <f>SUMIFS('Unos prihoda i primitaka'!$G$3:$G$501,'Unos prihoda i primitaka'!$C$3:$C$501,"=61",'Unos prihoda i primitaka'!$L$3:$L$501,"=61")</f>
        <v>0</v>
      </c>
      <c r="T9" s="115">
        <f>SUMIFS('Unos prihoda i primitaka'!$G$3:$G$501,'Unos prihoda i primitaka'!$C$3:$C$501,"=63",'Unos prihoda i primitaka'!$L$3:$L$501,"=61")</f>
        <v>0</v>
      </c>
      <c r="U9" s="115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5079</v>
      </c>
      <c r="B10" s="57" t="s">
        <v>5078</v>
      </c>
      <c r="C10" s="27">
        <f t="shared" si="1"/>
        <v>1365045</v>
      </c>
      <c r="D10" s="115">
        <f>SUMIFS('Unos prihoda i primitaka'!$G$3:$G$501,'Unos prihoda i primitaka'!$C$3:$C$501,"=11",'Unos prihoda i primitaka'!$L$3:$L$501,"=63")</f>
        <v>0</v>
      </c>
      <c r="E10" s="115">
        <f>SUMIFS('Unos prihoda i primitaka'!$G$3:$G$501,'Unos prihoda i primitaka'!$C$3:$C$501,"=12",'Unos prihoda i primitaka'!$L$3:$L$501,"=63")</f>
        <v>0</v>
      </c>
      <c r="F10" s="375">
        <f>SUMIFS('Unos prihoda i primitaka'!$G$3:$G$501,'Unos prihoda i primitaka'!$C$3:$C$501,"=31",'Unos prihoda i primitaka'!$L$3:$L$501,"=63")</f>
        <v>0</v>
      </c>
      <c r="G10" s="375">
        <f>SUMIFS('Unos prihoda i primitaka'!$G$3:$G$501,'Unos prihoda i primitaka'!$C$3:$C$501,"=41",'Unos prihoda i primitaka'!$L$3:$L$501,"=63")</f>
        <v>0</v>
      </c>
      <c r="H10" s="375">
        <f>SUMIFS('Unos prihoda i primitaka'!$G$3:$G$501,'Unos prihoda i primitaka'!$C$3:$C$501,"=43",'Unos prihoda i primitaka'!$L$3:$L$501,"=63")</f>
        <v>0</v>
      </c>
      <c r="I10" s="375">
        <f>SUMIFS('Unos prihoda i primitaka'!$G$3:$G$501,'Unos prihoda i primitaka'!$C$3:$C$501,"=51",'Unos prihoda i primitaka'!$L$3:$L$501,"=63")</f>
        <v>0</v>
      </c>
      <c r="J10" s="375">
        <f>SUMIFS('Unos prihoda i primitaka'!$G$3:$G$501,'Unos prihoda i primitaka'!$C$3:$C$501,"=52",'Unos prihoda i primitaka'!$L$3:$L$501,"=63")</f>
        <v>365045</v>
      </c>
      <c r="K10" s="375">
        <f>SUMIFS('Unos prihoda i primitaka'!$G$3:$G$501,'Unos prihoda i primitaka'!$C$3:$C$501,"=552",'Unos prihoda i primitaka'!$L$3:$L$501,"=63")</f>
        <v>0</v>
      </c>
      <c r="L10" s="375">
        <f>SUMIFS('Unos prihoda i primitaka'!$G$3:$G$501,'Unos prihoda i primitaka'!$C$3:$C$501,"=559",'Unos prihoda i primitaka'!$L$3:$L$501,"=63")</f>
        <v>0</v>
      </c>
      <c r="M10" s="375">
        <f>SUMIFS('Unos prihoda i primitaka'!$G$3:$G$501,'Unos prihoda i primitaka'!$C$3:$C$501,"=561",'Unos prihoda i primitaka'!$L$3:$L$501,"=63")</f>
        <v>0</v>
      </c>
      <c r="N10" s="375">
        <f>SUMIFS('Unos prihoda i primitaka'!$G$3:$G$501,'Unos prihoda i primitaka'!$C$3:$C$501,"=563",'Unos prihoda i primitaka'!$L$3:$L$501,"=63")</f>
        <v>1000000</v>
      </c>
      <c r="O10" s="115">
        <f>SUMIFS('Unos prihoda i primitaka'!$G$3:$G$501,'Unos prihoda i primitaka'!$C$3:$C$501,"=573",'Unos prihoda i primitaka'!$L$3:$L$501,"=63")</f>
        <v>0</v>
      </c>
      <c r="P10" s="115">
        <f>SUMIFS('Unos prihoda i primitaka'!$G$3:$G$501,'Unos prihoda i primitaka'!$C$3:$C$501,"=575",'Unos prihoda i primitaka'!$L$3:$L$501,"=63")</f>
        <v>0</v>
      </c>
      <c r="Q10" s="115">
        <f>SUMIFS('Unos prihoda i primitaka'!$G$3:$G$501,'Unos prihoda i primitaka'!$C$3:$C$501,"=576",'Unos prihoda i primitaka'!$L$3:$L$501,"=63")</f>
        <v>0</v>
      </c>
      <c r="R10" s="115">
        <f>SUMIFS('Unos prihoda i primitaka'!$G$3:$G$501,'Unos prihoda i primitaka'!$C$3:$C$501,"=581",'Unos prihoda i primitaka'!$L$3:$L$501,"=63")</f>
        <v>0</v>
      </c>
      <c r="S10" s="115">
        <f>SUMIFS('Unos prihoda i primitaka'!$G$3:$G$501,'Unos prihoda i primitaka'!$C$3:$C$501,"=61",'Unos prihoda i primitaka'!$L$3:$L$501,"=63")</f>
        <v>0</v>
      </c>
      <c r="T10" s="115">
        <f>SUMIFS('Unos prihoda i primitaka'!$G$3:$G$501,'Unos prihoda i primitaka'!$C$3:$C$501,"=63",'Unos prihoda i primitaka'!$L$3:$L$501,"=63")</f>
        <v>0</v>
      </c>
      <c r="U10" s="115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15"/>
      <c r="E11" s="115"/>
      <c r="F11" s="375"/>
      <c r="G11" s="375"/>
      <c r="H11" s="375"/>
      <c r="I11" s="375"/>
      <c r="J11" s="375"/>
      <c r="K11" s="375"/>
      <c r="L11" s="375"/>
      <c r="M11" s="375"/>
      <c r="N11" s="375"/>
      <c r="O11" s="115"/>
      <c r="P11" s="115"/>
      <c r="Q11" s="115"/>
      <c r="R11" s="115"/>
      <c r="S11" s="115"/>
      <c r="T11" s="115"/>
      <c r="U11" s="115"/>
    </row>
    <row r="12" spans="1:21" s="38" customFormat="1" ht="12.75" customHeight="1">
      <c r="A12" s="44"/>
      <c r="B12" s="57"/>
      <c r="C12" s="27"/>
      <c r="D12" s="115"/>
      <c r="E12" s="115"/>
      <c r="F12" s="375"/>
      <c r="G12" s="375"/>
      <c r="H12" s="375"/>
      <c r="I12" s="375"/>
      <c r="J12" s="375"/>
      <c r="K12" s="375"/>
      <c r="L12" s="375"/>
      <c r="M12" s="375"/>
      <c r="N12" s="375"/>
      <c r="O12" s="115"/>
      <c r="P12" s="115"/>
      <c r="Q12" s="115"/>
      <c r="R12" s="115"/>
      <c r="S12" s="115"/>
      <c r="T12" s="115"/>
      <c r="U12" s="115"/>
    </row>
    <row r="13" spans="1:21" s="38" customFormat="1" ht="12.75" customHeight="1">
      <c r="A13" s="44"/>
      <c r="B13" s="57"/>
      <c r="C13" s="27"/>
      <c r="D13" s="115"/>
      <c r="E13" s="115"/>
      <c r="F13" s="375"/>
      <c r="G13" s="375"/>
      <c r="H13" s="375"/>
      <c r="I13" s="375"/>
      <c r="J13" s="375"/>
      <c r="K13" s="375"/>
      <c r="L13" s="375"/>
      <c r="M13" s="375"/>
      <c r="N13" s="375"/>
      <c r="O13" s="115"/>
      <c r="P13" s="115"/>
      <c r="Q13" s="115"/>
      <c r="R13" s="115"/>
      <c r="S13" s="115"/>
      <c r="T13" s="115"/>
      <c r="U13" s="115"/>
    </row>
    <row r="14" spans="1:21" s="38" customFormat="1">
      <c r="A14" s="42" t="s">
        <v>5081</v>
      </c>
      <c r="B14" s="43" t="s">
        <v>5080</v>
      </c>
      <c r="C14" s="27">
        <f t="shared" si="1"/>
        <v>400</v>
      </c>
      <c r="D14" s="115">
        <f>SUMIFS('Unos prihoda i primitaka'!$G$3:$G$501,'Unos prihoda i primitaka'!$C$3:$C$501,"=11",'Unos prihoda i primitaka'!$L$3:$L$501,"=64")</f>
        <v>0</v>
      </c>
      <c r="E14" s="115">
        <f>SUMIFS('Unos prihoda i primitaka'!$G$3:$G$501,'Unos prihoda i primitaka'!$C$3:$C$501,"=12",'Unos prihoda i primitaka'!$L$3:$L$501,"=64")</f>
        <v>0</v>
      </c>
      <c r="F14" s="375">
        <f>SUMIFS('Unos prihoda i primitaka'!$G$3:$G$501,'Unos prihoda i primitaka'!$C$3:$C$501,"=31",'Unos prihoda i primitaka'!$L$3:$L$501,"=64")</f>
        <v>400</v>
      </c>
      <c r="G14" s="375">
        <f>SUMIFS('Unos prihoda i primitaka'!$G$3:$G$501,'Unos prihoda i primitaka'!$C$3:$C$501,"=41",'Unos prihoda i primitaka'!$L$3:$L$501,"=64")</f>
        <v>0</v>
      </c>
      <c r="H14" s="375">
        <f>SUMIFS('Unos prihoda i primitaka'!$G$3:$G$501,'Unos prihoda i primitaka'!$C$3:$C$501,"=43",'Unos prihoda i primitaka'!$L$3:$L$501,"=64")</f>
        <v>0</v>
      </c>
      <c r="I14" s="375">
        <f>SUMIFS('Unos prihoda i primitaka'!$G$3:$G$501,'Unos prihoda i primitaka'!$C$3:$C$501,"=51",'Unos prihoda i primitaka'!$L$3:$L$501,"=64")</f>
        <v>0</v>
      </c>
      <c r="J14" s="375">
        <f>SUMIFS('Unos prihoda i primitaka'!$G$3:$G$501,'Unos prihoda i primitaka'!$C$3:$C$501,"=52",'Unos prihoda i primitaka'!$L$3:$L$501,"=64")</f>
        <v>0</v>
      </c>
      <c r="K14" s="375">
        <f>SUMIFS('Unos prihoda i primitaka'!$G$3:$G$501,'Unos prihoda i primitaka'!$C$3:$C$501,"=552",'Unos prihoda i primitaka'!$L$3:$L$501,"=64")</f>
        <v>0</v>
      </c>
      <c r="L14" s="375">
        <f>SUMIFS('Unos prihoda i primitaka'!$G$3:$G$501,'Unos prihoda i primitaka'!$C$3:$C$501,"=559",'Unos prihoda i primitaka'!$L$3:$L$501,"=64")</f>
        <v>0</v>
      </c>
      <c r="M14" s="375">
        <f>SUMIFS('Unos prihoda i primitaka'!$G$3:$G$501,'Unos prihoda i primitaka'!$C$3:$C$501,"=561",'Unos prihoda i primitaka'!$L$3:$L$501,"=64")</f>
        <v>0</v>
      </c>
      <c r="N14" s="375">
        <f>SUMIFS('Unos prihoda i primitaka'!$G$3:$G$501,'Unos prihoda i primitaka'!$C$3:$C$501,"=563",'Unos prihoda i primitaka'!$L$3:$L$501,"=64")</f>
        <v>0</v>
      </c>
      <c r="O14" s="115">
        <f>SUMIFS('Unos prihoda i primitaka'!$G$3:$G$501,'Unos prihoda i primitaka'!$C$3:$C$501,"=573",'Unos prihoda i primitaka'!$L$3:$L$501,"=64")</f>
        <v>0</v>
      </c>
      <c r="P14" s="115">
        <f>SUMIFS('Unos prihoda i primitaka'!$G$3:$G$501,'Unos prihoda i primitaka'!$C$3:$C$501,"=575",'Unos prihoda i primitaka'!$L$3:$L$501,"=64")</f>
        <v>0</v>
      </c>
      <c r="Q14" s="115">
        <f>SUMIFS('Unos prihoda i primitaka'!$G$3:$G$501,'Unos prihoda i primitaka'!$C$3:$C$501,"=576",'Unos prihoda i primitaka'!$L$3:$L$501,"=64")</f>
        <v>0</v>
      </c>
      <c r="R14" s="115">
        <f>SUMIFS('Unos prihoda i primitaka'!$G$3:$G$501,'Unos prihoda i primitaka'!$C$3:$C$501,"=581",'Unos prihoda i primitaka'!$L$3:$L$501,"=64")</f>
        <v>0</v>
      </c>
      <c r="S14" s="115">
        <f>SUMIFS('Unos prihoda i primitaka'!$G$3:$G$501,'Unos prihoda i primitaka'!$C$3:$C$501,"=61",'Unos prihoda i primitaka'!$L$3:$L$501,"=64")</f>
        <v>0</v>
      </c>
      <c r="T14" s="115">
        <f>SUMIFS('Unos prihoda i primitaka'!$G$3:$G$501,'Unos prihoda i primitaka'!$C$3:$C$501,"=63",'Unos prihoda i primitaka'!$L$3:$L$501,"=64")</f>
        <v>0</v>
      </c>
      <c r="U14" s="115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15"/>
      <c r="E15" s="115"/>
      <c r="F15" s="375"/>
      <c r="G15" s="375"/>
      <c r="H15" s="375"/>
      <c r="I15" s="375"/>
      <c r="J15" s="375"/>
      <c r="K15" s="375"/>
      <c r="L15" s="375"/>
      <c r="M15" s="375"/>
      <c r="N15" s="375"/>
      <c r="O15" s="115"/>
      <c r="P15" s="115"/>
      <c r="Q15" s="115"/>
      <c r="R15" s="115"/>
      <c r="S15" s="115"/>
      <c r="T15" s="115"/>
      <c r="U15" s="115"/>
    </row>
    <row r="16" spans="1:21" s="38" customFormat="1">
      <c r="A16" s="42"/>
      <c r="B16" s="43"/>
      <c r="C16" s="27"/>
      <c r="D16" s="115"/>
      <c r="E16" s="115"/>
      <c r="F16" s="375"/>
      <c r="G16" s="375"/>
      <c r="H16" s="375"/>
      <c r="I16" s="375"/>
      <c r="J16" s="375"/>
      <c r="K16" s="375"/>
      <c r="L16" s="375"/>
      <c r="M16" s="375"/>
      <c r="N16" s="375"/>
      <c r="O16" s="115"/>
      <c r="P16" s="115"/>
      <c r="Q16" s="115"/>
      <c r="R16" s="115"/>
      <c r="S16" s="115"/>
      <c r="T16" s="115"/>
      <c r="U16" s="115"/>
    </row>
    <row r="17" spans="1:21" s="38" customFormat="1" ht="25.5">
      <c r="A17" s="42" t="s">
        <v>5082</v>
      </c>
      <c r="B17" s="43" t="s">
        <v>5083</v>
      </c>
      <c r="C17" s="27">
        <f t="shared" si="1"/>
        <v>650000</v>
      </c>
      <c r="D17" s="115">
        <f>SUMIFS('Unos prihoda i primitaka'!$G$3:$G$501,'Unos prihoda i primitaka'!$C$3:$C$501,"=11",'Unos prihoda i primitaka'!$L$3:$L$501,"=65")</f>
        <v>0</v>
      </c>
      <c r="E17" s="115">
        <f>SUMIFS('Unos prihoda i primitaka'!$G$3:$G$501,'Unos prihoda i primitaka'!$C$3:$C$501,"=12",'Unos prihoda i primitaka'!$L$3:$L$501,"=65")</f>
        <v>0</v>
      </c>
      <c r="F17" s="375">
        <f>SUMIFS('Unos prihoda i primitaka'!$G$3:$G$501,'Unos prihoda i primitaka'!$C$3:$C$501,"=31",'Unos prihoda i primitaka'!$L$3:$L$501,"=65")</f>
        <v>0</v>
      </c>
      <c r="G17" s="375">
        <f>SUMIFS('Unos prihoda i primitaka'!$G$3:$G$501,'Unos prihoda i primitaka'!$C$3:$C$501,"=41",'Unos prihoda i primitaka'!$L$3:$L$501,"=65")</f>
        <v>0</v>
      </c>
      <c r="H17" s="375">
        <f>SUMIFS('Unos prihoda i primitaka'!$G$3:$G$501,'Unos prihoda i primitaka'!$C$3:$C$501,"=43",'Unos prihoda i primitaka'!$L$3:$L$501,"=65")</f>
        <v>650000</v>
      </c>
      <c r="I17" s="375">
        <f>SUMIFS('Unos prihoda i primitaka'!$G$3:$G$501,'Unos prihoda i primitaka'!$C$3:$C$501,"=51",'Unos prihoda i primitaka'!$L$3:$L$501,"=65")</f>
        <v>0</v>
      </c>
      <c r="J17" s="375">
        <f>SUMIFS('Unos prihoda i primitaka'!$G$3:$G$501,'Unos prihoda i primitaka'!$C$3:$C$501,"=52",'Unos prihoda i primitaka'!$L$3:$L$501,"=65")</f>
        <v>0</v>
      </c>
      <c r="K17" s="375">
        <f>SUMIFS('Unos prihoda i primitaka'!$G$3:$G$501,'Unos prihoda i primitaka'!$C$3:$C$501,"=552",'Unos prihoda i primitaka'!$L$3:$L$501,"=65")</f>
        <v>0</v>
      </c>
      <c r="L17" s="375">
        <f>SUMIFS('Unos prihoda i primitaka'!$G$3:$G$501,'Unos prihoda i primitaka'!$C$3:$C$501,"=559",'Unos prihoda i primitaka'!$L$3:$L$501,"=65")</f>
        <v>0</v>
      </c>
      <c r="M17" s="375">
        <f>SUMIFS('Unos prihoda i primitaka'!$G$3:$G$501,'Unos prihoda i primitaka'!$C$3:$C$501,"=561",'Unos prihoda i primitaka'!$L$3:$L$501,"=65")</f>
        <v>0</v>
      </c>
      <c r="N17" s="375">
        <f>SUMIFS('Unos prihoda i primitaka'!$G$3:$G$501,'Unos prihoda i primitaka'!$C$3:$C$501,"=563",'Unos prihoda i primitaka'!$L$3:$L$501,"=65")</f>
        <v>0</v>
      </c>
      <c r="O17" s="115">
        <f>SUMIFS('Unos prihoda i primitaka'!$G$3:$G$501,'Unos prihoda i primitaka'!$C$3:$C$501,"=573",'Unos prihoda i primitaka'!$L$3:$L$501,"=65")</f>
        <v>0</v>
      </c>
      <c r="P17" s="115">
        <f>SUMIFS('Unos prihoda i primitaka'!$G$3:$G$501,'Unos prihoda i primitaka'!$C$3:$C$501,"=575",'Unos prihoda i primitaka'!$L$3:$L$501,"=65")</f>
        <v>0</v>
      </c>
      <c r="Q17" s="115">
        <f>SUMIFS('Unos prihoda i primitaka'!$G$3:$G$501,'Unos prihoda i primitaka'!$C$3:$C$501,"=576",'Unos prihoda i primitaka'!$L$3:$L$501,"=65")</f>
        <v>0</v>
      </c>
      <c r="R17" s="115">
        <f>SUMIFS('Unos prihoda i primitaka'!$G$3:$G$501,'Unos prihoda i primitaka'!$C$3:$C$501,"=581",'Unos prihoda i primitaka'!$L$3:$L$501,"=65")</f>
        <v>0</v>
      </c>
      <c r="S17" s="115">
        <f>SUMIFS('Unos prihoda i primitaka'!$G$3:$G$501,'Unos prihoda i primitaka'!$C$3:$C$501,"=61",'Unos prihoda i primitaka'!$L$3:$L$501,"=65")</f>
        <v>0</v>
      </c>
      <c r="T17" s="115">
        <f>SUMIFS('Unos prihoda i primitaka'!$G$3:$G$501,'Unos prihoda i primitaka'!$C$3:$C$501,"=63",'Unos prihoda i primitaka'!$L$3:$L$501,"=65")</f>
        <v>0</v>
      </c>
      <c r="U17" s="115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15"/>
      <c r="E18" s="115"/>
      <c r="F18" s="375"/>
      <c r="G18" s="375"/>
      <c r="H18" s="375"/>
      <c r="I18" s="375"/>
      <c r="J18" s="375"/>
      <c r="K18" s="375"/>
      <c r="L18" s="375"/>
      <c r="M18" s="375"/>
      <c r="N18" s="375"/>
      <c r="O18" s="115"/>
      <c r="P18" s="115"/>
      <c r="Q18" s="115"/>
      <c r="R18" s="115"/>
      <c r="S18" s="115"/>
      <c r="T18" s="115"/>
      <c r="U18" s="115"/>
    </row>
    <row r="19" spans="1:21" s="38" customFormat="1">
      <c r="A19" s="42"/>
      <c r="B19" s="43"/>
      <c r="C19" s="27"/>
      <c r="D19" s="115"/>
      <c r="E19" s="115"/>
      <c r="F19" s="375"/>
      <c r="G19" s="375"/>
      <c r="H19" s="375"/>
      <c r="I19" s="375"/>
      <c r="J19" s="375"/>
      <c r="K19" s="375"/>
      <c r="L19" s="375"/>
      <c r="M19" s="375"/>
      <c r="N19" s="375"/>
      <c r="O19" s="115"/>
      <c r="P19" s="115"/>
      <c r="Q19" s="115"/>
      <c r="R19" s="115"/>
      <c r="S19" s="115"/>
      <c r="T19" s="115"/>
      <c r="U19" s="115"/>
    </row>
    <row r="20" spans="1:21" s="38" customFormat="1">
      <c r="A20" s="42"/>
      <c r="B20" s="43"/>
      <c r="C20" s="27"/>
      <c r="D20" s="115"/>
      <c r="E20" s="115"/>
      <c r="F20" s="375"/>
      <c r="G20" s="375"/>
      <c r="H20" s="375"/>
      <c r="I20" s="375"/>
      <c r="J20" s="375"/>
      <c r="K20" s="375"/>
      <c r="L20" s="375"/>
      <c r="M20" s="375"/>
      <c r="N20" s="375"/>
      <c r="O20" s="115"/>
      <c r="P20" s="115"/>
      <c r="Q20" s="115"/>
      <c r="R20" s="115"/>
      <c r="S20" s="115"/>
      <c r="T20" s="115"/>
      <c r="U20" s="115"/>
    </row>
    <row r="21" spans="1:21" s="38" customFormat="1" ht="25.5">
      <c r="A21" s="132" t="s">
        <v>5085</v>
      </c>
      <c r="B21" s="43" t="s">
        <v>5084</v>
      </c>
      <c r="C21" s="27">
        <f t="shared" si="1"/>
        <v>70000</v>
      </c>
      <c r="D21" s="115">
        <f>SUMIFS('Unos prihoda i primitaka'!$G$3:$G$501,'Unos prihoda i primitaka'!$C$3:$C$501,"=11",'Unos prihoda i primitaka'!$L$3:$L$501,"=66")</f>
        <v>0</v>
      </c>
      <c r="E21" s="115">
        <f>SUMIFS('Unos prihoda i primitaka'!$G$3:$G$501,'Unos prihoda i primitaka'!$C$3:$C$501,"=12",'Unos prihoda i primitaka'!$L$3:$L$501,"=66")</f>
        <v>0</v>
      </c>
      <c r="F21" s="375">
        <f>SUMIFS('Unos prihoda i primitaka'!$G$3:$G$501,'Unos prihoda i primitaka'!$C$3:$C$501,"=31",'Unos prihoda i primitaka'!$L$3:$L$501,"=66")</f>
        <v>70000</v>
      </c>
      <c r="G21" s="375">
        <f>SUMIFS('Unos prihoda i primitaka'!$G$3:$G$501,'Unos prihoda i primitaka'!$C$3:$C$501,"=41",'Unos prihoda i primitaka'!$L$3:$L$501,"=66")</f>
        <v>0</v>
      </c>
      <c r="H21" s="375">
        <f>SUMIFS('Unos prihoda i primitaka'!$G$3:$G$501,'Unos prihoda i primitaka'!$C$3:$C$501,"=43",'Unos prihoda i primitaka'!$L$3:$L$501,"=66")</f>
        <v>0</v>
      </c>
      <c r="I21" s="375">
        <f>SUMIFS('Unos prihoda i primitaka'!$G$3:$G$501,'Unos prihoda i primitaka'!$C$3:$C$501,"=51",'Unos prihoda i primitaka'!$L$3:$L$501,"=66")</f>
        <v>0</v>
      </c>
      <c r="J21" s="375">
        <f>SUMIFS('Unos prihoda i primitaka'!$G$3:$G$501,'Unos prihoda i primitaka'!$C$3:$C$501,"=52",'Unos prihoda i primitaka'!$L$3:$L$501,"=66")</f>
        <v>0</v>
      </c>
      <c r="K21" s="375">
        <f>SUMIFS('Unos prihoda i primitaka'!$G$3:$G$501,'Unos prihoda i primitaka'!$C$3:$C$501,"=552",'Unos prihoda i primitaka'!$L$3:$L$501,"=66")</f>
        <v>0</v>
      </c>
      <c r="L21" s="375">
        <f>SUMIFS('Unos prihoda i primitaka'!$G$3:$G$501,'Unos prihoda i primitaka'!$C$3:$C$501,"=559",'Unos prihoda i primitaka'!$L$3:$L$501,"=66")</f>
        <v>0</v>
      </c>
      <c r="M21" s="375">
        <f>SUMIFS('Unos prihoda i primitaka'!$G$3:$G$501,'Unos prihoda i primitaka'!$C$3:$C$501,"=561",'Unos prihoda i primitaka'!$L$3:$L$501,"=66")</f>
        <v>0</v>
      </c>
      <c r="N21" s="375">
        <f>SUMIFS('Unos prihoda i primitaka'!$G$3:$G$501,'Unos prihoda i primitaka'!$C$3:$C$501,"=563",'Unos prihoda i primitaka'!$L$3:$L$501,"=66")</f>
        <v>0</v>
      </c>
      <c r="O21" s="115">
        <f>SUMIFS('Unos prihoda i primitaka'!$G$3:$G$501,'Unos prihoda i primitaka'!$C$3:$C$501,"=573",'Unos prihoda i primitaka'!$L$3:$L$501,"=66")</f>
        <v>0</v>
      </c>
      <c r="P21" s="115">
        <f>SUMIFS('Unos prihoda i primitaka'!$G$3:$G$501,'Unos prihoda i primitaka'!$C$3:$C$501,"=575",'Unos prihoda i primitaka'!$L$3:$L$501,"=66")</f>
        <v>0</v>
      </c>
      <c r="Q21" s="115">
        <f>SUMIFS('Unos prihoda i primitaka'!$G$3:$G$501,'Unos prihoda i primitaka'!$C$3:$C$501,"=576",'Unos prihoda i primitaka'!$L$3:$L$501,"=66")</f>
        <v>0</v>
      </c>
      <c r="R21" s="115">
        <f>SUMIFS('Unos prihoda i primitaka'!$G$3:$G$501,'Unos prihoda i primitaka'!$C$3:$C$501,"=581",'Unos prihoda i primitaka'!$L$3:$L$501,"=66")</f>
        <v>0</v>
      </c>
      <c r="S21" s="115">
        <f>SUMIFS('Unos prihoda i primitaka'!$G$3:$G$501,'Unos prihoda i primitaka'!$C$3:$C$501,"=61",'Unos prihoda i primitaka'!$L$3:$L$501,"=66")</f>
        <v>0</v>
      </c>
      <c r="T21" s="115">
        <f>SUMIFS('Unos prihoda i primitaka'!$G$3:$G$501,'Unos prihoda i primitaka'!$C$3:$C$501,"=63",'Unos prihoda i primitaka'!$L$3:$L$501,"=66")</f>
        <v>0</v>
      </c>
      <c r="U21" s="115">
        <f>SUMIFS('Unos prihoda i primitaka'!$G$3:$G$501,'Unos prihoda i primitaka'!$C$3:$C$501,"=71",'Unos prihoda i primitaka'!$L$3:$L$501,"=66")</f>
        <v>0</v>
      </c>
    </row>
    <row r="22" spans="1:21" s="38" customFormat="1">
      <c r="A22" s="132"/>
      <c r="B22" s="43"/>
      <c r="C22" s="27"/>
      <c r="D22" s="115"/>
      <c r="E22" s="115"/>
      <c r="F22" s="375"/>
      <c r="G22" s="375"/>
      <c r="H22" s="375"/>
      <c r="I22" s="375"/>
      <c r="J22" s="375"/>
      <c r="K22" s="375"/>
      <c r="L22" s="375"/>
      <c r="M22" s="375"/>
      <c r="N22" s="375"/>
      <c r="O22" s="115"/>
      <c r="P22" s="115"/>
      <c r="Q22" s="115"/>
      <c r="R22" s="115"/>
      <c r="S22" s="115"/>
      <c r="T22" s="115"/>
      <c r="U22" s="115"/>
    </row>
    <row r="23" spans="1:21" s="38" customFormat="1">
      <c r="A23" s="132"/>
      <c r="B23" s="43"/>
      <c r="C23" s="27"/>
      <c r="D23" s="115"/>
      <c r="E23" s="115"/>
      <c r="F23" s="375"/>
      <c r="G23" s="375"/>
      <c r="H23" s="375"/>
      <c r="I23" s="375"/>
      <c r="J23" s="375"/>
      <c r="K23" s="375"/>
      <c r="L23" s="375"/>
      <c r="M23" s="375"/>
      <c r="N23" s="375"/>
      <c r="O23" s="115"/>
      <c r="P23" s="115"/>
      <c r="Q23" s="115"/>
      <c r="R23" s="115"/>
      <c r="S23" s="115"/>
      <c r="T23" s="115"/>
      <c r="U23" s="115"/>
    </row>
    <row r="24" spans="1:21" s="38" customFormat="1">
      <c r="A24" s="132"/>
      <c r="B24" s="43"/>
      <c r="C24" s="27"/>
      <c r="D24" s="115"/>
      <c r="E24" s="115"/>
      <c r="F24" s="375"/>
      <c r="G24" s="375"/>
      <c r="H24" s="375"/>
      <c r="I24" s="375"/>
      <c r="J24" s="375"/>
      <c r="K24" s="375"/>
      <c r="L24" s="375"/>
      <c r="M24" s="375"/>
      <c r="N24" s="375"/>
      <c r="O24" s="115"/>
      <c r="P24" s="115"/>
      <c r="Q24" s="115"/>
      <c r="R24" s="115"/>
      <c r="S24" s="115"/>
      <c r="T24" s="115"/>
      <c r="U24" s="115"/>
    </row>
    <row r="25" spans="1:21" s="38" customFormat="1">
      <c r="A25" s="42" t="s">
        <v>5088</v>
      </c>
      <c r="B25" s="43" t="s">
        <v>5097</v>
      </c>
      <c r="C25" s="27">
        <f t="shared" si="1"/>
        <v>3749824</v>
      </c>
      <c r="D25" s="375">
        <f>SUMIFS('Unos prihoda i primitaka'!$G$3:$G$501,'Unos prihoda i primitaka'!$C$3:$C$501,"=11",'Unos prihoda i primitaka'!$L$3:$L$501,"=67")</f>
        <v>3642136</v>
      </c>
      <c r="E25" s="375">
        <f>SUMIFS('Unos prihoda i primitaka'!$G$3:$G$501,'Unos prihoda i primitaka'!$C$3:$C$501,"=12",'Unos prihoda i primitaka'!$L$3:$L$501,"=67")</f>
        <v>107688</v>
      </c>
      <c r="F25" s="115">
        <f>SUMIFS('Unos prihoda i primitaka'!$G$3:$G$501,'Unos prihoda i primitaka'!$C$3:$C$501,"=31",'Unos prihoda i primitaka'!$L$3:$L$501,"=67")</f>
        <v>0</v>
      </c>
      <c r="G25" s="115">
        <f>SUMIFS('Unos prihoda i primitaka'!$G$3:$G$501,'Unos prihoda i primitaka'!$C$3:$C$501,"=41",'Unos prihoda i primitaka'!$L$3:$L$501,"=67")</f>
        <v>0</v>
      </c>
      <c r="H25" s="115">
        <f>SUMIFS('Unos prihoda i primitaka'!$G$3:$G$501,'Unos prihoda i primitaka'!$C$3:$C$501,"=43",'Unos prihoda i primitaka'!$L$3:$L$501,"=67")</f>
        <v>0</v>
      </c>
      <c r="I25" s="115">
        <f>SUMIFS('Unos prihoda i primitaka'!$G$3:$G$501,'Unos prihoda i primitaka'!$C$3:$C$501,"=51",'Unos prihoda i primitaka'!$L$3:$L$501,"=67")</f>
        <v>0</v>
      </c>
      <c r="J25" s="115">
        <f>SUMIFS('Unos prihoda i primitaka'!$G$3:$G$501,'Unos prihoda i primitaka'!$C$3:$C$501,"=52",'Unos prihoda i primitaka'!$L$3:$L$501,"=67")</f>
        <v>0</v>
      </c>
      <c r="K25" s="115">
        <f>SUMIFS('Unos prihoda i primitaka'!$G$3:$G$501,'Unos prihoda i primitaka'!$C$3:$C$501,"=552",'Unos prihoda i primitaka'!$L$3:$L$501,"=67")</f>
        <v>0</v>
      </c>
      <c r="L25" s="115">
        <f>SUMIFS('Unos prihoda i primitaka'!$G$3:$G$501,'Unos prihoda i primitaka'!$C$3:$C$501,"=559",'Unos prihoda i primitaka'!$L$3:$L$501,"=67")</f>
        <v>0</v>
      </c>
      <c r="M25" s="115">
        <f>SUMIFS('Unos prihoda i primitaka'!$G$3:$G$501,'Unos prihoda i primitaka'!$C$3:$C$501,"=561",'Unos prihoda i primitaka'!$L$3:$L$501,"=67")</f>
        <v>0</v>
      </c>
      <c r="N25" s="115">
        <f>SUMIFS('Unos prihoda i primitaka'!$G$3:$G$501,'Unos prihoda i primitaka'!$C$3:$C$501,"=563",'Unos prihoda i primitaka'!$L$3:$L$501,"=67")</f>
        <v>0</v>
      </c>
      <c r="O25" s="115">
        <f>SUMIFS('Unos prihoda i primitaka'!$G$3:$G$501,'Unos prihoda i primitaka'!$C$3:$C$501,"=573",'Unos prihoda i primitaka'!$L$3:$L$501,"=67")</f>
        <v>0</v>
      </c>
      <c r="P25" s="115">
        <f>SUMIFS('Unos prihoda i primitaka'!$G$3:$G$501,'Unos prihoda i primitaka'!$C$3:$C$501,"=575",'Unos prihoda i primitaka'!$L$3:$L$501,"=67")</f>
        <v>0</v>
      </c>
      <c r="Q25" s="115">
        <f>SUMIFS('Unos prihoda i primitaka'!$G$3:$G$501,'Unos prihoda i primitaka'!$C$3:$C$501,"=576",'Unos prihoda i primitaka'!$L$3:$L$501,"=67")</f>
        <v>0</v>
      </c>
      <c r="R25" s="115">
        <f>SUMIFS('Unos prihoda i primitaka'!$G$3:$G$501,'Unos prihoda i primitaka'!$C$3:$C$501,"=581",'Unos prihoda i primitaka'!$L$3:$L$501,"=67")</f>
        <v>0</v>
      </c>
      <c r="S25" s="115">
        <f>SUMIFS('Unos prihoda i primitaka'!$G$3:$G$501,'Unos prihoda i primitaka'!$C$3:$C$501,"=61",'Unos prihoda i primitaka'!$L$3:$L$501,"=67")</f>
        <v>0</v>
      </c>
      <c r="T25" s="115">
        <f>SUMIFS('Unos prihoda i primitaka'!$G$3:$G$501,'Unos prihoda i primitaka'!$C$3:$C$501,"=63",'Unos prihoda i primitaka'!$L$3:$L$501,"=67")</f>
        <v>0</v>
      </c>
      <c r="U25" s="115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5087</v>
      </c>
      <c r="B26" s="43" t="s">
        <v>5086</v>
      </c>
      <c r="C26" s="27">
        <f t="shared" si="1"/>
        <v>0</v>
      </c>
      <c r="D26" s="115">
        <f>SUMIFS('Unos prihoda i primitaka'!$G$3:$G$501,'Unos prihoda i primitaka'!$C$3:$C$501,"=11",'Unos prihoda i primitaka'!$L$3:$L$501,"=68")</f>
        <v>0</v>
      </c>
      <c r="E26" s="115">
        <f>SUMIFS('Unos prihoda i primitaka'!$G$3:$G$501,'Unos prihoda i primitaka'!$C$3:$C$501,"=12",'Unos prihoda i primitaka'!$L$3:$L$501,"=68")</f>
        <v>0</v>
      </c>
      <c r="F26" s="115">
        <f>SUMIFS('Unos prihoda i primitaka'!$G$3:$G$501,'Unos prihoda i primitaka'!$C$3:$C$501,"=31",'Unos prihoda i primitaka'!$L$3:$L$501,"=68")</f>
        <v>0</v>
      </c>
      <c r="G26" s="115">
        <f>SUMIFS('Unos prihoda i primitaka'!$G$3:$G$501,'Unos prihoda i primitaka'!$C$3:$C$501,"=41",'Unos prihoda i primitaka'!$L$3:$L$501,"=68")</f>
        <v>0</v>
      </c>
      <c r="H26" s="115">
        <f>SUMIFS('Unos prihoda i primitaka'!$G$3:$G$501,'Unos prihoda i primitaka'!$C$3:$C$501,"=43",'Unos prihoda i primitaka'!$L$3:$L$501,"=68")</f>
        <v>0</v>
      </c>
      <c r="I26" s="115">
        <f>SUMIFS('Unos prihoda i primitaka'!$G$3:$G$501,'Unos prihoda i primitaka'!$C$3:$C$501,"=51",'Unos prihoda i primitaka'!$L$3:$L$501,"=68")</f>
        <v>0</v>
      </c>
      <c r="J26" s="115">
        <f>SUMIFS('Unos prihoda i primitaka'!$G$3:$G$501,'Unos prihoda i primitaka'!$C$3:$C$501,"=52",'Unos prihoda i primitaka'!$L$3:$L$501,"=68")</f>
        <v>0</v>
      </c>
      <c r="K26" s="115">
        <f>SUMIFS('Unos prihoda i primitaka'!$G$3:$G$501,'Unos prihoda i primitaka'!$C$3:$C$501,"=552",'Unos prihoda i primitaka'!$L$3:$L$501,"=68")</f>
        <v>0</v>
      </c>
      <c r="L26" s="115">
        <f>SUMIFS('Unos prihoda i primitaka'!$G$3:$G$501,'Unos prihoda i primitaka'!$C$3:$C$501,"=559",'Unos prihoda i primitaka'!$L$3:$L$501,"=68")</f>
        <v>0</v>
      </c>
      <c r="M26" s="115">
        <f>SUMIFS('Unos prihoda i primitaka'!$G$3:$G$501,'Unos prihoda i primitaka'!$C$3:$C$501,"=561",'Unos prihoda i primitaka'!$L$3:$L$501,"=68")</f>
        <v>0</v>
      </c>
      <c r="N26" s="115">
        <f>SUMIFS('Unos prihoda i primitaka'!$G$3:$G$501,'Unos prihoda i primitaka'!$C$3:$C$501,"=563",'Unos prihoda i primitaka'!$L$3:$L$501,"=68")</f>
        <v>0</v>
      </c>
      <c r="O26" s="115">
        <f>SUMIFS('Unos prihoda i primitaka'!$G$3:$G$501,'Unos prihoda i primitaka'!$C$3:$C$501,"=573",'Unos prihoda i primitaka'!$L$3:$L$501,"=68")</f>
        <v>0</v>
      </c>
      <c r="P26" s="115">
        <f>SUMIFS('Unos prihoda i primitaka'!$G$3:$G$501,'Unos prihoda i primitaka'!$C$3:$C$501,"=575",'Unos prihoda i primitaka'!$L$3:$L$501,"=68")</f>
        <v>0</v>
      </c>
      <c r="Q26" s="115">
        <f>SUMIFS('Unos prihoda i primitaka'!$G$3:$G$501,'Unos prihoda i primitaka'!$C$3:$C$501,"=576",'Unos prihoda i primitaka'!$L$3:$L$501,"=68")</f>
        <v>0</v>
      </c>
      <c r="R26" s="115">
        <f>SUMIFS('Unos prihoda i primitaka'!$G$3:$G$501,'Unos prihoda i primitaka'!$C$3:$C$501,"=581",'Unos prihoda i primitaka'!$L$3:$L$501,"=68")</f>
        <v>0</v>
      </c>
      <c r="S26" s="115">
        <f>SUMIFS('Unos prihoda i primitaka'!$G$3:$G$501,'Unos prihoda i primitaka'!$C$3:$C$501,"=61",'Unos prihoda i primitaka'!$L$3:$L$501,"=68")</f>
        <v>0</v>
      </c>
      <c r="T26" s="115">
        <f>SUMIFS('Unos prihoda i primitaka'!$G$3:$G$501,'Unos prihoda i primitaka'!$C$3:$C$501,"=63",'Unos prihoda i primitaka'!$L$3:$L$501,"=68")</f>
        <v>0</v>
      </c>
      <c r="U26" s="115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243</v>
      </c>
      <c r="B27" s="46" t="s">
        <v>244</v>
      </c>
      <c r="C27" s="27">
        <f>SUM(D27:U27)</f>
        <v>5835269</v>
      </c>
      <c r="D27" s="3">
        <f t="shared" ref="D27:U27" si="2">SUM(D9:D26)</f>
        <v>3642136</v>
      </c>
      <c r="E27" s="3">
        <f t="shared" si="2"/>
        <v>107688</v>
      </c>
      <c r="F27" s="3">
        <f t="shared" si="2"/>
        <v>70400</v>
      </c>
      <c r="G27" s="3">
        <f t="shared" si="2"/>
        <v>0</v>
      </c>
      <c r="H27" s="3">
        <f t="shared" si="2"/>
        <v>650000</v>
      </c>
      <c r="I27" s="3">
        <f t="shared" si="2"/>
        <v>0</v>
      </c>
      <c r="J27" s="3">
        <f t="shared" si="2"/>
        <v>365045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1000000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0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5089</v>
      </c>
      <c r="B28" s="47" t="s">
        <v>5090</v>
      </c>
      <c r="C28" s="27">
        <f t="shared" si="1"/>
        <v>0</v>
      </c>
      <c r="D28" s="115">
        <f>SUMIFS('Unos prihoda i primitaka'!$G$3:$G$501,'Unos prihoda i primitaka'!$C$3:$C$501,"=11",'Unos prihoda i primitaka'!$L$3:$L$501,"=71")</f>
        <v>0</v>
      </c>
      <c r="E28" s="115">
        <f>SUMIFS('Unos prihoda i primitaka'!$G$3:$G$501,'Unos prihoda i primitaka'!$C$3:$C$501,"=12",'Unos prihoda i primitaka'!$L$3:$L$501,"=71")</f>
        <v>0</v>
      </c>
      <c r="F28" s="115">
        <f>SUMIFS('Unos prihoda i primitaka'!$G$3:$G$501,'Unos prihoda i primitaka'!$C$3:$C$501,"=31",'Unos prihoda i primitaka'!$L$3:$L$501,"=71")</f>
        <v>0</v>
      </c>
      <c r="G28" s="115">
        <f>SUMIFS('Unos prihoda i primitaka'!$G$3:$G$501,'Unos prihoda i primitaka'!$C$3:$C$501,"=41",'Unos prihoda i primitaka'!$L$3:$L$501,"=71")</f>
        <v>0</v>
      </c>
      <c r="H28" s="115">
        <f>SUMIFS('Unos prihoda i primitaka'!$G$3:$G$501,'Unos prihoda i primitaka'!$C$3:$C$501,"=43",'Unos prihoda i primitaka'!$L$3:$L$501,"=71")</f>
        <v>0</v>
      </c>
      <c r="I28" s="115">
        <f>SUMIFS('Unos prihoda i primitaka'!$G$3:$G$501,'Unos prihoda i primitaka'!$C$3:$C$501,"=51",'Unos prihoda i primitaka'!$L$3:$L$501,"=71")</f>
        <v>0</v>
      </c>
      <c r="J28" s="115">
        <f>SUMIFS('Unos prihoda i primitaka'!$G$3:$G$501,'Unos prihoda i primitaka'!$C$3:$C$501,"=52",'Unos prihoda i primitaka'!$L$3:$L$501,"=71")</f>
        <v>0</v>
      </c>
      <c r="K28" s="115">
        <f>SUMIFS('Unos prihoda i primitaka'!$G$3:$G$501,'Unos prihoda i primitaka'!$C$3:$C$501,"=552",'Unos prihoda i primitaka'!$L$3:$L$501,"=71")</f>
        <v>0</v>
      </c>
      <c r="L28" s="115">
        <f>SUMIFS('Unos prihoda i primitaka'!$G$3:$G$501,'Unos prihoda i primitaka'!$C$3:$C$501,"=559",'Unos prihoda i primitaka'!$L$3:$L$501,"=71")</f>
        <v>0</v>
      </c>
      <c r="M28" s="115">
        <f>SUMIFS('Unos prihoda i primitaka'!$G$3:$G$501,'Unos prihoda i primitaka'!$C$3:$C$501,"=561",'Unos prihoda i primitaka'!$L$3:$L$501,"=71")</f>
        <v>0</v>
      </c>
      <c r="N28" s="115">
        <f>SUMIFS('Unos prihoda i primitaka'!$G$3:$G$501,'Unos prihoda i primitaka'!$C$3:$C$501,"=563",'Unos prihoda i primitaka'!$L$3:$L$501,"=71")</f>
        <v>0</v>
      </c>
      <c r="O28" s="115">
        <f>SUMIFS('Unos prihoda i primitaka'!$G$3:$G$501,'Unos prihoda i primitaka'!$C$3:$C$501,"=573",'Unos prihoda i primitaka'!$L$3:$L$501,"=71")</f>
        <v>0</v>
      </c>
      <c r="P28" s="115">
        <f>SUMIFS('Unos prihoda i primitaka'!$G$3:$G$501,'Unos prihoda i primitaka'!$C$3:$C$501,"=575",'Unos prihoda i primitaka'!$L$3:$L$501,"=71")</f>
        <v>0</v>
      </c>
      <c r="Q28" s="115">
        <f>SUMIFS('Unos prihoda i primitaka'!$G$3:$G$501,'Unos prihoda i primitaka'!$C$3:$C$501,"=576",'Unos prihoda i primitaka'!$L$3:$L$501,"=71")</f>
        <v>0</v>
      </c>
      <c r="R28" s="115">
        <f>SUMIFS('Unos prihoda i primitaka'!$G$3:$G$501,'Unos prihoda i primitaka'!$C$3:$C$501,"=581",'Unos prihoda i primitaka'!$L$3:$L$501,"=71")</f>
        <v>0</v>
      </c>
      <c r="S28" s="115">
        <f>SUMIFS('Unos prihoda i primitaka'!$G$3:$G$501,'Unos prihoda i primitaka'!$C$3:$C$501,"=61",'Unos prihoda i primitaka'!$L$3:$L$501,"=71")</f>
        <v>0</v>
      </c>
      <c r="T28" s="115">
        <f>SUMIFS('Unos prihoda i primitaka'!$G$3:$G$501,'Unos prihoda i primitaka'!$C$3:$C$501,"=63",'Unos prihoda i primitaka'!$L$3:$L$501,"=71")</f>
        <v>0</v>
      </c>
      <c r="U28" s="115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5091</v>
      </c>
      <c r="B29" s="47" t="s">
        <v>5092</v>
      </c>
      <c r="C29" s="27">
        <f t="shared" si="1"/>
        <v>0</v>
      </c>
      <c r="D29" s="115">
        <f>SUMIFS('Unos prihoda i primitaka'!$G$3:$G$501,'Unos prihoda i primitaka'!$C$3:$C$501,"=11",'Unos prihoda i primitaka'!$L$3:$L$501,"=72")</f>
        <v>0</v>
      </c>
      <c r="E29" s="115">
        <f>SUMIFS('Unos prihoda i primitaka'!$G$3:$G$501,'Unos prihoda i primitaka'!$C$3:$C$501,"=12",'Unos prihoda i primitaka'!$L$3:$L$501,"=72")</f>
        <v>0</v>
      </c>
      <c r="F29" s="115">
        <f>SUMIFS('Unos prihoda i primitaka'!$G$3:$G$501,'Unos prihoda i primitaka'!$C$3:$C$501,"=31",'Unos prihoda i primitaka'!$L$3:$L$501,"=72")</f>
        <v>0</v>
      </c>
      <c r="G29" s="115">
        <f>SUMIFS('Unos prihoda i primitaka'!$G$3:$G$501,'Unos prihoda i primitaka'!$C$3:$C$501,"=41",'Unos prihoda i primitaka'!$L$3:$L$501,"=72")</f>
        <v>0</v>
      </c>
      <c r="H29" s="115">
        <f>SUMIFS('Unos prihoda i primitaka'!$G$3:$G$501,'Unos prihoda i primitaka'!$C$3:$C$501,"=43",'Unos prihoda i primitaka'!$L$3:$L$501,"=72")</f>
        <v>0</v>
      </c>
      <c r="I29" s="115">
        <f>SUMIFS('Unos prihoda i primitaka'!$G$3:$G$501,'Unos prihoda i primitaka'!$C$3:$C$501,"=51",'Unos prihoda i primitaka'!$L$3:$L$501,"=72")</f>
        <v>0</v>
      </c>
      <c r="J29" s="115">
        <f>SUMIFS('Unos prihoda i primitaka'!$G$3:$G$501,'Unos prihoda i primitaka'!$C$3:$C$501,"=52",'Unos prihoda i primitaka'!$L$3:$L$501,"=72")</f>
        <v>0</v>
      </c>
      <c r="K29" s="115">
        <f>SUMIFS('Unos prihoda i primitaka'!$G$3:$G$501,'Unos prihoda i primitaka'!$C$3:$C$501,"=552",'Unos prihoda i primitaka'!$L$3:$L$501,"=72")</f>
        <v>0</v>
      </c>
      <c r="L29" s="115">
        <f>SUMIFS('Unos prihoda i primitaka'!$G$3:$G$501,'Unos prihoda i primitaka'!$C$3:$C$501,"=559",'Unos prihoda i primitaka'!$L$3:$L$501,"=72")</f>
        <v>0</v>
      </c>
      <c r="M29" s="115">
        <f>SUMIFS('Unos prihoda i primitaka'!$G$3:$G$501,'Unos prihoda i primitaka'!$C$3:$C$501,"=561",'Unos prihoda i primitaka'!$L$3:$L$501,"=72")</f>
        <v>0</v>
      </c>
      <c r="N29" s="115">
        <f>SUMIFS('Unos prihoda i primitaka'!$G$3:$G$501,'Unos prihoda i primitaka'!$C$3:$C$501,"=563",'Unos prihoda i primitaka'!$L$3:$L$501,"=72")</f>
        <v>0</v>
      </c>
      <c r="O29" s="115">
        <f>SUMIFS('Unos prihoda i primitaka'!$G$3:$G$501,'Unos prihoda i primitaka'!$C$3:$C$501,"=573",'Unos prihoda i primitaka'!$L$3:$L$501,"=72")</f>
        <v>0</v>
      </c>
      <c r="P29" s="115">
        <f>SUMIFS('Unos prihoda i primitaka'!$G$3:$G$501,'Unos prihoda i primitaka'!$C$3:$C$501,"=575",'Unos prihoda i primitaka'!$L$3:$L$501,"=72")</f>
        <v>0</v>
      </c>
      <c r="Q29" s="115">
        <f>SUMIFS('Unos prihoda i primitaka'!$G$3:$G$501,'Unos prihoda i primitaka'!$C$3:$C$501,"=576",'Unos prihoda i primitaka'!$L$3:$L$501,"=72")</f>
        <v>0</v>
      </c>
      <c r="R29" s="115">
        <f>SUMIFS('Unos prihoda i primitaka'!$G$3:$G$501,'Unos prihoda i primitaka'!$C$3:$C$501,"=581",'Unos prihoda i primitaka'!$L$3:$L$501,"=72")</f>
        <v>0</v>
      </c>
      <c r="S29" s="115">
        <f>SUMIFS('Unos prihoda i primitaka'!$G$3:$G$501,'Unos prihoda i primitaka'!$C$3:$C$501,"=61",'Unos prihoda i primitaka'!$L$3:$L$501,"=72")</f>
        <v>0</v>
      </c>
      <c r="T29" s="115">
        <f>SUMIFS('Unos prihoda i primitaka'!$G$3:$G$501,'Unos prihoda i primitaka'!$C$3:$C$501,"=63",'Unos prihoda i primitaka'!$L$3:$L$501,"=72")</f>
        <v>0</v>
      </c>
      <c r="U29" s="115">
        <f>SUMIFS('Unos prihoda i primitaka'!$G$3:$G$501,'Unos prihoda i primitaka'!$C$3:$C$501,"=71",'Unos prihoda i primitaka'!$L$3:$L$501,"=72")</f>
        <v>0</v>
      </c>
    </row>
    <row r="30" spans="1:21" s="38" customFormat="1">
      <c r="A30" s="45" t="s">
        <v>245</v>
      </c>
      <c r="B30" s="46" t="s">
        <v>244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233</v>
      </c>
      <c r="B32" s="40" t="s">
        <v>234</v>
      </c>
      <c r="C32" s="176" t="s">
        <v>235</v>
      </c>
      <c r="D32" s="134" t="s">
        <v>255</v>
      </c>
      <c r="E32" s="134" t="s">
        <v>247</v>
      </c>
      <c r="F32" s="135" t="s">
        <v>16</v>
      </c>
      <c r="G32" s="135" t="s">
        <v>1224</v>
      </c>
      <c r="H32" s="135" t="s">
        <v>17</v>
      </c>
      <c r="I32" s="135" t="s">
        <v>236</v>
      </c>
      <c r="J32" s="135" t="s">
        <v>237</v>
      </c>
      <c r="K32" s="135" t="s">
        <v>1225</v>
      </c>
      <c r="L32" s="135" t="s">
        <v>238</v>
      </c>
      <c r="M32" s="135" t="s">
        <v>239</v>
      </c>
      <c r="N32" s="135" t="s">
        <v>240</v>
      </c>
      <c r="O32" s="135" t="s">
        <v>1226</v>
      </c>
      <c r="P32" s="135" t="s">
        <v>1227</v>
      </c>
      <c r="Q32" s="135" t="s">
        <v>1702</v>
      </c>
      <c r="R32" s="41" t="s">
        <v>3011</v>
      </c>
      <c r="S32" s="135" t="s">
        <v>241</v>
      </c>
      <c r="T32" s="41" t="s">
        <v>242</v>
      </c>
      <c r="U32" s="41" t="s">
        <v>246</v>
      </c>
    </row>
    <row r="33" spans="1:21" s="38" customFormat="1" ht="20.25" customHeight="1">
      <c r="A33" s="327">
        <v>2024</v>
      </c>
      <c r="B33" s="327" t="s">
        <v>5259</v>
      </c>
      <c r="C33" s="60">
        <f>SUM(D33:U33)</f>
        <v>1056884</v>
      </c>
      <c r="D33" s="60">
        <f t="shared" ref="D33:U33" si="4">+D44+D41</f>
        <v>89558</v>
      </c>
      <c r="E33" s="60">
        <f t="shared" si="4"/>
        <v>7106</v>
      </c>
      <c r="F33" s="60">
        <f t="shared" si="4"/>
        <v>50</v>
      </c>
      <c r="G33" s="60">
        <f t="shared" si="4"/>
        <v>0</v>
      </c>
      <c r="H33" s="60">
        <f t="shared" si="4"/>
        <v>-130000</v>
      </c>
      <c r="I33" s="60">
        <f t="shared" si="4"/>
        <v>0</v>
      </c>
      <c r="J33" s="60">
        <f t="shared" si="4"/>
        <v>1288081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-197911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0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5077</v>
      </c>
      <c r="B34" s="57" t="s">
        <v>5076</v>
      </c>
      <c r="C34" s="27">
        <f t="shared" ref="C34:C44" si="5">SUM(D34:U34)</f>
        <v>0</v>
      </c>
      <c r="D34" s="115">
        <f>SUMIFS('Unos prihoda i primitaka'!$H$3:$H$501,'Unos prihoda i primitaka'!$C$3:$C$501,"=11",'Unos prihoda i primitaka'!$L$3:$L$501,"=61")</f>
        <v>0</v>
      </c>
      <c r="E34" s="115">
        <f>SUMIFS('Unos prihoda i primitaka'!$H$3:$H$501,'Unos prihoda i primitaka'!$C$3:$C$501,"=12",'Unos prihoda i primitaka'!$L$3:$L$501,"=61")</f>
        <v>0</v>
      </c>
      <c r="F34" s="115">
        <f>SUMIFS('Unos prihoda i primitaka'!$H$3:$H$501,'Unos prihoda i primitaka'!$C$3:$C$501,"=31",'Unos prihoda i primitaka'!$L$3:$L$501,"=61")</f>
        <v>0</v>
      </c>
      <c r="G34" s="115">
        <f>SUMIFS('Unos prihoda i primitaka'!$H$3:$H$501,'Unos prihoda i primitaka'!$C$3:$C$501,"=41",'Unos prihoda i primitaka'!$L$3:$L$501,"=61")</f>
        <v>0</v>
      </c>
      <c r="H34" s="115">
        <f>SUMIFS('Unos prihoda i primitaka'!$H$3:$H$501,'Unos prihoda i primitaka'!$C$3:$C$501,"=43",'Unos prihoda i primitaka'!$L$3:$L$501,"=61")</f>
        <v>0</v>
      </c>
      <c r="I34" s="115">
        <f>SUMIFS('Unos prihoda i primitaka'!$H$3:$H$501,'Unos prihoda i primitaka'!$C$3:$C$501,"=51",'Unos prihoda i primitaka'!$L$3:$L$501,"=61")</f>
        <v>0</v>
      </c>
      <c r="J34" s="115">
        <f>SUMIFS('Unos prihoda i primitaka'!$H$3:$H$501,'Unos prihoda i primitaka'!$C$3:$C$501,"=52",'Unos prihoda i primitaka'!$L$3:$L$501,"=61")</f>
        <v>0</v>
      </c>
      <c r="K34" s="115">
        <f>SUMIFS('Unos prihoda i primitaka'!$H$3:$H$501,'Unos prihoda i primitaka'!$C$3:$C$501,"=552",'Unos prihoda i primitaka'!$L$3:$L$501,"=61")</f>
        <v>0</v>
      </c>
      <c r="L34" s="115">
        <f>SUMIFS('Unos prihoda i primitaka'!$H$3:$H$501,'Unos prihoda i primitaka'!$C$3:$C$501,"=559",'Unos prihoda i primitaka'!$L$3:$L$501,"=61")</f>
        <v>0</v>
      </c>
      <c r="M34" s="115">
        <f>SUMIFS('Unos prihoda i primitaka'!$H$3:$H$501,'Unos prihoda i primitaka'!$C$3:$C$501,"=561",'Unos prihoda i primitaka'!$L$3:$L$501,"=61")</f>
        <v>0</v>
      </c>
      <c r="N34" s="115">
        <f>SUMIFS('Unos prihoda i primitaka'!$H$3:$H$501,'Unos prihoda i primitaka'!$C$3:$C$501,"=563",'Unos prihoda i primitaka'!$L$3:$L$501,"=61")</f>
        <v>0</v>
      </c>
      <c r="O34" s="115">
        <f>SUMIFS('Unos prihoda i primitaka'!$H$3:$H$501,'Unos prihoda i primitaka'!$C$3:$C$501,"=573",'Unos prihoda i primitaka'!$L$3:$L$501,"=61")</f>
        <v>0</v>
      </c>
      <c r="P34" s="115">
        <f>SUMIFS('Unos prihoda i primitaka'!$H$3:$H$501,'Unos prihoda i primitaka'!$C$3:$C$501,"=575",'Unos prihoda i primitaka'!$L$3:$L$501,"=61")</f>
        <v>0</v>
      </c>
      <c r="Q34" s="115">
        <f>SUMIFS('Unos prihoda i primitaka'!$H$3:$H$501,'Unos prihoda i primitaka'!$C$3:$C$501,"=576",'Unos prihoda i primitaka'!$L$3:$L$501,"=61")</f>
        <v>0</v>
      </c>
      <c r="R34" s="115">
        <f>SUMIFS('Unos prihoda i primitaka'!$H$3:$H$501,'Unos prihoda i primitaka'!$C$3:$C$501,"=581",'Unos prihoda i primitaka'!$L$3:$L$501,"=61")</f>
        <v>0</v>
      </c>
      <c r="S34" s="115">
        <f>SUMIFS('Unos prihoda i primitaka'!$H$3:$H$501,'Unos prihoda i primitaka'!$C$3:$C$501,"=61",'Unos prihoda i primitaka'!$L$3:$L$501,"=61")</f>
        <v>0</v>
      </c>
      <c r="T34" s="115">
        <f>SUMIFS('Unos prihoda i primitaka'!$H$3:$H$501,'Unos prihoda i primitaka'!$C$3:$C$501,"=63",'Unos prihoda i primitaka'!$L$3:$L$501,"=61")</f>
        <v>0</v>
      </c>
      <c r="U34" s="115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5079</v>
      </c>
      <c r="B35" s="57" t="s">
        <v>5078</v>
      </c>
      <c r="C35" s="27">
        <f t="shared" si="5"/>
        <v>1090170</v>
      </c>
      <c r="D35" s="115">
        <f>SUMIFS('Unos prihoda i primitaka'!$H$3:$H$501,'Unos prihoda i primitaka'!$C$3:$C$501,"=11",'Unos prihoda i primitaka'!$L$3:$L$501,"=63")</f>
        <v>0</v>
      </c>
      <c r="E35" s="115">
        <f>SUMIFS('Unos prihoda i primitaka'!$H$3:$H$501,'Unos prihoda i primitaka'!$C$3:$C$501,"=12",'Unos prihoda i primitaka'!$L$3:$L$501,"=63")</f>
        <v>0</v>
      </c>
      <c r="F35" s="115">
        <f>SUMIFS('Unos prihoda i primitaka'!$H$3:$H$501,'Unos prihoda i primitaka'!$C$3:$C$501,"=31",'Unos prihoda i primitaka'!$L$3:$L$501,"=63")</f>
        <v>0</v>
      </c>
      <c r="G35" s="115">
        <f>SUMIFS('Unos prihoda i primitaka'!$H$3:$H$501,'Unos prihoda i primitaka'!$C$3:$C$501,"=41",'Unos prihoda i primitaka'!$L$3:$L$501,"=63")</f>
        <v>0</v>
      </c>
      <c r="H35" s="115">
        <f>SUMIFS('Unos prihoda i primitaka'!$H$3:$H$501,'Unos prihoda i primitaka'!$C$3:$C$501,"=43",'Unos prihoda i primitaka'!$L$3:$L$501,"=63")</f>
        <v>0</v>
      </c>
      <c r="I35" s="115">
        <f>SUMIFS('Unos prihoda i primitaka'!$H$3:$H$501,'Unos prihoda i primitaka'!$C$3:$C$501,"=51",'Unos prihoda i primitaka'!$L$3:$L$501,"=63")</f>
        <v>0</v>
      </c>
      <c r="J35" s="115">
        <f>SUMIFS('Unos prihoda i primitaka'!$H$3:$H$501,'Unos prihoda i primitaka'!$C$3:$C$501,"=52",'Unos prihoda i primitaka'!$L$3:$L$501,"=63")</f>
        <v>1288081</v>
      </c>
      <c r="K35" s="115">
        <f>SUMIFS('Unos prihoda i primitaka'!$H$3:$H$501,'Unos prihoda i primitaka'!$C$3:$C$501,"=552",'Unos prihoda i primitaka'!$L$3:$L$501,"=63")</f>
        <v>0</v>
      </c>
      <c r="L35" s="115">
        <f>SUMIFS('Unos prihoda i primitaka'!$H$3:$H$501,'Unos prihoda i primitaka'!$C$3:$C$501,"=559",'Unos prihoda i primitaka'!$L$3:$L$501,"=63")</f>
        <v>0</v>
      </c>
      <c r="M35" s="115">
        <f>SUMIFS('Unos prihoda i primitaka'!$H$3:$H$501,'Unos prihoda i primitaka'!$C$3:$C$501,"=561",'Unos prihoda i primitaka'!$L$3:$L$501,"=63")</f>
        <v>0</v>
      </c>
      <c r="N35" s="115">
        <f>SUMIFS('Unos prihoda i primitaka'!$H$3:$H$501,'Unos prihoda i primitaka'!$C$3:$C$501,"=563",'Unos prihoda i primitaka'!$L$3:$L$501,"=63")</f>
        <v>-197911</v>
      </c>
      <c r="O35" s="115">
        <f>SUMIFS('Unos prihoda i primitaka'!$H$3:$H$501,'Unos prihoda i primitaka'!$C$3:$C$501,"=573",'Unos prihoda i primitaka'!$L$3:$L$501,"=63")</f>
        <v>0</v>
      </c>
      <c r="P35" s="115">
        <f>SUMIFS('Unos prihoda i primitaka'!$H$3:$H$501,'Unos prihoda i primitaka'!$C$3:$C$501,"=575",'Unos prihoda i primitaka'!$L$3:$L$501,"=63")</f>
        <v>0</v>
      </c>
      <c r="Q35" s="115">
        <f>SUMIFS('Unos prihoda i primitaka'!$H$3:$H$501,'Unos prihoda i primitaka'!$C$3:$C$501,"=576",'Unos prihoda i primitaka'!$L$3:$L$501,"=63")</f>
        <v>0</v>
      </c>
      <c r="R35" s="115">
        <f>SUMIFS('Unos prihoda i primitaka'!$H$3:$H$501,'Unos prihoda i primitaka'!$C$3:$C$501,"=581",'Unos prihoda i primitaka'!$L$3:$L$501,"=63")</f>
        <v>0</v>
      </c>
      <c r="S35" s="115">
        <f>SUMIFS('Unos prihoda i primitaka'!$H$3:$H$501,'Unos prihoda i primitaka'!$C$3:$C$501,"=61",'Unos prihoda i primitaka'!$L$3:$L$501,"=63")</f>
        <v>0</v>
      </c>
      <c r="T35" s="115">
        <f>SUMIFS('Unos prihoda i primitaka'!$H$3:$H$501,'Unos prihoda i primitaka'!$C$3:$C$501,"=63",'Unos prihoda i primitaka'!$L$3:$L$501,"=63")</f>
        <v>0</v>
      </c>
      <c r="U35" s="115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5081</v>
      </c>
      <c r="B36" s="43" t="s">
        <v>5080</v>
      </c>
      <c r="C36" s="27">
        <f t="shared" si="5"/>
        <v>50</v>
      </c>
      <c r="D36" s="115">
        <f>SUMIFS('Unos prihoda i primitaka'!$H$3:$H$501,'Unos prihoda i primitaka'!$C$3:$C$501,"=11",'Unos prihoda i primitaka'!$L$3:$L$501,"=64")</f>
        <v>0</v>
      </c>
      <c r="E36" s="115">
        <f>SUMIFS('Unos prihoda i primitaka'!$H$3:$H$501,'Unos prihoda i primitaka'!$C$3:$C$501,"=12",'Unos prihoda i primitaka'!$L$3:$L$501,"=64")</f>
        <v>0</v>
      </c>
      <c r="F36" s="115">
        <f>SUMIFS('Unos prihoda i primitaka'!$H$3:$H$501,'Unos prihoda i primitaka'!$C$3:$C$501,"=31",'Unos prihoda i primitaka'!$L$3:$L$501,"=64")</f>
        <v>50</v>
      </c>
      <c r="G36" s="115">
        <f>SUMIFS('Unos prihoda i primitaka'!$H$3:$H$501,'Unos prihoda i primitaka'!$C$3:$C$501,"=41",'Unos prihoda i primitaka'!$L$3:$L$501,"=64")</f>
        <v>0</v>
      </c>
      <c r="H36" s="115">
        <f>SUMIFS('Unos prihoda i primitaka'!$H$3:$H$501,'Unos prihoda i primitaka'!$C$3:$C$501,"=43",'Unos prihoda i primitaka'!$L$3:$L$501,"=64")</f>
        <v>0</v>
      </c>
      <c r="I36" s="115">
        <f>SUMIFS('Unos prihoda i primitaka'!$H$3:$H$501,'Unos prihoda i primitaka'!$C$3:$C$501,"=51",'Unos prihoda i primitaka'!$L$3:$L$501,"=64")</f>
        <v>0</v>
      </c>
      <c r="J36" s="115">
        <f>SUMIFS('Unos prihoda i primitaka'!$H$3:$H$501,'Unos prihoda i primitaka'!$C$3:$C$501,"=52",'Unos prihoda i primitaka'!$L$3:$L$501,"=64")</f>
        <v>0</v>
      </c>
      <c r="K36" s="115">
        <f>SUMIFS('Unos prihoda i primitaka'!$H$3:$H$501,'Unos prihoda i primitaka'!$C$3:$C$501,"=552",'Unos prihoda i primitaka'!$L$3:$L$501,"=64")</f>
        <v>0</v>
      </c>
      <c r="L36" s="115">
        <f>SUMIFS('Unos prihoda i primitaka'!$H$3:$H$501,'Unos prihoda i primitaka'!$C$3:$C$501,"=559",'Unos prihoda i primitaka'!$L$3:$L$501,"=64")</f>
        <v>0</v>
      </c>
      <c r="M36" s="115">
        <f>SUMIFS('Unos prihoda i primitaka'!$H$3:$H$501,'Unos prihoda i primitaka'!$C$3:$C$501,"=561",'Unos prihoda i primitaka'!$L$3:$L$501,"=64")</f>
        <v>0</v>
      </c>
      <c r="N36" s="115">
        <f>SUMIFS('Unos prihoda i primitaka'!$H$3:$H$501,'Unos prihoda i primitaka'!$C$3:$C$501,"=563",'Unos prihoda i primitaka'!$L$3:$L$501,"=64")</f>
        <v>0</v>
      </c>
      <c r="O36" s="115">
        <f>SUMIFS('Unos prihoda i primitaka'!$H$3:$H$501,'Unos prihoda i primitaka'!$C$3:$C$501,"=573",'Unos prihoda i primitaka'!$L$3:$L$501,"=64")</f>
        <v>0</v>
      </c>
      <c r="P36" s="115">
        <f>SUMIFS('Unos prihoda i primitaka'!$H$3:$H$501,'Unos prihoda i primitaka'!$C$3:$C$501,"=575",'Unos prihoda i primitaka'!$L$3:$L$501,"=64")</f>
        <v>0</v>
      </c>
      <c r="Q36" s="115">
        <f>SUMIFS('Unos prihoda i primitaka'!$H$3:$H$501,'Unos prihoda i primitaka'!$C$3:$C$501,"=576",'Unos prihoda i primitaka'!$L$3:$L$501,"=64")</f>
        <v>0</v>
      </c>
      <c r="R36" s="115">
        <f>SUMIFS('Unos prihoda i primitaka'!$H$3:$H$501,'Unos prihoda i primitaka'!$C$3:$C$501,"=581",'Unos prihoda i primitaka'!$L$3:$L$501,"=64")</f>
        <v>0</v>
      </c>
      <c r="S36" s="115">
        <f>SUMIFS('Unos prihoda i primitaka'!$H$3:$H$501,'Unos prihoda i primitaka'!$C$3:$C$501,"=61",'Unos prihoda i primitaka'!$L$3:$L$501,"=64")</f>
        <v>0</v>
      </c>
      <c r="T36" s="115">
        <f>SUMIFS('Unos prihoda i primitaka'!$H$3:$H$501,'Unos prihoda i primitaka'!$C$3:$C$501,"=63",'Unos prihoda i primitaka'!$L$3:$L$501,"=64")</f>
        <v>0</v>
      </c>
      <c r="U36" s="115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5082</v>
      </c>
      <c r="B37" s="43" t="s">
        <v>5083</v>
      </c>
      <c r="C37" s="27">
        <f t="shared" si="5"/>
        <v>-130000</v>
      </c>
      <c r="D37" s="115">
        <f>SUMIFS('Unos prihoda i primitaka'!$H$3:$H$501,'Unos prihoda i primitaka'!$C$3:$C$501,"=11",'Unos prihoda i primitaka'!$L$3:$L$501,"=65")</f>
        <v>0</v>
      </c>
      <c r="E37" s="115">
        <f>SUMIFS('Unos prihoda i primitaka'!$H$3:$H$501,'Unos prihoda i primitaka'!$C$3:$C$501,"=12",'Unos prihoda i primitaka'!$L$3:$L$501,"=65")</f>
        <v>0</v>
      </c>
      <c r="F37" s="115">
        <f>SUMIFS('Unos prihoda i primitaka'!$H$3:$H$501,'Unos prihoda i primitaka'!$C$3:$C$501,"=31",'Unos prihoda i primitaka'!$L$3:$L$501,"=65")</f>
        <v>0</v>
      </c>
      <c r="G37" s="115">
        <f>SUMIFS('Unos prihoda i primitaka'!$H$3:$H$501,'Unos prihoda i primitaka'!$C$3:$C$501,"=41",'Unos prihoda i primitaka'!$L$3:$L$501,"=65")</f>
        <v>0</v>
      </c>
      <c r="H37" s="115">
        <f>SUMIFS('Unos prihoda i primitaka'!$H$3:$H$501,'Unos prihoda i primitaka'!$C$3:$C$501,"=43",'Unos prihoda i primitaka'!$L$3:$L$501,"=65")</f>
        <v>-130000</v>
      </c>
      <c r="I37" s="115">
        <f>SUMIFS('Unos prihoda i primitaka'!$H$3:$H$501,'Unos prihoda i primitaka'!$C$3:$C$501,"=51",'Unos prihoda i primitaka'!$L$3:$L$501,"=65")</f>
        <v>0</v>
      </c>
      <c r="J37" s="115">
        <f>SUMIFS('Unos prihoda i primitaka'!$H$3:$H$501,'Unos prihoda i primitaka'!$C$3:$C$501,"=52",'Unos prihoda i primitaka'!$L$3:$L$501,"=65")</f>
        <v>0</v>
      </c>
      <c r="K37" s="115">
        <f>SUMIFS('Unos prihoda i primitaka'!$H$3:$H$501,'Unos prihoda i primitaka'!$C$3:$C$501,"=552",'Unos prihoda i primitaka'!$L$3:$L$501,"=65")</f>
        <v>0</v>
      </c>
      <c r="L37" s="115">
        <f>SUMIFS('Unos prihoda i primitaka'!$H$3:$H$501,'Unos prihoda i primitaka'!$C$3:$C$501,"=559",'Unos prihoda i primitaka'!$L$3:$L$501,"=65")</f>
        <v>0</v>
      </c>
      <c r="M37" s="115">
        <f>SUMIFS('Unos prihoda i primitaka'!$H$3:$H$501,'Unos prihoda i primitaka'!$C$3:$C$501,"=561",'Unos prihoda i primitaka'!$L$3:$L$501,"=65")</f>
        <v>0</v>
      </c>
      <c r="N37" s="115">
        <f>SUMIFS('Unos prihoda i primitaka'!$H$3:$H$501,'Unos prihoda i primitaka'!$C$3:$C$501,"=563",'Unos prihoda i primitaka'!$L$3:$L$501,"=65")</f>
        <v>0</v>
      </c>
      <c r="O37" s="115">
        <f>SUMIFS('Unos prihoda i primitaka'!$H$3:$H$501,'Unos prihoda i primitaka'!$C$3:$C$501,"=573",'Unos prihoda i primitaka'!$L$3:$L$501,"=65")</f>
        <v>0</v>
      </c>
      <c r="P37" s="115">
        <f>SUMIFS('Unos prihoda i primitaka'!$H$3:$H$501,'Unos prihoda i primitaka'!$C$3:$C$501,"=575",'Unos prihoda i primitaka'!$L$3:$L$501,"=65")</f>
        <v>0</v>
      </c>
      <c r="Q37" s="115">
        <f>SUMIFS('Unos prihoda i primitaka'!$H$3:$H$501,'Unos prihoda i primitaka'!$C$3:$C$501,"=576",'Unos prihoda i primitaka'!$L$3:$L$501,"=65")</f>
        <v>0</v>
      </c>
      <c r="R37" s="115">
        <f>SUMIFS('Unos prihoda i primitaka'!$H$3:$H$501,'Unos prihoda i primitaka'!$C$3:$C$501,"=581",'Unos prihoda i primitaka'!$L$3:$L$501,"=65")</f>
        <v>0</v>
      </c>
      <c r="S37" s="115">
        <f>SUMIFS('Unos prihoda i primitaka'!$H$3:$H$501,'Unos prihoda i primitaka'!$C$3:$C$501,"=61",'Unos prihoda i primitaka'!$L$3:$L$501,"=65")</f>
        <v>0</v>
      </c>
      <c r="T37" s="115">
        <f>SUMIFS('Unos prihoda i primitaka'!$H$3:$H$501,'Unos prihoda i primitaka'!$C$3:$C$501,"=63",'Unos prihoda i primitaka'!$L$3:$L$501,"=65")</f>
        <v>0</v>
      </c>
      <c r="U37" s="115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2" t="s">
        <v>5085</v>
      </c>
      <c r="B38" s="43" t="s">
        <v>5084</v>
      </c>
      <c r="C38" s="27">
        <f t="shared" si="5"/>
        <v>0</v>
      </c>
      <c r="D38" s="115">
        <f>SUMIFS('Unos prihoda i primitaka'!$H$3:$H$501,'Unos prihoda i primitaka'!$C$3:$C$501,"=11",'Unos prihoda i primitaka'!$L$3:$L$501,"=66")</f>
        <v>0</v>
      </c>
      <c r="E38" s="115">
        <f>SUMIFS('Unos prihoda i primitaka'!$H$3:$H$501,'Unos prihoda i primitaka'!$C$3:$C$501,"=12",'Unos prihoda i primitaka'!$L$3:$L$501,"=66")</f>
        <v>0</v>
      </c>
      <c r="F38" s="115">
        <f>SUMIFS('Unos prihoda i primitaka'!$H$3:$H$501,'Unos prihoda i primitaka'!$C$3:$C$501,"=31",'Unos prihoda i primitaka'!$L$3:$L$501,"=66")</f>
        <v>0</v>
      </c>
      <c r="G38" s="115">
        <f>SUMIFS('Unos prihoda i primitaka'!$H$3:$H$501,'Unos prihoda i primitaka'!$C$3:$C$501,"=41",'Unos prihoda i primitaka'!$L$3:$L$501,"=66")</f>
        <v>0</v>
      </c>
      <c r="H38" s="115">
        <f>SUMIFS('Unos prihoda i primitaka'!$H$3:$H$501,'Unos prihoda i primitaka'!$C$3:$C$501,"=43",'Unos prihoda i primitaka'!$L$3:$L$501,"=66")</f>
        <v>0</v>
      </c>
      <c r="I38" s="115">
        <f>SUMIFS('Unos prihoda i primitaka'!$H$3:$H$501,'Unos prihoda i primitaka'!$C$3:$C$501,"=51",'Unos prihoda i primitaka'!$L$3:$L$501,"=66")</f>
        <v>0</v>
      </c>
      <c r="J38" s="115">
        <f>SUMIFS('Unos prihoda i primitaka'!$H$3:$H$501,'Unos prihoda i primitaka'!$C$3:$C$501,"=52",'Unos prihoda i primitaka'!$L$3:$L$501,"=66")</f>
        <v>0</v>
      </c>
      <c r="K38" s="115">
        <f>SUMIFS('Unos prihoda i primitaka'!$H$3:$H$501,'Unos prihoda i primitaka'!$C$3:$C$501,"=552",'Unos prihoda i primitaka'!$L$3:$L$501,"=66")</f>
        <v>0</v>
      </c>
      <c r="L38" s="115">
        <f>SUMIFS('Unos prihoda i primitaka'!$H$3:$H$501,'Unos prihoda i primitaka'!$C$3:$C$501,"=559",'Unos prihoda i primitaka'!$L$3:$L$501,"=66")</f>
        <v>0</v>
      </c>
      <c r="M38" s="115">
        <f>SUMIFS('Unos prihoda i primitaka'!$H$3:$H$501,'Unos prihoda i primitaka'!$C$3:$C$501,"=561",'Unos prihoda i primitaka'!$L$3:$L$501,"=66")</f>
        <v>0</v>
      </c>
      <c r="N38" s="115">
        <f>SUMIFS('Unos prihoda i primitaka'!$H$3:$H$501,'Unos prihoda i primitaka'!$C$3:$C$501,"=563",'Unos prihoda i primitaka'!$L$3:$L$501,"=66")</f>
        <v>0</v>
      </c>
      <c r="O38" s="115">
        <f>SUMIFS('Unos prihoda i primitaka'!$H$3:$H$501,'Unos prihoda i primitaka'!$C$3:$C$501,"=573",'Unos prihoda i primitaka'!$L$3:$L$501,"=66")</f>
        <v>0</v>
      </c>
      <c r="P38" s="115">
        <f>SUMIFS('Unos prihoda i primitaka'!$H$3:$H$501,'Unos prihoda i primitaka'!$C$3:$C$501,"=575",'Unos prihoda i primitaka'!$L$3:$L$501,"=66")</f>
        <v>0</v>
      </c>
      <c r="Q38" s="115">
        <f>SUMIFS('Unos prihoda i primitaka'!$H$3:$H$501,'Unos prihoda i primitaka'!$C$3:$C$501,"=576",'Unos prihoda i primitaka'!$L$3:$L$501,"=66")</f>
        <v>0</v>
      </c>
      <c r="R38" s="115">
        <f>SUMIFS('Unos prihoda i primitaka'!$H$3:$H$501,'Unos prihoda i primitaka'!$C$3:$C$501,"=581",'Unos prihoda i primitaka'!$L$3:$L$501,"=66")</f>
        <v>0</v>
      </c>
      <c r="S38" s="115">
        <f>SUMIFS('Unos prihoda i primitaka'!$H$3:$H$501,'Unos prihoda i primitaka'!$C$3:$C$501,"=61",'Unos prihoda i primitaka'!$L$3:$L$501,"=66")</f>
        <v>0</v>
      </c>
      <c r="T38" s="115">
        <f>SUMIFS('Unos prihoda i primitaka'!$H$3:$H$501,'Unos prihoda i primitaka'!$C$3:$C$501,"=63",'Unos prihoda i primitaka'!$L$3:$L$501,"=66")</f>
        <v>0</v>
      </c>
      <c r="U38" s="115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5088</v>
      </c>
      <c r="B39" s="43" t="s">
        <v>5097</v>
      </c>
      <c r="C39" s="27">
        <f t="shared" si="5"/>
        <v>96664</v>
      </c>
      <c r="D39" s="115">
        <f>SUMIFS('Unos prihoda i primitaka'!$H$3:$H$501,'Unos prihoda i primitaka'!$C$3:$C$501,"=11",'Unos prihoda i primitaka'!$L$3:$L$501,"=67")</f>
        <v>89558</v>
      </c>
      <c r="E39" s="115">
        <f>SUMIFS('Unos prihoda i primitaka'!$H$3:$H$501,'Unos prihoda i primitaka'!$C$3:$C$501,"=12",'Unos prihoda i primitaka'!$L$3:$L$501,"=67")</f>
        <v>7106</v>
      </c>
      <c r="F39" s="115">
        <f>SUMIFS('Unos prihoda i primitaka'!$H$3:$H$501,'Unos prihoda i primitaka'!$C$3:$C$501,"=31",'Unos prihoda i primitaka'!$L$3:$L$501,"=67")</f>
        <v>0</v>
      </c>
      <c r="G39" s="115">
        <f>SUMIFS('Unos prihoda i primitaka'!$H$3:$H$501,'Unos prihoda i primitaka'!$C$3:$C$501,"=41",'Unos prihoda i primitaka'!$L$3:$L$501,"=67")</f>
        <v>0</v>
      </c>
      <c r="H39" s="115">
        <f>SUMIFS('Unos prihoda i primitaka'!$H$3:$H$501,'Unos prihoda i primitaka'!$C$3:$C$501,"=43",'Unos prihoda i primitaka'!$L$3:$L$501,"=67")</f>
        <v>0</v>
      </c>
      <c r="I39" s="115">
        <f>SUMIFS('Unos prihoda i primitaka'!$H$3:$H$501,'Unos prihoda i primitaka'!$C$3:$C$501,"=51",'Unos prihoda i primitaka'!$L$3:$L$501,"=67")</f>
        <v>0</v>
      </c>
      <c r="J39" s="115">
        <f>SUMIFS('Unos prihoda i primitaka'!$H$3:$H$501,'Unos prihoda i primitaka'!$C$3:$C$501,"=52",'Unos prihoda i primitaka'!$L$3:$L$501,"=67")</f>
        <v>0</v>
      </c>
      <c r="K39" s="115">
        <f>SUMIFS('Unos prihoda i primitaka'!$H$3:$H$501,'Unos prihoda i primitaka'!$C$3:$C$501,"=552",'Unos prihoda i primitaka'!$L$3:$L$501,"=67")</f>
        <v>0</v>
      </c>
      <c r="L39" s="115">
        <f>SUMIFS('Unos prihoda i primitaka'!$H$3:$H$501,'Unos prihoda i primitaka'!$C$3:$C$501,"=559",'Unos prihoda i primitaka'!$L$3:$L$501,"=67")</f>
        <v>0</v>
      </c>
      <c r="M39" s="115">
        <f>SUMIFS('Unos prihoda i primitaka'!$H$3:$H$501,'Unos prihoda i primitaka'!$C$3:$C$501,"=561",'Unos prihoda i primitaka'!$L$3:$L$501,"=67")</f>
        <v>0</v>
      </c>
      <c r="N39" s="115">
        <f>SUMIFS('Unos prihoda i primitaka'!$H$3:$H$501,'Unos prihoda i primitaka'!$C$3:$C$501,"=563",'Unos prihoda i primitaka'!$L$3:$L$501,"=67")</f>
        <v>0</v>
      </c>
      <c r="O39" s="115">
        <f>SUMIFS('Unos prihoda i primitaka'!$H$3:$H$501,'Unos prihoda i primitaka'!$C$3:$C$501,"=573",'Unos prihoda i primitaka'!$L$3:$L$501,"=67")</f>
        <v>0</v>
      </c>
      <c r="P39" s="115">
        <f>SUMIFS('Unos prihoda i primitaka'!$H$3:$H$501,'Unos prihoda i primitaka'!$C$3:$C$501,"=575",'Unos prihoda i primitaka'!$L$3:$L$501,"=67")</f>
        <v>0</v>
      </c>
      <c r="Q39" s="115">
        <f>SUMIFS('Unos prihoda i primitaka'!$H$3:$H$501,'Unos prihoda i primitaka'!$C$3:$C$501,"=576",'Unos prihoda i primitaka'!$L$3:$L$501,"=67")</f>
        <v>0</v>
      </c>
      <c r="R39" s="115">
        <f>SUMIFS('Unos prihoda i primitaka'!$H$3:$H$501,'Unos prihoda i primitaka'!$C$3:$C$501,"=581",'Unos prihoda i primitaka'!$L$3:$L$501,"=67")</f>
        <v>0</v>
      </c>
      <c r="S39" s="115">
        <f>SUMIFS('Unos prihoda i primitaka'!$H$3:$H$501,'Unos prihoda i primitaka'!$C$3:$C$501,"=61",'Unos prihoda i primitaka'!$L$3:$L$501,"=67")</f>
        <v>0</v>
      </c>
      <c r="T39" s="115">
        <f>SUMIFS('Unos prihoda i primitaka'!$H$3:$H$501,'Unos prihoda i primitaka'!$C$3:$C$501,"=63",'Unos prihoda i primitaka'!$L$3:$L$501,"=67")</f>
        <v>0</v>
      </c>
      <c r="U39" s="115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5087</v>
      </c>
      <c r="B40" s="43" t="s">
        <v>5086</v>
      </c>
      <c r="C40" s="27">
        <f t="shared" si="5"/>
        <v>0</v>
      </c>
      <c r="D40" s="115">
        <f>SUMIFS('Unos prihoda i primitaka'!$H$3:$H$501,'Unos prihoda i primitaka'!$C$3:$C$501,"=11",'Unos prihoda i primitaka'!$L$3:$L$501,"=68")</f>
        <v>0</v>
      </c>
      <c r="E40" s="115">
        <f>SUMIFS('Unos prihoda i primitaka'!$H$3:$H$501,'Unos prihoda i primitaka'!$C$3:$C$501,"=12",'Unos prihoda i primitaka'!$L$3:$L$501,"=68")</f>
        <v>0</v>
      </c>
      <c r="F40" s="115">
        <f>SUMIFS('Unos prihoda i primitaka'!$H$3:$H$501,'Unos prihoda i primitaka'!$C$3:$C$501,"=31",'Unos prihoda i primitaka'!$L$3:$L$501,"=68")</f>
        <v>0</v>
      </c>
      <c r="G40" s="115">
        <f>SUMIFS('Unos prihoda i primitaka'!$H$3:$H$501,'Unos prihoda i primitaka'!$C$3:$C$501,"=41",'Unos prihoda i primitaka'!$L$3:$L$501,"=68")</f>
        <v>0</v>
      </c>
      <c r="H40" s="115">
        <f>SUMIFS('Unos prihoda i primitaka'!$H$3:$H$501,'Unos prihoda i primitaka'!$C$3:$C$501,"=43",'Unos prihoda i primitaka'!$L$3:$L$501,"=68")</f>
        <v>0</v>
      </c>
      <c r="I40" s="115">
        <f>SUMIFS('Unos prihoda i primitaka'!$H$3:$H$501,'Unos prihoda i primitaka'!$C$3:$C$501,"=51",'Unos prihoda i primitaka'!$L$3:$L$501,"=68")</f>
        <v>0</v>
      </c>
      <c r="J40" s="115">
        <f>SUMIFS('Unos prihoda i primitaka'!$H$3:$H$501,'Unos prihoda i primitaka'!$C$3:$C$501,"=52",'Unos prihoda i primitaka'!$L$3:$L$501,"=68")</f>
        <v>0</v>
      </c>
      <c r="K40" s="115">
        <f>SUMIFS('Unos prihoda i primitaka'!$H$3:$H$501,'Unos prihoda i primitaka'!$C$3:$C$501,"=552",'Unos prihoda i primitaka'!$L$3:$L$501,"=68")</f>
        <v>0</v>
      </c>
      <c r="L40" s="115">
        <f>SUMIFS('Unos prihoda i primitaka'!$H$3:$H$501,'Unos prihoda i primitaka'!$C$3:$C$501,"=559",'Unos prihoda i primitaka'!$L$3:$L$501,"=68")</f>
        <v>0</v>
      </c>
      <c r="M40" s="115">
        <f>SUMIFS('Unos prihoda i primitaka'!$H$3:$H$501,'Unos prihoda i primitaka'!$C$3:$C$501,"=561",'Unos prihoda i primitaka'!$L$3:$L$501,"=68")</f>
        <v>0</v>
      </c>
      <c r="N40" s="115">
        <f>SUMIFS('Unos prihoda i primitaka'!$H$3:$H$501,'Unos prihoda i primitaka'!$C$3:$C$501,"=563",'Unos prihoda i primitaka'!$L$3:$L$501,"=68")</f>
        <v>0</v>
      </c>
      <c r="O40" s="115">
        <f>SUMIFS('Unos prihoda i primitaka'!$H$3:$H$501,'Unos prihoda i primitaka'!$C$3:$C$501,"=573",'Unos prihoda i primitaka'!$L$3:$L$501,"=68")</f>
        <v>0</v>
      </c>
      <c r="P40" s="115">
        <f>SUMIFS('Unos prihoda i primitaka'!$H$3:$H$501,'Unos prihoda i primitaka'!$C$3:$C$501,"=575",'Unos prihoda i primitaka'!$L$3:$L$501,"=68")</f>
        <v>0</v>
      </c>
      <c r="Q40" s="115">
        <f>SUMIFS('Unos prihoda i primitaka'!$H$3:$H$501,'Unos prihoda i primitaka'!$C$3:$C$501,"=576",'Unos prihoda i primitaka'!$L$3:$L$501,"=68")</f>
        <v>0</v>
      </c>
      <c r="R40" s="115">
        <f>SUMIFS('Unos prihoda i primitaka'!$H$3:$H$501,'Unos prihoda i primitaka'!$C$3:$C$501,"=581",'Unos prihoda i primitaka'!$L$3:$L$501,"=68")</f>
        <v>0</v>
      </c>
      <c r="S40" s="115">
        <f>SUMIFS('Unos prihoda i primitaka'!$H$3:$H$501,'Unos prihoda i primitaka'!$C$3:$C$501,"=61",'Unos prihoda i primitaka'!$L$3:$L$501,"=68")</f>
        <v>0</v>
      </c>
      <c r="T40" s="115">
        <f>SUMIFS('Unos prihoda i primitaka'!$H$3:$H$501,'Unos prihoda i primitaka'!$C$3:$C$501,"=63",'Unos prihoda i primitaka'!$L$3:$L$501,"=68")</f>
        <v>0</v>
      </c>
      <c r="U40" s="115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243</v>
      </c>
      <c r="B41" s="46" t="s">
        <v>244</v>
      </c>
      <c r="C41" s="27">
        <f t="shared" si="5"/>
        <v>1056884</v>
      </c>
      <c r="D41" s="3">
        <f t="shared" ref="D41:U41" si="6">SUM(D34:D40)</f>
        <v>89558</v>
      </c>
      <c r="E41" s="3">
        <f t="shared" si="6"/>
        <v>7106</v>
      </c>
      <c r="F41" s="3">
        <f t="shared" si="6"/>
        <v>50</v>
      </c>
      <c r="G41" s="3">
        <f t="shared" si="6"/>
        <v>0</v>
      </c>
      <c r="H41" s="3">
        <f t="shared" si="6"/>
        <v>-130000</v>
      </c>
      <c r="I41" s="3">
        <f t="shared" si="6"/>
        <v>0</v>
      </c>
      <c r="J41" s="3">
        <f t="shared" si="6"/>
        <v>1288081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-197911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0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5089</v>
      </c>
      <c r="B42" s="47" t="s">
        <v>5090</v>
      </c>
      <c r="C42" s="27">
        <f t="shared" si="5"/>
        <v>0</v>
      </c>
      <c r="D42" s="115">
        <f>SUMIFS('Unos prihoda i primitaka'!$H$3:$H$501,'Unos prihoda i primitaka'!$C$3:$C$501,"=11",'Unos prihoda i primitaka'!$L$3:$L$501,"=71")</f>
        <v>0</v>
      </c>
      <c r="E42" s="115">
        <f>SUMIFS('Unos prihoda i primitaka'!$H$3:$H$501,'Unos prihoda i primitaka'!$C$3:$C$501,"=12",'Unos prihoda i primitaka'!$L$3:$L$501,"=71")</f>
        <v>0</v>
      </c>
      <c r="F42" s="115">
        <f>SUMIFS('Unos prihoda i primitaka'!$H$3:$H$501,'Unos prihoda i primitaka'!$C$3:$C$501,"=31",'Unos prihoda i primitaka'!$L$3:$L$501,"=71")</f>
        <v>0</v>
      </c>
      <c r="G42" s="115">
        <f>SUMIFS('Unos prihoda i primitaka'!$H$3:$H$501,'Unos prihoda i primitaka'!$C$3:$C$501,"=41",'Unos prihoda i primitaka'!$L$3:$L$501,"=71")</f>
        <v>0</v>
      </c>
      <c r="H42" s="115">
        <f>SUMIFS('Unos prihoda i primitaka'!$H$3:$H$501,'Unos prihoda i primitaka'!$C$3:$C$501,"=43",'Unos prihoda i primitaka'!$L$3:$L$501,"=71")</f>
        <v>0</v>
      </c>
      <c r="I42" s="115">
        <f>SUMIFS('Unos prihoda i primitaka'!$H$3:$H$501,'Unos prihoda i primitaka'!$C$3:$C$501,"=51",'Unos prihoda i primitaka'!$L$3:$L$501,"=71")</f>
        <v>0</v>
      </c>
      <c r="J42" s="115">
        <f>SUMIFS('Unos prihoda i primitaka'!$H$3:$H$501,'Unos prihoda i primitaka'!$C$3:$C$501,"=52",'Unos prihoda i primitaka'!$L$3:$L$501,"=71")</f>
        <v>0</v>
      </c>
      <c r="K42" s="115">
        <f>SUMIFS('Unos prihoda i primitaka'!$H$3:$H$501,'Unos prihoda i primitaka'!$C$3:$C$501,"=552",'Unos prihoda i primitaka'!$L$3:$L$501,"=71")</f>
        <v>0</v>
      </c>
      <c r="L42" s="115">
        <f>SUMIFS('Unos prihoda i primitaka'!$H$3:$H$501,'Unos prihoda i primitaka'!$C$3:$C$501,"=559",'Unos prihoda i primitaka'!$L$3:$L$501,"=71")</f>
        <v>0</v>
      </c>
      <c r="M42" s="115">
        <f>SUMIFS('Unos prihoda i primitaka'!$H$3:$H$501,'Unos prihoda i primitaka'!$C$3:$C$501,"=561",'Unos prihoda i primitaka'!$L$3:$L$501,"=71")</f>
        <v>0</v>
      </c>
      <c r="N42" s="115">
        <f>SUMIFS('Unos prihoda i primitaka'!$H$3:$H$501,'Unos prihoda i primitaka'!$C$3:$C$501,"=563",'Unos prihoda i primitaka'!$L$3:$L$501,"=71")</f>
        <v>0</v>
      </c>
      <c r="O42" s="115">
        <f>SUMIFS('Unos prihoda i primitaka'!$H$3:$H$501,'Unos prihoda i primitaka'!$C$3:$C$501,"=573",'Unos prihoda i primitaka'!$L$3:$L$501,"=71")</f>
        <v>0</v>
      </c>
      <c r="P42" s="115">
        <f>SUMIFS('Unos prihoda i primitaka'!$H$3:$H$501,'Unos prihoda i primitaka'!$C$3:$C$501,"=575",'Unos prihoda i primitaka'!$L$3:$L$501,"=71")</f>
        <v>0</v>
      </c>
      <c r="Q42" s="115">
        <f>SUMIFS('Unos prihoda i primitaka'!$H$3:$H$501,'Unos prihoda i primitaka'!$C$3:$C$501,"=576",'Unos prihoda i primitaka'!$L$3:$L$501,"=71")</f>
        <v>0</v>
      </c>
      <c r="R42" s="115">
        <f>SUMIFS('Unos prihoda i primitaka'!$H$3:$H$501,'Unos prihoda i primitaka'!$C$3:$C$501,"=581",'Unos prihoda i primitaka'!$L$3:$L$501,"=71")</f>
        <v>0</v>
      </c>
      <c r="S42" s="115">
        <f>SUMIFS('Unos prihoda i primitaka'!$H$3:$H$501,'Unos prihoda i primitaka'!$C$3:$C$501,"=61",'Unos prihoda i primitaka'!$L$3:$L$501,"=71")</f>
        <v>0</v>
      </c>
      <c r="T42" s="115">
        <f>SUMIFS('Unos prihoda i primitaka'!$H$3:$H$501,'Unos prihoda i primitaka'!$C$3:$C$501,"=63",'Unos prihoda i primitaka'!$L$3:$L$501,"=71")</f>
        <v>0</v>
      </c>
      <c r="U42" s="115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5091</v>
      </c>
      <c r="B43" s="47" t="s">
        <v>5092</v>
      </c>
      <c r="C43" s="27">
        <f t="shared" si="5"/>
        <v>0</v>
      </c>
      <c r="D43" s="115">
        <f>SUMIFS('Unos prihoda i primitaka'!$H$3:$H$501,'Unos prihoda i primitaka'!$C$3:$C$501,"=11",'Unos prihoda i primitaka'!$L$3:$L$501,"=72")</f>
        <v>0</v>
      </c>
      <c r="E43" s="115">
        <f>SUMIFS('Unos prihoda i primitaka'!$H$3:$H$501,'Unos prihoda i primitaka'!$C$3:$C$501,"=12",'Unos prihoda i primitaka'!$L$3:$L$501,"=72")</f>
        <v>0</v>
      </c>
      <c r="F43" s="115">
        <f>SUMIFS('Unos prihoda i primitaka'!$H$3:$H$501,'Unos prihoda i primitaka'!$C$3:$C$501,"=31",'Unos prihoda i primitaka'!$L$3:$L$501,"=72")</f>
        <v>0</v>
      </c>
      <c r="G43" s="115">
        <f>SUMIFS('Unos prihoda i primitaka'!$H$3:$H$501,'Unos prihoda i primitaka'!$C$3:$C$501,"=41",'Unos prihoda i primitaka'!$L$3:$L$501,"=72")</f>
        <v>0</v>
      </c>
      <c r="H43" s="115">
        <f>SUMIFS('Unos prihoda i primitaka'!$H$3:$H$501,'Unos prihoda i primitaka'!$C$3:$C$501,"=43",'Unos prihoda i primitaka'!$L$3:$L$501,"=72")</f>
        <v>0</v>
      </c>
      <c r="I43" s="115">
        <f>SUMIFS('Unos prihoda i primitaka'!$H$3:$H$501,'Unos prihoda i primitaka'!$C$3:$C$501,"=51",'Unos prihoda i primitaka'!$L$3:$L$501,"=72")</f>
        <v>0</v>
      </c>
      <c r="J43" s="115">
        <f>SUMIFS('Unos prihoda i primitaka'!$H$3:$H$501,'Unos prihoda i primitaka'!$C$3:$C$501,"=52",'Unos prihoda i primitaka'!$L$3:$L$501,"=72")</f>
        <v>0</v>
      </c>
      <c r="K43" s="115">
        <f>SUMIFS('Unos prihoda i primitaka'!$H$3:$H$501,'Unos prihoda i primitaka'!$C$3:$C$501,"=552",'Unos prihoda i primitaka'!$L$3:$L$501,"=72")</f>
        <v>0</v>
      </c>
      <c r="L43" s="115">
        <f>SUMIFS('Unos prihoda i primitaka'!$H$3:$H$501,'Unos prihoda i primitaka'!$C$3:$C$501,"=559",'Unos prihoda i primitaka'!$L$3:$L$501,"=72")</f>
        <v>0</v>
      </c>
      <c r="M43" s="115">
        <f>SUMIFS('Unos prihoda i primitaka'!$H$3:$H$501,'Unos prihoda i primitaka'!$C$3:$C$501,"=561",'Unos prihoda i primitaka'!$L$3:$L$501,"=72")</f>
        <v>0</v>
      </c>
      <c r="N43" s="115">
        <f>SUMIFS('Unos prihoda i primitaka'!$H$3:$H$501,'Unos prihoda i primitaka'!$C$3:$C$501,"=563",'Unos prihoda i primitaka'!$L$3:$L$501,"=72")</f>
        <v>0</v>
      </c>
      <c r="O43" s="115">
        <f>SUMIFS('Unos prihoda i primitaka'!$H$3:$H$501,'Unos prihoda i primitaka'!$C$3:$C$501,"=573",'Unos prihoda i primitaka'!$L$3:$L$501,"=72")</f>
        <v>0</v>
      </c>
      <c r="P43" s="115">
        <f>SUMIFS('Unos prihoda i primitaka'!$H$3:$H$501,'Unos prihoda i primitaka'!$C$3:$C$501,"=575",'Unos prihoda i primitaka'!$L$3:$L$501,"=72")</f>
        <v>0</v>
      </c>
      <c r="Q43" s="115">
        <f>SUMIFS('Unos prihoda i primitaka'!$H$3:$H$501,'Unos prihoda i primitaka'!$C$3:$C$501,"=576",'Unos prihoda i primitaka'!$L$3:$L$501,"=72")</f>
        <v>0</v>
      </c>
      <c r="R43" s="115">
        <f>SUMIFS('Unos prihoda i primitaka'!$H$3:$H$501,'Unos prihoda i primitaka'!$C$3:$C$501,"=581",'Unos prihoda i primitaka'!$L$3:$L$501,"=72")</f>
        <v>0</v>
      </c>
      <c r="S43" s="115">
        <f>SUMIFS('Unos prihoda i primitaka'!$H$3:$H$501,'Unos prihoda i primitaka'!$C$3:$C$501,"=61",'Unos prihoda i primitaka'!$L$3:$L$501,"=72")</f>
        <v>0</v>
      </c>
      <c r="T43" s="115">
        <f>SUMIFS('Unos prihoda i primitaka'!$H$3:$H$501,'Unos prihoda i primitaka'!$C$3:$C$501,"=63",'Unos prihoda i primitaka'!$L$3:$L$501,"=72")</f>
        <v>0</v>
      </c>
      <c r="U43" s="115">
        <f>SUMIFS('Unos prihoda i primitaka'!$H$3:$H$501,'Unos prihoda i primitaka'!$C$3:$C$501,"=71",'Unos prihoda i primitaka'!$L$3:$L$501,"=72")</f>
        <v>0</v>
      </c>
    </row>
    <row r="44" spans="1:21" s="38" customFormat="1">
      <c r="A44" s="45" t="s">
        <v>245</v>
      </c>
      <c r="B44" s="46" t="s">
        <v>244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233</v>
      </c>
      <c r="B46" s="40" t="s">
        <v>234</v>
      </c>
      <c r="C46" s="176" t="s">
        <v>235</v>
      </c>
      <c r="D46" s="164" t="s">
        <v>255</v>
      </c>
      <c r="E46" s="164" t="s">
        <v>247</v>
      </c>
      <c r="F46" s="165" t="s">
        <v>16</v>
      </c>
      <c r="G46" s="165" t="s">
        <v>1224</v>
      </c>
      <c r="H46" s="165" t="s">
        <v>17</v>
      </c>
      <c r="I46" s="165" t="s">
        <v>236</v>
      </c>
      <c r="J46" s="165" t="s">
        <v>237</v>
      </c>
      <c r="K46" s="165" t="s">
        <v>1225</v>
      </c>
      <c r="L46" s="165" t="s">
        <v>238</v>
      </c>
      <c r="M46" s="165" t="s">
        <v>239</v>
      </c>
      <c r="N46" s="165" t="s">
        <v>240</v>
      </c>
      <c r="O46" s="165" t="s">
        <v>1226</v>
      </c>
      <c r="P46" s="165" t="s">
        <v>1227</v>
      </c>
      <c r="Q46" s="165" t="s">
        <v>1702</v>
      </c>
      <c r="R46" s="41" t="s">
        <v>3011</v>
      </c>
      <c r="S46" s="41" t="s">
        <v>241</v>
      </c>
      <c r="T46" s="41" t="s">
        <v>242</v>
      </c>
      <c r="U46" s="41" t="s">
        <v>246</v>
      </c>
    </row>
    <row r="47" spans="1:21" s="38" customFormat="1" ht="20.25" customHeight="1">
      <c r="A47" s="327">
        <v>2024</v>
      </c>
      <c r="B47" s="327" t="s">
        <v>5261</v>
      </c>
      <c r="C47" s="60">
        <f t="shared" ref="C47:C64" si="8">SUM(D47:U47)</f>
        <v>6892153</v>
      </c>
      <c r="D47" s="60">
        <f t="shared" ref="D47:U47" si="9">+D64+D61</f>
        <v>3731694</v>
      </c>
      <c r="E47" s="60">
        <f t="shared" si="9"/>
        <v>114794</v>
      </c>
      <c r="F47" s="60">
        <f t="shared" si="9"/>
        <v>70450</v>
      </c>
      <c r="G47" s="60">
        <f t="shared" si="9"/>
        <v>0</v>
      </c>
      <c r="H47" s="60">
        <f t="shared" si="9"/>
        <v>520000</v>
      </c>
      <c r="I47" s="60">
        <f t="shared" si="9"/>
        <v>0</v>
      </c>
      <c r="J47" s="60">
        <f t="shared" si="9"/>
        <v>1653126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802089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0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5077</v>
      </c>
      <c r="B48" s="57" t="s">
        <v>5076</v>
      </c>
      <c r="C48" s="27">
        <f t="shared" si="8"/>
        <v>0</v>
      </c>
      <c r="D48" s="115">
        <f>SUMIFS('Unos prihoda i primitaka'!$I$3:$I$501,'Unos prihoda i primitaka'!$C$3:$C$501,"=11",'Unos prihoda i primitaka'!$L$3:$L$501,"=61")</f>
        <v>0</v>
      </c>
      <c r="E48" s="115">
        <f>SUMIFS('Unos prihoda i primitaka'!$I$3:$I$501,'Unos prihoda i primitaka'!$C$3:$C$501,"=12",'Unos prihoda i primitaka'!$L$3:$L$501,"=61")</f>
        <v>0</v>
      </c>
      <c r="F48" s="115">
        <f>SUMIFS('Unos prihoda i primitaka'!$I$3:$I$501,'Unos prihoda i primitaka'!$C$3:$C$501,"=31",'Unos prihoda i primitaka'!$L$3:$L$501,"=61")</f>
        <v>0</v>
      </c>
      <c r="G48" s="115">
        <f>SUMIFS('Unos prihoda i primitaka'!$I$3:$I$501,'Unos prihoda i primitaka'!$C$3:$C$501,"=41",'Unos prihoda i primitaka'!$L$3:$L$501,"=61")</f>
        <v>0</v>
      </c>
      <c r="H48" s="115">
        <f>SUMIFS('Unos prihoda i primitaka'!$I$3:$I$501,'Unos prihoda i primitaka'!$C$3:$C$501,"=43",'Unos prihoda i primitaka'!$L$3:$L$501,"=61")</f>
        <v>0</v>
      </c>
      <c r="I48" s="115">
        <f>SUMIFS('Unos prihoda i primitaka'!$I$3:$I$501,'Unos prihoda i primitaka'!$C$3:$C$501,"=51",'Unos prihoda i primitaka'!$L$3:$L$501,"=61")</f>
        <v>0</v>
      </c>
      <c r="J48" s="115">
        <f>SUMIFS('Unos prihoda i primitaka'!$I$3:$I$501,'Unos prihoda i primitaka'!$C$3:$C$501,"=52",'Unos prihoda i primitaka'!$L$3:$L$501,"=61")</f>
        <v>0</v>
      </c>
      <c r="K48" s="115">
        <f>SUMIFS('Unos prihoda i primitaka'!$I$3:$I$501,'Unos prihoda i primitaka'!$C$3:$C$501,"=552",'Unos prihoda i primitaka'!$L$3:$L$501,"=61")</f>
        <v>0</v>
      </c>
      <c r="L48" s="115">
        <f>SUMIFS('Unos prihoda i primitaka'!$I$3:$I$501,'Unos prihoda i primitaka'!$C$3:$C$501,"=559",'Unos prihoda i primitaka'!$L$3:$L$501,"=61")</f>
        <v>0</v>
      </c>
      <c r="M48" s="115">
        <f>SUMIFS('Unos prihoda i primitaka'!$I$3:$I$501,'Unos prihoda i primitaka'!$C$3:$C$501,"=561",'Unos prihoda i primitaka'!$L$3:$L$501,"=61")</f>
        <v>0</v>
      </c>
      <c r="N48" s="115">
        <f>SUMIFS('Unos prihoda i primitaka'!$I$3:$I$501,'Unos prihoda i primitaka'!$C$3:$C$501,"=563",'Unos prihoda i primitaka'!$L$3:$L$501,"=61")</f>
        <v>0</v>
      </c>
      <c r="O48" s="115">
        <f>SUMIFS('Unos prihoda i primitaka'!$I$3:$I$501,'Unos prihoda i primitaka'!$C$3:$C$501,"=573",'Unos prihoda i primitaka'!$L$3:$L$501,"=61")</f>
        <v>0</v>
      </c>
      <c r="P48" s="115">
        <f>SUMIFS('Unos prihoda i primitaka'!$I$3:$I$501,'Unos prihoda i primitaka'!$C$3:$C$501,"=575",'Unos prihoda i primitaka'!$L$3:$L$501,"=61")</f>
        <v>0</v>
      </c>
      <c r="Q48" s="115">
        <f>SUMIFS('Unos prihoda i primitaka'!$I$3:$I$501,'Unos prihoda i primitaka'!$C$3:$C$501,"=576",'Unos prihoda i primitaka'!$L$3:$L$501,"=61")</f>
        <v>0</v>
      </c>
      <c r="R48" s="115">
        <f>SUMIFS('Unos prihoda i primitaka'!$I$3:$I$501,'Unos prihoda i primitaka'!$C$3:$C$501,"=581",'Unos prihoda i primitaka'!$L$3:$L$501,"=61")</f>
        <v>0</v>
      </c>
      <c r="S48" s="115">
        <f>SUMIFS('Unos prihoda i primitaka'!$I$3:$I$501,'Unos prihoda i primitaka'!$C$3:$C$501,"=61",'Unos prihoda i primitaka'!$L$3:$L$501,"=61")</f>
        <v>0</v>
      </c>
      <c r="T48" s="115">
        <f>SUMIFS('Unos prihoda i primitaka'!$I$3:$I$501,'Unos prihoda i primitaka'!$C$3:$C$501,"=63",'Unos prihoda i primitaka'!$L$3:$L$501,"=61")</f>
        <v>0</v>
      </c>
      <c r="U48" s="115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</row>
    <row r="50" spans="1:21" s="38" customFormat="1">
      <c r="A50" s="44"/>
      <c r="B50" s="57"/>
      <c r="C50" s="27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</row>
    <row r="51" spans="1:21" s="38" customFormat="1">
      <c r="A51" s="44"/>
      <c r="B51" s="57"/>
      <c r="C51" s="27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s="38" customFormat="1" ht="25.5">
      <c r="A52" s="44" t="s">
        <v>5079</v>
      </c>
      <c r="B52" s="57" t="s">
        <v>5078</v>
      </c>
      <c r="C52" s="27">
        <f t="shared" si="8"/>
        <v>2455215</v>
      </c>
      <c r="D52" s="115">
        <f>SUMIFS('Unos prihoda i primitaka'!$I$3:$I$501,'Unos prihoda i primitaka'!$C$3:$C$501,"=11",'Unos prihoda i primitaka'!$L$3:$L$501,"=63")</f>
        <v>0</v>
      </c>
      <c r="E52" s="115">
        <f>SUMIFS('Unos prihoda i primitaka'!$I$3:$I$501,'Unos prihoda i primitaka'!$C$3:$C$501,"=12",'Unos prihoda i primitaka'!$L$3:$L$501,"=63")</f>
        <v>0</v>
      </c>
      <c r="F52" s="115">
        <f>SUMIFS('Unos prihoda i primitaka'!$I$3:$I$501,'Unos prihoda i primitaka'!$C$3:$C$501,"=31",'Unos prihoda i primitaka'!$L$3:$L$501,"=63")</f>
        <v>0</v>
      </c>
      <c r="G52" s="115">
        <f>SUMIFS('Unos prihoda i primitaka'!$I$3:$I$501,'Unos prihoda i primitaka'!$C$3:$C$501,"=41",'Unos prihoda i primitaka'!$L$3:$L$501,"=63")</f>
        <v>0</v>
      </c>
      <c r="H52" s="115">
        <f>SUMIFS('Unos prihoda i primitaka'!$I$3:$I$501,'Unos prihoda i primitaka'!$C$3:$C$501,"=43",'Unos prihoda i primitaka'!$L$3:$L$501,"=63")</f>
        <v>0</v>
      </c>
      <c r="I52" s="115">
        <f>SUMIFS('Unos prihoda i primitaka'!$I$3:$I$501,'Unos prihoda i primitaka'!$C$3:$C$501,"=51",'Unos prihoda i primitaka'!$L$3:$L$501,"=63")</f>
        <v>0</v>
      </c>
      <c r="J52" s="115">
        <f>SUMIFS('Unos prihoda i primitaka'!$I$3:$I$501,'Unos prihoda i primitaka'!$C$3:$C$501,"=52",'Unos prihoda i primitaka'!$L$3:$L$501,"=63")</f>
        <v>1653126</v>
      </c>
      <c r="K52" s="115">
        <f>SUMIFS('Unos prihoda i primitaka'!$I$3:$I$501,'Unos prihoda i primitaka'!$C$3:$C$501,"=552",'Unos prihoda i primitaka'!$L$3:$L$501,"=63")</f>
        <v>0</v>
      </c>
      <c r="L52" s="115">
        <f>SUMIFS('Unos prihoda i primitaka'!$I$3:$I$501,'Unos prihoda i primitaka'!$C$3:$C$501,"=559",'Unos prihoda i primitaka'!$L$3:$L$501,"=63")</f>
        <v>0</v>
      </c>
      <c r="M52" s="115">
        <f>SUMIFS('Unos prihoda i primitaka'!$I$3:$I$501,'Unos prihoda i primitaka'!$C$3:$C$501,"=561",'Unos prihoda i primitaka'!$L$3:$L$501,"=63")</f>
        <v>0</v>
      </c>
      <c r="N52" s="115">
        <f>SUMIFS('Unos prihoda i primitaka'!$I$3:$I$501,'Unos prihoda i primitaka'!$C$3:$C$501,"=563",'Unos prihoda i primitaka'!$L$3:$L$501,"=63")</f>
        <v>802089</v>
      </c>
      <c r="O52" s="115">
        <f>SUMIFS('Unos prihoda i primitaka'!$I$3:$I$501,'Unos prihoda i primitaka'!$C$3:$C$501,"=573",'Unos prihoda i primitaka'!$L$3:$L$501,"=63")</f>
        <v>0</v>
      </c>
      <c r="P52" s="115">
        <f>SUMIFS('Unos prihoda i primitaka'!$I$3:$I$501,'Unos prihoda i primitaka'!$C$3:$C$501,"=575",'Unos prihoda i primitaka'!$L$3:$L$501,"=63")</f>
        <v>0</v>
      </c>
      <c r="Q52" s="115">
        <f>SUMIFS('Unos prihoda i primitaka'!$I$3:$I$501,'Unos prihoda i primitaka'!$C$3:$C$501,"=576",'Unos prihoda i primitaka'!$L$3:$L$501,"=63")</f>
        <v>0</v>
      </c>
      <c r="R52" s="115">
        <f>SUMIFS('Unos prihoda i primitaka'!$I$3:$I$501,'Unos prihoda i primitaka'!$C$3:$C$501,"=581",'Unos prihoda i primitaka'!$L$3:$L$501,"=63")</f>
        <v>0</v>
      </c>
      <c r="S52" s="115">
        <f>SUMIFS('Unos prihoda i primitaka'!$I$3:$I$501,'Unos prihoda i primitaka'!$C$3:$C$501,"=61",'Unos prihoda i primitaka'!$L$3:$L$501,"=63")</f>
        <v>0</v>
      </c>
      <c r="T52" s="115">
        <f>SUMIFS('Unos prihoda i primitaka'!$I$3:$I$501,'Unos prihoda i primitaka'!$C$3:$C$501,"=63",'Unos prihoda i primitaka'!$L$3:$L$501,"=63")</f>
        <v>0</v>
      </c>
      <c r="U52" s="115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</row>
    <row r="54" spans="1:21" s="38" customFormat="1">
      <c r="A54" s="44"/>
      <c r="B54" s="57"/>
      <c r="C54" s="27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</row>
    <row r="55" spans="1:21" s="38" customFormat="1">
      <c r="A55" s="44"/>
      <c r="B55" s="57"/>
      <c r="C55" s="27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</row>
    <row r="56" spans="1:21" s="38" customFormat="1">
      <c r="A56" s="42" t="s">
        <v>5081</v>
      </c>
      <c r="B56" s="43" t="s">
        <v>5080</v>
      </c>
      <c r="C56" s="27">
        <f t="shared" si="8"/>
        <v>450</v>
      </c>
      <c r="D56" s="115">
        <f>SUMIFS('Unos prihoda i primitaka'!$I$3:$I$501,'Unos prihoda i primitaka'!$C$3:$C$501,"=11",'Unos prihoda i primitaka'!$L$3:$L$501,"=64")</f>
        <v>0</v>
      </c>
      <c r="E56" s="115">
        <f>SUMIFS('Unos prihoda i primitaka'!$I$3:$I$501,'Unos prihoda i primitaka'!$C$3:$C$501,"=12",'Unos prihoda i primitaka'!$L$3:$L$501,"=64")</f>
        <v>0</v>
      </c>
      <c r="F56" s="115">
        <f>SUMIFS('Unos prihoda i primitaka'!$I$3:$I$501,'Unos prihoda i primitaka'!$C$3:$C$501,"=31",'Unos prihoda i primitaka'!$L$3:$L$501,"=64")</f>
        <v>450</v>
      </c>
      <c r="G56" s="115">
        <f>SUMIFS('Unos prihoda i primitaka'!$I$3:$I$501,'Unos prihoda i primitaka'!$C$3:$C$501,"=41",'Unos prihoda i primitaka'!$L$3:$L$501,"=64")</f>
        <v>0</v>
      </c>
      <c r="H56" s="115">
        <f>SUMIFS('Unos prihoda i primitaka'!$I$3:$I$501,'Unos prihoda i primitaka'!$C$3:$C$501,"=43",'Unos prihoda i primitaka'!$L$3:$L$501,"=64")</f>
        <v>0</v>
      </c>
      <c r="I56" s="115">
        <f>SUMIFS('Unos prihoda i primitaka'!$I$3:$I$501,'Unos prihoda i primitaka'!$C$3:$C$501,"=51",'Unos prihoda i primitaka'!$L$3:$L$501,"=64")</f>
        <v>0</v>
      </c>
      <c r="J56" s="115">
        <f>SUMIFS('Unos prihoda i primitaka'!$I$3:$I$501,'Unos prihoda i primitaka'!$C$3:$C$501,"=52",'Unos prihoda i primitaka'!$L$3:$L$501,"=64")</f>
        <v>0</v>
      </c>
      <c r="K56" s="115">
        <f>SUMIFS('Unos prihoda i primitaka'!$I$3:$I$501,'Unos prihoda i primitaka'!$C$3:$C$501,"=552",'Unos prihoda i primitaka'!$L$3:$L$501,"=64")</f>
        <v>0</v>
      </c>
      <c r="L56" s="115">
        <f>SUMIFS('Unos prihoda i primitaka'!$I$3:$I$501,'Unos prihoda i primitaka'!$C$3:$C$501,"=559",'Unos prihoda i primitaka'!$L$3:$L$501,"=64")</f>
        <v>0</v>
      </c>
      <c r="M56" s="115">
        <f>SUMIFS('Unos prihoda i primitaka'!$I$3:$I$501,'Unos prihoda i primitaka'!$C$3:$C$501,"=561",'Unos prihoda i primitaka'!$L$3:$L$501,"=64")</f>
        <v>0</v>
      </c>
      <c r="N56" s="115">
        <f>SUMIFS('Unos prihoda i primitaka'!$I$3:$I$501,'Unos prihoda i primitaka'!$C$3:$C$501,"=563",'Unos prihoda i primitaka'!$L$3:$L$501,"=64")</f>
        <v>0</v>
      </c>
      <c r="O56" s="115">
        <f>SUMIFS('Unos prihoda i primitaka'!$I$3:$I$501,'Unos prihoda i primitaka'!$C$3:$C$501,"=573",'Unos prihoda i primitaka'!$L$3:$L$501,"=64")</f>
        <v>0</v>
      </c>
      <c r="P56" s="115">
        <f>SUMIFS('Unos prihoda i primitaka'!$I$3:$I$501,'Unos prihoda i primitaka'!$C$3:$C$501,"=575",'Unos prihoda i primitaka'!$L$3:$L$501,"=64")</f>
        <v>0</v>
      </c>
      <c r="Q56" s="115">
        <f>SUMIFS('Unos prihoda i primitaka'!$I$3:$I$501,'Unos prihoda i primitaka'!$C$3:$C$501,"=576",'Unos prihoda i primitaka'!$L$3:$L$501,"=64")</f>
        <v>0</v>
      </c>
      <c r="R56" s="115">
        <f>SUMIFS('Unos prihoda i primitaka'!$I$3:$I$501,'Unos prihoda i primitaka'!$C$3:$C$501,"=581",'Unos prihoda i primitaka'!$L$3:$L$501,"=64")</f>
        <v>0</v>
      </c>
      <c r="S56" s="115">
        <f>SUMIFS('Unos prihoda i primitaka'!$I$3:$I$501,'Unos prihoda i primitaka'!$C$3:$C$501,"=61",'Unos prihoda i primitaka'!$L$3:$L$501,"=64")</f>
        <v>0</v>
      </c>
      <c r="T56" s="115">
        <f>SUMIFS('Unos prihoda i primitaka'!$I$3:$I$501,'Unos prihoda i primitaka'!$C$3:$C$501,"=63",'Unos prihoda i primitaka'!$L$3:$L$501,"=64")</f>
        <v>0</v>
      </c>
      <c r="U56" s="115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5082</v>
      </c>
      <c r="B57" s="43" t="s">
        <v>5083</v>
      </c>
      <c r="C57" s="27">
        <f t="shared" si="8"/>
        <v>520000</v>
      </c>
      <c r="D57" s="115">
        <f>SUMIFS('Unos prihoda i primitaka'!$I$3:$I$501,'Unos prihoda i primitaka'!$C$3:$C$501,"=11",'Unos prihoda i primitaka'!$L$3:$L$501,"=65")</f>
        <v>0</v>
      </c>
      <c r="E57" s="115">
        <f>SUMIFS('Unos prihoda i primitaka'!$I$3:$I$501,'Unos prihoda i primitaka'!$C$3:$C$501,"=12",'Unos prihoda i primitaka'!$L$3:$L$501,"=65")</f>
        <v>0</v>
      </c>
      <c r="F57" s="115">
        <f>SUMIFS('Unos prihoda i primitaka'!$I$3:$I$501,'Unos prihoda i primitaka'!$C$3:$C$501,"=31",'Unos prihoda i primitaka'!$L$3:$L$501,"=65")</f>
        <v>0</v>
      </c>
      <c r="G57" s="115">
        <f>SUMIFS('Unos prihoda i primitaka'!$I$3:$I$501,'Unos prihoda i primitaka'!$C$3:$C$501,"=41",'Unos prihoda i primitaka'!$L$3:$L$501,"=65")</f>
        <v>0</v>
      </c>
      <c r="H57" s="115">
        <f>SUMIFS('Unos prihoda i primitaka'!$I$3:$I$501,'Unos prihoda i primitaka'!$C$3:$C$501,"=43",'Unos prihoda i primitaka'!$L$3:$L$501,"=65")</f>
        <v>520000</v>
      </c>
      <c r="I57" s="115">
        <f>SUMIFS('Unos prihoda i primitaka'!$I$3:$I$501,'Unos prihoda i primitaka'!$C$3:$C$501,"=51",'Unos prihoda i primitaka'!$L$3:$L$501,"=65")</f>
        <v>0</v>
      </c>
      <c r="J57" s="115">
        <f>SUMIFS('Unos prihoda i primitaka'!$I$3:$I$501,'Unos prihoda i primitaka'!$C$3:$C$501,"=52",'Unos prihoda i primitaka'!$L$3:$L$501,"=65")</f>
        <v>0</v>
      </c>
      <c r="K57" s="115">
        <f>SUMIFS('Unos prihoda i primitaka'!$I$3:$I$501,'Unos prihoda i primitaka'!$C$3:$C$501,"=552",'Unos prihoda i primitaka'!$L$3:$L$501,"=65")</f>
        <v>0</v>
      </c>
      <c r="L57" s="115">
        <f>SUMIFS('Unos prihoda i primitaka'!$I$3:$I$501,'Unos prihoda i primitaka'!$C$3:$C$501,"=559",'Unos prihoda i primitaka'!$L$3:$L$501,"=65")</f>
        <v>0</v>
      </c>
      <c r="M57" s="115">
        <f>SUMIFS('Unos prihoda i primitaka'!$I$3:$I$501,'Unos prihoda i primitaka'!$C$3:$C$501,"=561",'Unos prihoda i primitaka'!$L$3:$L$501,"=65")</f>
        <v>0</v>
      </c>
      <c r="N57" s="115">
        <f>SUMIFS('Unos prihoda i primitaka'!$I$3:$I$501,'Unos prihoda i primitaka'!$C$3:$C$501,"=563",'Unos prihoda i primitaka'!$L$3:$L$501,"=65")</f>
        <v>0</v>
      </c>
      <c r="O57" s="115">
        <f>SUMIFS('Unos prihoda i primitaka'!$I$3:$I$501,'Unos prihoda i primitaka'!$C$3:$C$501,"=573",'Unos prihoda i primitaka'!$L$3:$L$501,"=65")</f>
        <v>0</v>
      </c>
      <c r="P57" s="115">
        <f>SUMIFS('Unos prihoda i primitaka'!$I$3:$I$501,'Unos prihoda i primitaka'!$C$3:$C$501,"=575",'Unos prihoda i primitaka'!$L$3:$L$501,"=65")</f>
        <v>0</v>
      </c>
      <c r="Q57" s="115">
        <f>SUMIFS('Unos prihoda i primitaka'!$I$3:$I$501,'Unos prihoda i primitaka'!$C$3:$C$501,"=576",'Unos prihoda i primitaka'!$L$3:$L$501,"=65")</f>
        <v>0</v>
      </c>
      <c r="R57" s="115">
        <f>SUMIFS('Unos prihoda i primitaka'!$I$3:$I$501,'Unos prihoda i primitaka'!$C$3:$C$501,"=581",'Unos prihoda i primitaka'!$L$3:$L$501,"=65")</f>
        <v>0</v>
      </c>
      <c r="S57" s="115">
        <f>SUMIFS('Unos prihoda i primitaka'!$I$3:$I$501,'Unos prihoda i primitaka'!$C$3:$C$501,"=61",'Unos prihoda i primitaka'!$L$3:$L$501,"=65")</f>
        <v>0</v>
      </c>
      <c r="T57" s="115">
        <f>SUMIFS('Unos prihoda i primitaka'!$I$3:$I$501,'Unos prihoda i primitaka'!$C$3:$C$501,"=63",'Unos prihoda i primitaka'!$L$3:$L$501,"=65")</f>
        <v>0</v>
      </c>
      <c r="U57" s="115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2" t="s">
        <v>5085</v>
      </c>
      <c r="B58" s="43" t="s">
        <v>5084</v>
      </c>
      <c r="C58" s="27">
        <f t="shared" si="8"/>
        <v>70000</v>
      </c>
      <c r="D58" s="115">
        <f>SUMIFS('Unos prihoda i primitaka'!$I$3:$I$501,'Unos prihoda i primitaka'!$C$3:$C$501,"=11",'Unos prihoda i primitaka'!$L$3:$L$501,"=66")</f>
        <v>0</v>
      </c>
      <c r="E58" s="115">
        <f>SUMIFS('Unos prihoda i primitaka'!$I$3:$I$501,'Unos prihoda i primitaka'!$C$3:$C$501,"=12",'Unos prihoda i primitaka'!$L$3:$L$501,"=66")</f>
        <v>0</v>
      </c>
      <c r="F58" s="115">
        <f>SUMIFS('Unos prihoda i primitaka'!$I$3:$I$501,'Unos prihoda i primitaka'!$C$3:$C$501,"=31",'Unos prihoda i primitaka'!$L$3:$L$501,"=66")</f>
        <v>70000</v>
      </c>
      <c r="G58" s="115">
        <f>SUMIFS('Unos prihoda i primitaka'!$I$3:$I$501,'Unos prihoda i primitaka'!$C$3:$C$501,"=41",'Unos prihoda i primitaka'!$L$3:$L$501,"=66")</f>
        <v>0</v>
      </c>
      <c r="H58" s="115">
        <f>SUMIFS('Unos prihoda i primitaka'!$I$3:$I$501,'Unos prihoda i primitaka'!$C$3:$C$501,"=43",'Unos prihoda i primitaka'!$L$3:$L$501,"=66")</f>
        <v>0</v>
      </c>
      <c r="I58" s="115">
        <f>SUMIFS('Unos prihoda i primitaka'!$I$3:$I$501,'Unos prihoda i primitaka'!$C$3:$C$501,"=51",'Unos prihoda i primitaka'!$L$3:$L$501,"=66")</f>
        <v>0</v>
      </c>
      <c r="J58" s="115">
        <f>SUMIFS('Unos prihoda i primitaka'!$I$3:$I$501,'Unos prihoda i primitaka'!$C$3:$C$501,"=52",'Unos prihoda i primitaka'!$L$3:$L$501,"=66")</f>
        <v>0</v>
      </c>
      <c r="K58" s="115">
        <f>SUMIFS('Unos prihoda i primitaka'!$I$3:$I$501,'Unos prihoda i primitaka'!$C$3:$C$501,"=552",'Unos prihoda i primitaka'!$L$3:$L$501,"=66")</f>
        <v>0</v>
      </c>
      <c r="L58" s="115">
        <f>SUMIFS('Unos prihoda i primitaka'!$I$3:$I$501,'Unos prihoda i primitaka'!$C$3:$C$501,"=559",'Unos prihoda i primitaka'!$L$3:$L$501,"=66")</f>
        <v>0</v>
      </c>
      <c r="M58" s="115">
        <f>SUMIFS('Unos prihoda i primitaka'!$I$3:$I$501,'Unos prihoda i primitaka'!$C$3:$C$501,"=561",'Unos prihoda i primitaka'!$L$3:$L$501,"=66")</f>
        <v>0</v>
      </c>
      <c r="N58" s="115">
        <f>SUMIFS('Unos prihoda i primitaka'!$I$3:$I$501,'Unos prihoda i primitaka'!$C$3:$C$501,"=563",'Unos prihoda i primitaka'!$L$3:$L$501,"=66")</f>
        <v>0</v>
      </c>
      <c r="O58" s="115">
        <f>SUMIFS('Unos prihoda i primitaka'!$I$3:$I$501,'Unos prihoda i primitaka'!$C$3:$C$501,"=573",'Unos prihoda i primitaka'!$L$3:$L$501,"=66")</f>
        <v>0</v>
      </c>
      <c r="P58" s="115">
        <f>SUMIFS('Unos prihoda i primitaka'!$I$3:$I$501,'Unos prihoda i primitaka'!$C$3:$C$501,"=575",'Unos prihoda i primitaka'!$L$3:$L$501,"=66")</f>
        <v>0</v>
      </c>
      <c r="Q58" s="115">
        <f>SUMIFS('Unos prihoda i primitaka'!$I$3:$I$501,'Unos prihoda i primitaka'!$C$3:$C$501,"=576",'Unos prihoda i primitaka'!$L$3:$L$501,"=66")</f>
        <v>0</v>
      </c>
      <c r="R58" s="115">
        <f>SUMIFS('Unos prihoda i primitaka'!$I$3:$I$501,'Unos prihoda i primitaka'!$C$3:$C$501,"=581",'Unos prihoda i primitaka'!$L$3:$L$501,"=66")</f>
        <v>0</v>
      </c>
      <c r="S58" s="115">
        <f>SUMIFS('Unos prihoda i primitaka'!$I$3:$I$501,'Unos prihoda i primitaka'!$C$3:$C$501,"=61",'Unos prihoda i primitaka'!$L$3:$L$501,"=66")</f>
        <v>0</v>
      </c>
      <c r="T58" s="115">
        <f>SUMIFS('Unos prihoda i primitaka'!$I$3:$I$501,'Unos prihoda i primitaka'!$C$3:$C$501,"=63",'Unos prihoda i primitaka'!$L$3:$L$501,"=66")</f>
        <v>0</v>
      </c>
      <c r="U58" s="115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5088</v>
      </c>
      <c r="B59" s="43" t="s">
        <v>5097</v>
      </c>
      <c r="C59" s="27">
        <f t="shared" si="8"/>
        <v>3846488</v>
      </c>
      <c r="D59" s="115">
        <f>SUMIFS('Unos prihoda i primitaka'!$I$3:$I$501,'Unos prihoda i primitaka'!$C$3:$C$501,"=11",'Unos prihoda i primitaka'!$L$3:$L$501,"=67")</f>
        <v>3731694</v>
      </c>
      <c r="E59" s="115">
        <f>SUMIFS('Unos prihoda i primitaka'!$I$3:$I$501,'Unos prihoda i primitaka'!$C$3:$C$501,"=12",'Unos prihoda i primitaka'!$L$3:$L$501,"=67")</f>
        <v>114794</v>
      </c>
      <c r="F59" s="115">
        <f>SUMIFS('Unos prihoda i primitaka'!$I$3:$I$501,'Unos prihoda i primitaka'!$C$3:$C$501,"=31",'Unos prihoda i primitaka'!$L$3:$L$501,"=67")</f>
        <v>0</v>
      </c>
      <c r="G59" s="115">
        <f>SUMIFS('Unos prihoda i primitaka'!$I$3:$I$501,'Unos prihoda i primitaka'!$C$3:$C$501,"=41",'Unos prihoda i primitaka'!$L$3:$L$501,"=67")</f>
        <v>0</v>
      </c>
      <c r="H59" s="115">
        <f>SUMIFS('Unos prihoda i primitaka'!$I$3:$I$501,'Unos prihoda i primitaka'!$C$3:$C$501,"=43",'Unos prihoda i primitaka'!$L$3:$L$501,"=67")</f>
        <v>0</v>
      </c>
      <c r="I59" s="115">
        <f>SUMIFS('Unos prihoda i primitaka'!$I$3:$I$501,'Unos prihoda i primitaka'!$C$3:$C$501,"=51",'Unos prihoda i primitaka'!$L$3:$L$501,"=67")</f>
        <v>0</v>
      </c>
      <c r="J59" s="115">
        <f>SUMIFS('Unos prihoda i primitaka'!$I$3:$I$501,'Unos prihoda i primitaka'!$C$3:$C$501,"=52",'Unos prihoda i primitaka'!$L$3:$L$501,"=67")</f>
        <v>0</v>
      </c>
      <c r="K59" s="115">
        <f>SUMIFS('Unos prihoda i primitaka'!$I$3:$I$501,'Unos prihoda i primitaka'!$C$3:$C$501,"=552",'Unos prihoda i primitaka'!$L$3:$L$501,"=67")</f>
        <v>0</v>
      </c>
      <c r="L59" s="115">
        <f>SUMIFS('Unos prihoda i primitaka'!$I$3:$I$501,'Unos prihoda i primitaka'!$C$3:$C$501,"=559",'Unos prihoda i primitaka'!$L$3:$L$501,"=67")</f>
        <v>0</v>
      </c>
      <c r="M59" s="115">
        <f>SUMIFS('Unos prihoda i primitaka'!$I$3:$I$501,'Unos prihoda i primitaka'!$C$3:$C$501,"=561",'Unos prihoda i primitaka'!$L$3:$L$501,"=67")</f>
        <v>0</v>
      </c>
      <c r="N59" s="115">
        <f>SUMIFS('Unos prihoda i primitaka'!$I$3:$I$501,'Unos prihoda i primitaka'!$C$3:$C$501,"=563",'Unos prihoda i primitaka'!$L$3:$L$501,"=67")</f>
        <v>0</v>
      </c>
      <c r="O59" s="115">
        <f>SUMIFS('Unos prihoda i primitaka'!$I$3:$I$501,'Unos prihoda i primitaka'!$C$3:$C$501,"=573",'Unos prihoda i primitaka'!$L$3:$L$501,"=67")</f>
        <v>0</v>
      </c>
      <c r="P59" s="115">
        <f>SUMIFS('Unos prihoda i primitaka'!$I$3:$I$501,'Unos prihoda i primitaka'!$C$3:$C$501,"=575",'Unos prihoda i primitaka'!$L$3:$L$501,"=67")</f>
        <v>0</v>
      </c>
      <c r="Q59" s="115">
        <f>SUMIFS('Unos prihoda i primitaka'!$I$3:$I$501,'Unos prihoda i primitaka'!$C$3:$C$501,"=576",'Unos prihoda i primitaka'!$L$3:$L$501,"=67")</f>
        <v>0</v>
      </c>
      <c r="R59" s="115">
        <f>SUMIFS('Unos prihoda i primitaka'!$I$3:$I$501,'Unos prihoda i primitaka'!$C$3:$C$501,"=581",'Unos prihoda i primitaka'!$L$3:$L$501,"=67")</f>
        <v>0</v>
      </c>
      <c r="S59" s="115">
        <f>SUMIFS('Unos prihoda i primitaka'!$I$3:$I$501,'Unos prihoda i primitaka'!$C$3:$C$501,"=61",'Unos prihoda i primitaka'!$L$3:$L$501,"=67")</f>
        <v>0</v>
      </c>
      <c r="T59" s="115">
        <f>SUMIFS('Unos prihoda i primitaka'!$I$3:$I$501,'Unos prihoda i primitaka'!$C$3:$C$501,"=63",'Unos prihoda i primitaka'!$L$3:$L$501,"=67")</f>
        <v>0</v>
      </c>
      <c r="U59" s="115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5087</v>
      </c>
      <c r="B60" s="43" t="s">
        <v>5086</v>
      </c>
      <c r="C60" s="27">
        <f t="shared" si="8"/>
        <v>0</v>
      </c>
      <c r="D60" s="115">
        <f>SUMIFS('Unos prihoda i primitaka'!$I$3:$I$501,'Unos prihoda i primitaka'!$C$3:$C$501,"=11",'Unos prihoda i primitaka'!$L$3:$L$501,"=68")</f>
        <v>0</v>
      </c>
      <c r="E60" s="115">
        <f>SUMIFS('Unos prihoda i primitaka'!$I$3:$I$501,'Unos prihoda i primitaka'!$C$3:$C$501,"=12",'Unos prihoda i primitaka'!$L$3:$L$501,"=68")</f>
        <v>0</v>
      </c>
      <c r="F60" s="115">
        <f>SUMIFS('Unos prihoda i primitaka'!$I$3:$I$501,'Unos prihoda i primitaka'!$C$3:$C$501,"=31",'Unos prihoda i primitaka'!$L$3:$L$501,"=68")</f>
        <v>0</v>
      </c>
      <c r="G60" s="115">
        <f>SUMIFS('Unos prihoda i primitaka'!$I$3:$I$501,'Unos prihoda i primitaka'!$C$3:$C$501,"=41",'Unos prihoda i primitaka'!$L$3:$L$501,"=68")</f>
        <v>0</v>
      </c>
      <c r="H60" s="115">
        <f>SUMIFS('Unos prihoda i primitaka'!$I$3:$I$501,'Unos prihoda i primitaka'!$C$3:$C$501,"=43",'Unos prihoda i primitaka'!$L$3:$L$501,"=68")</f>
        <v>0</v>
      </c>
      <c r="I60" s="115">
        <f>SUMIFS('Unos prihoda i primitaka'!$I$3:$I$501,'Unos prihoda i primitaka'!$C$3:$C$501,"=51",'Unos prihoda i primitaka'!$L$3:$L$501,"=68")</f>
        <v>0</v>
      </c>
      <c r="J60" s="115">
        <f>SUMIFS('Unos prihoda i primitaka'!$I$3:$I$501,'Unos prihoda i primitaka'!$C$3:$C$501,"=52",'Unos prihoda i primitaka'!$L$3:$L$501,"=68")</f>
        <v>0</v>
      </c>
      <c r="K60" s="115">
        <f>SUMIFS('Unos prihoda i primitaka'!$I$3:$I$501,'Unos prihoda i primitaka'!$C$3:$C$501,"=552",'Unos prihoda i primitaka'!$L$3:$L$501,"=68")</f>
        <v>0</v>
      </c>
      <c r="L60" s="115">
        <f>SUMIFS('Unos prihoda i primitaka'!$I$3:$I$501,'Unos prihoda i primitaka'!$C$3:$C$501,"=559",'Unos prihoda i primitaka'!$L$3:$L$501,"=68")</f>
        <v>0</v>
      </c>
      <c r="M60" s="115">
        <f>SUMIFS('Unos prihoda i primitaka'!$I$3:$I$501,'Unos prihoda i primitaka'!$C$3:$C$501,"=561",'Unos prihoda i primitaka'!$L$3:$L$501,"=68")</f>
        <v>0</v>
      </c>
      <c r="N60" s="115">
        <f>SUMIFS('Unos prihoda i primitaka'!$I$3:$I$501,'Unos prihoda i primitaka'!$C$3:$C$501,"=563",'Unos prihoda i primitaka'!$L$3:$L$501,"=68")</f>
        <v>0</v>
      </c>
      <c r="O60" s="115">
        <f>SUMIFS('Unos prihoda i primitaka'!$I$3:$I$501,'Unos prihoda i primitaka'!$C$3:$C$501,"=573",'Unos prihoda i primitaka'!$L$3:$L$501,"=68")</f>
        <v>0</v>
      </c>
      <c r="P60" s="115">
        <f>SUMIFS('Unos prihoda i primitaka'!$I$3:$I$501,'Unos prihoda i primitaka'!$C$3:$C$501,"=575",'Unos prihoda i primitaka'!$L$3:$L$501,"=68")</f>
        <v>0</v>
      </c>
      <c r="Q60" s="115">
        <f>SUMIFS('Unos prihoda i primitaka'!$I$3:$I$501,'Unos prihoda i primitaka'!$C$3:$C$501,"=576",'Unos prihoda i primitaka'!$L$3:$L$501,"=68")</f>
        <v>0</v>
      </c>
      <c r="R60" s="115">
        <f>SUMIFS('Unos prihoda i primitaka'!$I$3:$I$501,'Unos prihoda i primitaka'!$C$3:$C$501,"=581",'Unos prihoda i primitaka'!$L$3:$L$501,"=68")</f>
        <v>0</v>
      </c>
      <c r="S60" s="115">
        <f>SUMIFS('Unos prihoda i primitaka'!$I$3:$I$501,'Unos prihoda i primitaka'!$C$3:$C$501,"=61",'Unos prihoda i primitaka'!$L$3:$L$501,"=68")</f>
        <v>0</v>
      </c>
      <c r="T60" s="115">
        <f>SUMIFS('Unos prihoda i primitaka'!$I$3:$I$501,'Unos prihoda i primitaka'!$C$3:$C$501,"=63",'Unos prihoda i primitaka'!$L$3:$L$501,"=68")</f>
        <v>0</v>
      </c>
      <c r="U60" s="115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243</v>
      </c>
      <c r="B61" s="46" t="s">
        <v>244</v>
      </c>
      <c r="C61" s="27">
        <f t="shared" si="8"/>
        <v>6892153</v>
      </c>
      <c r="D61" s="3">
        <f t="shared" ref="D61:U61" si="10">SUM(D48:D60)</f>
        <v>3731694</v>
      </c>
      <c r="E61" s="3">
        <f t="shared" si="10"/>
        <v>114794</v>
      </c>
      <c r="F61" s="3">
        <f t="shared" si="10"/>
        <v>70450</v>
      </c>
      <c r="G61" s="3">
        <f t="shared" si="10"/>
        <v>0</v>
      </c>
      <c r="H61" s="3">
        <f t="shared" si="10"/>
        <v>520000</v>
      </c>
      <c r="I61" s="3">
        <f t="shared" si="10"/>
        <v>0</v>
      </c>
      <c r="J61" s="3">
        <f t="shared" si="10"/>
        <v>1653126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802089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5089</v>
      </c>
      <c r="B62" s="47" t="s">
        <v>5090</v>
      </c>
      <c r="C62" s="27">
        <f t="shared" si="8"/>
        <v>0</v>
      </c>
      <c r="D62" s="115">
        <f>SUMIFS('Unos prihoda i primitaka'!$I$3:$I$501,'Unos prihoda i primitaka'!$C$3:$C$501,"=11",'Unos prihoda i primitaka'!$L$3:$L$501,"=71")</f>
        <v>0</v>
      </c>
      <c r="E62" s="115">
        <f>SUMIFS('Unos prihoda i primitaka'!$I$3:$I$501,'Unos prihoda i primitaka'!$C$3:$C$501,"=12",'Unos prihoda i primitaka'!$L$3:$L$501,"=71")</f>
        <v>0</v>
      </c>
      <c r="F62" s="115">
        <f>SUMIFS('Unos prihoda i primitaka'!$I$3:$I$501,'Unos prihoda i primitaka'!$C$3:$C$501,"=31",'Unos prihoda i primitaka'!$L$3:$L$501,"=71")</f>
        <v>0</v>
      </c>
      <c r="G62" s="115">
        <f>SUMIFS('Unos prihoda i primitaka'!$I$3:$I$501,'Unos prihoda i primitaka'!$C$3:$C$501,"=41",'Unos prihoda i primitaka'!$L$3:$L$501,"=71")</f>
        <v>0</v>
      </c>
      <c r="H62" s="115">
        <f>SUMIFS('Unos prihoda i primitaka'!$I$3:$I$501,'Unos prihoda i primitaka'!$C$3:$C$501,"=43",'Unos prihoda i primitaka'!$L$3:$L$501,"=71")</f>
        <v>0</v>
      </c>
      <c r="I62" s="115">
        <f>SUMIFS('Unos prihoda i primitaka'!$I$3:$I$501,'Unos prihoda i primitaka'!$C$3:$C$501,"=51",'Unos prihoda i primitaka'!$L$3:$L$501,"=71")</f>
        <v>0</v>
      </c>
      <c r="J62" s="115">
        <f>SUMIFS('Unos prihoda i primitaka'!$I$3:$I$501,'Unos prihoda i primitaka'!$C$3:$C$501,"=52",'Unos prihoda i primitaka'!$L$3:$L$501,"=71")</f>
        <v>0</v>
      </c>
      <c r="K62" s="115">
        <f>SUMIFS('Unos prihoda i primitaka'!$I$3:$I$501,'Unos prihoda i primitaka'!$C$3:$C$501,"=552",'Unos prihoda i primitaka'!$L$3:$L$501,"=71")</f>
        <v>0</v>
      </c>
      <c r="L62" s="115">
        <f>SUMIFS('Unos prihoda i primitaka'!$I$3:$I$501,'Unos prihoda i primitaka'!$C$3:$C$501,"=559",'Unos prihoda i primitaka'!$L$3:$L$501,"=71")</f>
        <v>0</v>
      </c>
      <c r="M62" s="115">
        <f>SUMIFS('Unos prihoda i primitaka'!$I$3:$I$501,'Unos prihoda i primitaka'!$C$3:$C$501,"=561",'Unos prihoda i primitaka'!$L$3:$L$501,"=71")</f>
        <v>0</v>
      </c>
      <c r="N62" s="115">
        <f>SUMIFS('Unos prihoda i primitaka'!$I$3:$I$501,'Unos prihoda i primitaka'!$C$3:$C$501,"=563",'Unos prihoda i primitaka'!$L$3:$L$501,"=71")</f>
        <v>0</v>
      </c>
      <c r="O62" s="115">
        <f>SUMIFS('Unos prihoda i primitaka'!$I$3:$I$501,'Unos prihoda i primitaka'!$C$3:$C$501,"=573",'Unos prihoda i primitaka'!$L$3:$L$501,"=71")</f>
        <v>0</v>
      </c>
      <c r="P62" s="115">
        <f>SUMIFS('Unos prihoda i primitaka'!$I$3:$I$501,'Unos prihoda i primitaka'!$C$3:$C$501,"=575",'Unos prihoda i primitaka'!$L$3:$L$501,"=71")</f>
        <v>0</v>
      </c>
      <c r="Q62" s="115">
        <f>SUMIFS('Unos prihoda i primitaka'!$I$3:$I$501,'Unos prihoda i primitaka'!$C$3:$C$501,"=576",'Unos prihoda i primitaka'!$L$3:$L$501,"=71")</f>
        <v>0</v>
      </c>
      <c r="R62" s="115">
        <f>SUMIFS('Unos prihoda i primitaka'!$I$3:$I$501,'Unos prihoda i primitaka'!$C$3:$C$501,"=581",'Unos prihoda i primitaka'!$L$3:$L$501,"=71")</f>
        <v>0</v>
      </c>
      <c r="S62" s="115">
        <f>SUMIFS('Unos prihoda i primitaka'!$I$3:$I$501,'Unos prihoda i primitaka'!$C$3:$C$501,"=61",'Unos prihoda i primitaka'!$L$3:$L$501,"=71")</f>
        <v>0</v>
      </c>
      <c r="T62" s="115">
        <f>SUMIFS('Unos prihoda i primitaka'!$I$3:$I$501,'Unos prihoda i primitaka'!$C$3:$C$501,"=63",'Unos prihoda i primitaka'!$L$3:$L$501,"=71")</f>
        <v>0</v>
      </c>
      <c r="U62" s="115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5091</v>
      </c>
      <c r="B63" s="47" t="s">
        <v>5092</v>
      </c>
      <c r="C63" s="27">
        <f t="shared" si="8"/>
        <v>0</v>
      </c>
      <c r="D63" s="115">
        <f>SUMIFS('Unos prihoda i primitaka'!$I$3:$I$501,'Unos prihoda i primitaka'!$C$3:$C$501,"=11",'Unos prihoda i primitaka'!$L$3:$L$501,"=72")</f>
        <v>0</v>
      </c>
      <c r="E63" s="115">
        <f>SUMIFS('Unos prihoda i primitaka'!$I$3:$I$501,'Unos prihoda i primitaka'!$C$3:$C$501,"=12",'Unos prihoda i primitaka'!$L$3:$L$501,"=72")</f>
        <v>0</v>
      </c>
      <c r="F63" s="115">
        <f>SUMIFS('Unos prihoda i primitaka'!$I$3:$I$501,'Unos prihoda i primitaka'!$C$3:$C$501,"=31",'Unos prihoda i primitaka'!$L$3:$L$501,"=72")</f>
        <v>0</v>
      </c>
      <c r="G63" s="115">
        <f>SUMIFS('Unos prihoda i primitaka'!$I$3:$I$501,'Unos prihoda i primitaka'!$C$3:$C$501,"=41",'Unos prihoda i primitaka'!$L$3:$L$501,"=72")</f>
        <v>0</v>
      </c>
      <c r="H63" s="115">
        <f>SUMIFS('Unos prihoda i primitaka'!$I$3:$I$501,'Unos prihoda i primitaka'!$C$3:$C$501,"=43",'Unos prihoda i primitaka'!$L$3:$L$501,"=72")</f>
        <v>0</v>
      </c>
      <c r="I63" s="115">
        <f>SUMIFS('Unos prihoda i primitaka'!$I$3:$I$501,'Unos prihoda i primitaka'!$C$3:$C$501,"=51",'Unos prihoda i primitaka'!$L$3:$L$501,"=72")</f>
        <v>0</v>
      </c>
      <c r="J63" s="115">
        <f>SUMIFS('Unos prihoda i primitaka'!$I$3:$I$501,'Unos prihoda i primitaka'!$C$3:$C$501,"=52",'Unos prihoda i primitaka'!$L$3:$L$501,"=72")</f>
        <v>0</v>
      </c>
      <c r="K63" s="115">
        <f>SUMIFS('Unos prihoda i primitaka'!$I$3:$I$501,'Unos prihoda i primitaka'!$C$3:$C$501,"=552",'Unos prihoda i primitaka'!$L$3:$L$501,"=72")</f>
        <v>0</v>
      </c>
      <c r="L63" s="115">
        <f>SUMIFS('Unos prihoda i primitaka'!$I$3:$I$501,'Unos prihoda i primitaka'!$C$3:$C$501,"=559",'Unos prihoda i primitaka'!$L$3:$L$501,"=72")</f>
        <v>0</v>
      </c>
      <c r="M63" s="115">
        <f>SUMIFS('Unos prihoda i primitaka'!$I$3:$I$501,'Unos prihoda i primitaka'!$C$3:$C$501,"=561",'Unos prihoda i primitaka'!$L$3:$L$501,"=72")</f>
        <v>0</v>
      </c>
      <c r="N63" s="115">
        <f>SUMIFS('Unos prihoda i primitaka'!$I$3:$I$501,'Unos prihoda i primitaka'!$C$3:$C$501,"=563",'Unos prihoda i primitaka'!$L$3:$L$501,"=72")</f>
        <v>0</v>
      </c>
      <c r="O63" s="115">
        <f>SUMIFS('Unos prihoda i primitaka'!$I$3:$I$501,'Unos prihoda i primitaka'!$C$3:$C$501,"=573",'Unos prihoda i primitaka'!$L$3:$L$501,"=72")</f>
        <v>0</v>
      </c>
      <c r="P63" s="115">
        <f>SUMIFS('Unos prihoda i primitaka'!$I$3:$I$501,'Unos prihoda i primitaka'!$C$3:$C$501,"=575",'Unos prihoda i primitaka'!$L$3:$L$501,"=72")</f>
        <v>0</v>
      </c>
      <c r="Q63" s="115">
        <f>SUMIFS('Unos prihoda i primitaka'!$I$3:$I$501,'Unos prihoda i primitaka'!$C$3:$C$501,"=576",'Unos prihoda i primitaka'!$L$3:$L$501,"=72")</f>
        <v>0</v>
      </c>
      <c r="R63" s="115">
        <f>SUMIFS('Unos prihoda i primitaka'!$I$3:$I$501,'Unos prihoda i primitaka'!$C$3:$C$501,"=581",'Unos prihoda i primitaka'!$L$3:$L$501,"=72")</f>
        <v>0</v>
      </c>
      <c r="S63" s="115">
        <f>SUMIFS('Unos prihoda i primitaka'!$I$3:$I$501,'Unos prihoda i primitaka'!$C$3:$C$501,"=61",'Unos prihoda i primitaka'!$L$3:$L$501,"=72")</f>
        <v>0</v>
      </c>
      <c r="T63" s="115">
        <f>SUMIFS('Unos prihoda i primitaka'!$I$3:$I$501,'Unos prihoda i primitaka'!$C$3:$C$501,"=63",'Unos prihoda i primitaka'!$L$3:$L$501,"=72")</f>
        <v>0</v>
      </c>
      <c r="U63" s="115">
        <f>SUMIFS('Unos prihoda i primitaka'!$I$3:$I$501,'Unos prihoda i primitaka'!$C$3:$C$501,"=71",'Unos prihoda i primitaka'!$L$3:$L$501,"=72")</f>
        <v>0</v>
      </c>
    </row>
    <row r="64" spans="1:21" s="38" customFormat="1">
      <c r="A64" s="45" t="s">
        <v>245</v>
      </c>
      <c r="B64" s="46" t="s">
        <v>244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H66" sqref="H66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94" t="s">
        <v>5100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</row>
    <row r="2" spans="1:262" ht="14.25" customHeight="1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91"/>
      <c r="V2" s="291" t="s">
        <v>5246</v>
      </c>
    </row>
    <row r="3" spans="1:262" s="30" customFormat="1" ht="63.75">
      <c r="A3" s="41" t="s">
        <v>191</v>
      </c>
      <c r="B3" s="41" t="s">
        <v>192</v>
      </c>
      <c r="C3" s="2" t="s">
        <v>3013</v>
      </c>
      <c r="D3" s="2" t="s">
        <v>37</v>
      </c>
      <c r="E3" s="2" t="s">
        <v>247</v>
      </c>
      <c r="F3" s="41" t="s">
        <v>16</v>
      </c>
      <c r="G3" s="41" t="s">
        <v>5106</v>
      </c>
      <c r="H3" s="41" t="s">
        <v>17</v>
      </c>
      <c r="I3" s="41" t="s">
        <v>236</v>
      </c>
      <c r="J3" s="41" t="s">
        <v>237</v>
      </c>
      <c r="K3" s="41" t="s">
        <v>1225</v>
      </c>
      <c r="L3" s="41" t="s">
        <v>238</v>
      </c>
      <c r="M3" s="41" t="s">
        <v>239</v>
      </c>
      <c r="N3" s="41" t="s">
        <v>240</v>
      </c>
      <c r="O3" s="41" t="s">
        <v>1226</v>
      </c>
      <c r="P3" s="41" t="s">
        <v>5112</v>
      </c>
      <c r="Q3" s="41" t="s">
        <v>5113</v>
      </c>
      <c r="R3" s="41" t="s">
        <v>3011</v>
      </c>
      <c r="S3" s="41" t="s">
        <v>241</v>
      </c>
      <c r="T3" s="41" t="s">
        <v>242</v>
      </c>
      <c r="U3" s="41" t="s">
        <v>1202</v>
      </c>
      <c r="V3" s="41" t="s">
        <v>1201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27">
        <v>2024</v>
      </c>
      <c r="B4" s="327" t="s">
        <v>5260</v>
      </c>
      <c r="C4" s="60">
        <f>SUM(D4:V4)</f>
        <v>6344867.0696168216</v>
      </c>
      <c r="D4" s="61">
        <f>D5+D32</f>
        <v>3642136</v>
      </c>
      <c r="E4" s="61">
        <f t="shared" ref="E4:V4" si="0">E5+E32</f>
        <v>140020.76044252361</v>
      </c>
      <c r="F4" s="61">
        <f t="shared" si="0"/>
        <v>113000</v>
      </c>
      <c r="G4" s="61">
        <f t="shared" si="0"/>
        <v>0</v>
      </c>
      <c r="H4" s="61">
        <f t="shared" si="0"/>
        <v>765800</v>
      </c>
      <c r="I4" s="61">
        <f t="shared" si="0"/>
        <v>0</v>
      </c>
      <c r="J4" s="61">
        <f>J5+J32</f>
        <v>607126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1076784.3091742985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0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193</v>
      </c>
      <c r="C5" s="64">
        <f>SUM(D5:V5)</f>
        <v>6017741.0696168216</v>
      </c>
      <c r="D5" s="68">
        <f>+D6+D12+D17+D21+D25+D30+D31</f>
        <v>3401010</v>
      </c>
      <c r="E5" s="68">
        <f t="shared" ref="E5:V5" si="1">+E6+E12+E17+E21+E25+E30+E31</f>
        <v>140020.76044252361</v>
      </c>
      <c r="F5" s="68">
        <f t="shared" si="1"/>
        <v>113000</v>
      </c>
      <c r="G5" s="68">
        <f t="shared" si="1"/>
        <v>0</v>
      </c>
      <c r="H5" s="68">
        <f t="shared" si="1"/>
        <v>679800</v>
      </c>
      <c r="I5" s="68">
        <f t="shared" si="1"/>
        <v>0</v>
      </c>
      <c r="J5" s="68">
        <f t="shared" si="1"/>
        <v>607126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1076784.3091742985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23">
        <v>31</v>
      </c>
      <c r="B6" s="8" t="s">
        <v>194</v>
      </c>
      <c r="C6" s="70">
        <f>SUM(D6:V6)</f>
        <v>2356649</v>
      </c>
      <c r="D6" s="72">
        <f>SUMIFS('Unos rashoda i izdataka'!$J$3:$J$498,'Unos rashoda i izdataka'!$C$3:$C$498,"=11",'Unos rashoda i izdataka'!$P$3:$P$498,"=31")+SUMIFS('Unos rashoda P4'!$H$3:$H$492,'Unos rashoda P4'!$A$3:$A$492,"=11",'Unos rashoda P4'!$S$3:$S$492,"=31")</f>
        <v>2228649</v>
      </c>
      <c r="E6" s="72">
        <f>SUMIFS('Unos rashoda i izdataka'!$J$3:$J$498,'Unos rashoda i izdataka'!$C$3:$C$498,"=12",'Unos rashoda i izdataka'!$P$3:$P$498,"=31")+SUMIFS('Unos rashoda P4'!$H$3:$H$492,'Unos rashoda P4'!$A$3:$A$492,"=12",'Unos rashoda P4'!$S$3:$S$492,"=31")</f>
        <v>0</v>
      </c>
      <c r="F6" s="72">
        <f>SUMIFS('Unos rashoda i izdataka'!$J$3:$J$498,'Unos rashoda i izdataka'!$C$3:$C$498,"=31",'Unos rashoda i izdataka'!$P$3:$P$498,"=31")+SUMIFS('Unos rashoda P4'!$H$3:$H$492,'Unos rashoda P4'!$A$3:$A$492,"=31",'Unos rashoda P4'!$S$3:$S$492,"=31")</f>
        <v>110000</v>
      </c>
      <c r="G6" s="72">
        <f>SUMIFS('Unos rashoda i izdataka'!$J$3:$J$498,'Unos rashoda i izdataka'!$C$3:$C$498,"=41",'Unos rashoda i izdataka'!$P$3:$P$498,"=31")+SUMIFS('Unos rashoda P4'!$H$3:$H$492,'Unos rashoda P4'!$A$3:$A$492,"=41",'Unos rashoda P4'!$S$3:$S$492,"=31")</f>
        <v>0</v>
      </c>
      <c r="H6" s="72">
        <f>SUMIFS('Unos rashoda i izdataka'!$J$3:$J$498,'Unos rashoda i izdataka'!$C$3:$C$498,"=43",'Unos rashoda i izdataka'!$P$3:$P$498,"=31")+SUMIFS('Unos rashoda P4'!$H$3:$H$492,'Unos rashoda P4'!$A$3:$A$492,"=43",'Unos rashoda P4'!$S$3:$S$492,"=31")</f>
        <v>0</v>
      </c>
      <c r="I6" s="72">
        <f>SUMIFS('Unos rashoda i izdataka'!$J$3:$J$498,'Unos rashoda i izdataka'!$C$3:$C$498,"=51",'Unos rashoda i izdataka'!$P$3:$P$498,"=31")+SUMIFS('Unos rashoda P4'!$H$3:$H$492,'Unos rashoda P4'!$A$3:$A$492,"=51",'Unos rashoda P4'!$S$3:$S$492,"=31")</f>
        <v>0</v>
      </c>
      <c r="J6" s="72">
        <f>SUMIFS('Unos rashoda i izdataka'!$J$3:$J$498,'Unos rashoda i izdataka'!$C$3:$C$498,"=52",'Unos rashoda i izdataka'!$P$3:$P$498,"=31")+SUMIFS('Unos rashoda P4'!$H$3:$H$492,'Unos rashoda P4'!$A$3:$A$492,"=52",'Unos rashoda P4'!$S$3:$S$492,"=31")</f>
        <v>18000</v>
      </c>
      <c r="K6" s="72">
        <f>SUMIFS('Unos rashoda i izdataka'!$J$3:$J$498,'Unos rashoda i izdataka'!$C$3:$C$498,"=552",'Unos rashoda i izdataka'!$P$3:$P$498,"=31")+SUMIFS('Unos rashoda P4'!$H$3:$H$492,'Unos rashoda P4'!$A$3:$A$492,"=552",'Unos rashoda P4'!$S$3:$S$492,"=31")</f>
        <v>0</v>
      </c>
      <c r="L6" s="72">
        <f>SUMIFS('Unos rashoda i izdataka'!$J$3:$J$498,'Unos rashoda i izdataka'!$C$3:$C$498,"=559",'Unos rashoda i izdataka'!$P$3:$P$498,"=31")+SUMIFS('Unos rashoda P4'!$H$3:$H$492,'Unos rashoda P4'!$A$3:$A$492,"=559",'Unos rashoda P4'!$S$3:$S$492,"=31")</f>
        <v>0</v>
      </c>
      <c r="M6" s="72">
        <f>SUMIFS('Unos rashoda i izdataka'!$J$3:$J$498,'Unos rashoda i izdataka'!$C$3:$C$498,"=561",'Unos rashoda i izdataka'!$P$3:$P$498,"=31")+SUMIFS('Unos rashoda P4'!$H$3:$H$492,'Unos rashoda P4'!$A$3:$A$492,"=561",'Unos rashoda P4'!$S$3:$S$492,"=31")</f>
        <v>0</v>
      </c>
      <c r="N6" s="72">
        <f>SUMIFS('Unos rashoda i izdataka'!$J$3:$J$498,'Unos rashoda i izdataka'!$C$3:$C$498,"=563",'Unos rashoda i izdataka'!$P$3:$P$498,"=31")+SUMIFS('Unos rashoda P4'!$H$3:$H$492,'Unos rashoda P4'!$A$3:$A$492,"=563",'Unos rashoda P4'!$S$3:$S$492,"=31")</f>
        <v>0</v>
      </c>
      <c r="O6" s="72">
        <f>SUMIFS('Unos rashoda i izdataka'!$J$3:$J$498,'Unos rashoda i izdataka'!$C$3:$C$498,"=573",'Unos rashoda i izdataka'!$P$3:$P$498,"=31")+SUMIFS('Unos rashoda P4'!$H$3:$H$492,'Unos rashoda P4'!$A$3:$A$492,"=573",'Unos rashoda P4'!$S$3:$S$492,"=31")</f>
        <v>0</v>
      </c>
      <c r="P6" s="72">
        <f>SUMIFS('Unos rashoda i izdataka'!$J$3:$J$498,'Unos rashoda i izdataka'!$C$3:$C$498,"=575",'Unos rashoda i izdataka'!$P$3:$P$498,"=31")+SUMIFS('Unos rashoda P4'!$H$3:$H$492,'Unos rashoda P4'!$A$3:$A$492,"=575",'Unos rashoda P4'!$S$3:$S$492,"=31")</f>
        <v>0</v>
      </c>
      <c r="Q6" s="72">
        <f>SUMIFS('Unos rashoda i izdataka'!$J$3:$J$498,'Unos rashoda i izdataka'!$Q$3:$Q$498,"=576",'Unos rashoda i izdataka'!$P$3:$P$498,"=31")+SUMIFS('Unos rashoda P4'!$H$3:$H$492,'Unos rashoda P4'!$A$3:$A$492,"=576",'Unos rashoda P4'!$S$3:$S$492,"=31")</f>
        <v>0</v>
      </c>
      <c r="R6" s="72">
        <f>SUMIFS('Unos rashoda i izdataka'!$J$3:$J$498,'Unos rashoda i izdataka'!$C$3:$C$498,"=581",'Unos rashoda i izdataka'!$P$3:$P$498,"=31")+SUMIFS('Unos rashoda P4'!$H$3:$H$492,'Unos rashoda P4'!$A$3:$A$492,"=581",'Unos rashoda P4'!$S$3:$S$492,"=31")</f>
        <v>0</v>
      </c>
      <c r="S6" s="72">
        <f>SUMIFS('Unos rashoda i izdataka'!$J$3:$J$498,'Unos rashoda i izdataka'!$C$3:$C$498,"=61",'Unos rashoda i izdataka'!$P$3:$P$498,"=31")+SUMIFS('Unos rashoda P4'!$H$3:$H$492,'Unos rashoda P4'!$A$3:$A$492,"=61",'Unos rashoda P4'!$S$3:$S$492,"=31")</f>
        <v>0</v>
      </c>
      <c r="T6" s="72">
        <f>SUMIFS('Unos rashoda i izdataka'!$J$3:$J$498,'Unos rashoda i izdataka'!$C$3:$C$498,"=63",'Unos rashoda i izdataka'!$P$3:$P$498,"=31")+SUMIFS('Unos rashoda P4'!$H$3:$H$492,'Unos rashoda P4'!$A$3:$A$492,"=63",'Unos rashoda P4'!$S$3:$S$492,"=31")</f>
        <v>0</v>
      </c>
      <c r="U6" s="72">
        <f>SUMIFS('Unos rashoda i izdataka'!$J$3:$J$498,'Unos rashoda i izdataka'!$C$3:$C$498,"=71",'Unos rashoda i izdataka'!$P$3:$P$498,"=31")+SUMIFS('Unos rashoda P4'!$H$3:$H$492,'Unos rashoda P4'!$A$3:$A$492,"=71",'Unos rashoda P4'!$S$3:$S$492,"=31")</f>
        <v>0</v>
      </c>
      <c r="V6" s="72">
        <f>SUMIFS('Unos rashoda i izdataka'!$J$3:$J$498,'Unos rashoda i izdataka'!$C$3:$C$498,"=81",'Unos rashoda i izdataka'!$P$3:$P$498,"=31")+SUMIFS('Unos rashoda P4'!$H$3:$H$492,'Unos rashoda P4'!$A$3:$A$492,"=81",'Unos rashoda P4'!$S$3:$S$492,"=31")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23">
        <v>311</v>
      </c>
      <c r="B7" s="8" t="s">
        <v>5256</v>
      </c>
      <c r="C7" s="70">
        <f t="shared" ref="C7:C15" si="2">SUM(D7:V7)</f>
        <v>0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23">
        <v>3111</v>
      </c>
      <c r="B8" s="8" t="s">
        <v>47</v>
      </c>
      <c r="C8" s="70">
        <f t="shared" si="2"/>
        <v>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23">
        <v>313</v>
      </c>
      <c r="B9" s="8" t="s">
        <v>5257</v>
      </c>
      <c r="C9" s="70">
        <f t="shared" si="2"/>
        <v>0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23">
        <v>3132</v>
      </c>
      <c r="B10" s="8" t="s">
        <v>51</v>
      </c>
      <c r="C10" s="70">
        <f t="shared" si="2"/>
        <v>0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23"/>
      <c r="B11" s="8"/>
      <c r="C11" s="70">
        <f t="shared" si="2"/>
        <v>0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24">
        <v>32</v>
      </c>
      <c r="B12" s="10" t="s">
        <v>195</v>
      </c>
      <c r="C12" s="71">
        <f t="shared" ref="C12:C37" si="3">SUM(D12:V12)</f>
        <v>2988830.0696168221</v>
      </c>
      <c r="D12" s="72">
        <f>SUMIFS('Unos rashoda i izdataka'!$J$3:$J$498,'Unos rashoda i izdataka'!$C$3:$C$498,"=11",'Unos rashoda i izdataka'!$P$3:$P$498,"=32")+SUMIFS('Unos rashoda P4'!$H$3:$H$492,'Unos rashoda P4'!$A$3:$A$492,"=11",'Unos rashoda P4'!$S$3:$S$492,"=32")</f>
        <v>938199</v>
      </c>
      <c r="E12" s="72">
        <f>SUMIFS('Unos rashoda i izdataka'!$J$3:$J$498,'Unos rashoda i izdataka'!$C$3:$C$498,"=12",'Unos rashoda i izdataka'!$P$3:$P$498,"=32")+SUMIFS('Unos rashoda P4'!$H$3:$H$492,'Unos rashoda P4'!$A$3:$A$492,"=12",'Unos rashoda P4'!$S$3:$S$492,"=32")</f>
        <v>140020.76044252361</v>
      </c>
      <c r="F12" s="72">
        <f>SUMIFS('Unos rashoda i izdataka'!$J$3:$J$498,'Unos rashoda i izdataka'!$C$3:$C$498,"=31",'Unos rashoda i izdataka'!$P$3:$P$498,"=32")+SUMIFS('Unos rashoda P4'!$H$3:$H$492,'Unos rashoda P4'!$A$3:$A$492,"=31",'Unos rashoda P4'!$S$3:$S$492,"=32")</f>
        <v>0</v>
      </c>
      <c r="G12" s="72">
        <f>SUMIFS('Unos rashoda i izdataka'!$J$3:$J$498,'Unos rashoda i izdataka'!$C$3:$C$498,"=41",'Unos rashoda i izdataka'!$P$3:$P$498,"=32")+SUMIFS('Unos rashoda P4'!$H$3:$H$492,'Unos rashoda P4'!$A$3:$A$492,"=41",'Unos rashoda P4'!$S$3:$S$492,"=32")</f>
        <v>0</v>
      </c>
      <c r="H12" s="72">
        <f>SUMIFS('Unos rashoda i izdataka'!$J$3:$J$498,'Unos rashoda i izdataka'!$C$3:$C$498,"=43",'Unos rashoda i izdataka'!$P$3:$P$498,"=32")+SUMIFS('Unos rashoda P4'!$H$3:$H$492,'Unos rashoda P4'!$A$3:$A$492,"=43",'Unos rashoda P4'!$S$3:$S$492,"=32")</f>
        <v>663700</v>
      </c>
      <c r="I12" s="72">
        <f>SUMIFS('Unos rashoda i izdataka'!$J$3:$J$498,'Unos rashoda i izdataka'!$C$3:$C$498,"=51",'Unos rashoda i izdataka'!$P$3:$P$498,"=32")+SUMIFS('Unos rashoda P4'!$H$3:$H$492,'Unos rashoda P4'!$A$3:$A$492,"=51",'Unos rashoda P4'!$S$3:$S$492,"=32")</f>
        <v>0</v>
      </c>
      <c r="J12" s="72">
        <f>SUMIFS('Unos rashoda i izdataka'!$J$3:$J$498,'Unos rashoda i izdataka'!$C$3:$C$498,"=52",'Unos rashoda i izdataka'!$P$3:$P$498,"=32")+SUMIFS('Unos rashoda P4'!$H$3:$H$492,'Unos rashoda P4'!$A$3:$A$492,"=52",'Unos rashoda P4'!$S$3:$S$492,"=32")</f>
        <v>170126</v>
      </c>
      <c r="K12" s="72">
        <f>SUMIFS('Unos rashoda i izdataka'!$J$3:$J$498,'Unos rashoda i izdataka'!$C$3:$C$498,"=552",'Unos rashoda i izdataka'!$P$3:$P$498,"=32")+SUMIFS('Unos rashoda P4'!$H$3:$H$492,'Unos rashoda P4'!$A$3:$A$492,"=552",'Unos rashoda P4'!$S$3:$S$492,"=32")</f>
        <v>0</v>
      </c>
      <c r="L12" s="72">
        <f>SUMIFS('Unos rashoda i izdataka'!$J$3:$J$498,'Unos rashoda i izdataka'!$C$3:$C$498,"=559",'Unos rashoda i izdataka'!$P$3:$P$498,"=32")+SUMIFS('Unos rashoda P4'!$H$3:$H$492,'Unos rashoda P4'!$A$3:$A$492,"=559",'Unos rashoda P4'!$S$3:$S$492,"=32")</f>
        <v>0</v>
      </c>
      <c r="M12" s="72">
        <f>SUMIFS('Unos rashoda i izdataka'!$J$3:$J$498,'Unos rashoda i izdataka'!$C$3:$C$498,"=561",'Unos rashoda i izdataka'!$P$3:$P$498,"=32")+SUMIFS('Unos rashoda P4'!$H$3:$H$492,'Unos rashoda P4'!$A$3:$A$492,"=561",'Unos rashoda P4'!$S$3:$S$492,"=32")</f>
        <v>0</v>
      </c>
      <c r="N12" s="72">
        <f>SUMIFS('Unos rashoda i izdataka'!$J$3:$J$498,'Unos rashoda i izdataka'!$C$3:$C$498,"=563",'Unos rashoda i izdataka'!$P$3:$P$498,"=32")+SUMIFS('Unos rashoda P4'!$H$3:$H$492,'Unos rashoda P4'!$A$3:$A$492,"=563",'Unos rashoda P4'!$S$3:$S$492,"=32")</f>
        <v>1076784.3091742985</v>
      </c>
      <c r="O12" s="72">
        <f>SUMIFS('Unos rashoda i izdataka'!$J$3:$J$498,'Unos rashoda i izdataka'!$C$3:$C$498,"=573",'Unos rashoda i izdataka'!$P$3:$P$498,"=32")+SUMIFS('Unos rashoda P4'!$H$3:$H$492,'Unos rashoda P4'!$A$3:$A$492,"=573",'Unos rashoda P4'!$S$3:$S$492,"=32")</f>
        <v>0</v>
      </c>
      <c r="P12" s="72">
        <f>SUMIFS('Unos rashoda i izdataka'!$J$3:$J$498,'Unos rashoda i izdataka'!$C$3:$C$498,"=575",'Unos rashoda i izdataka'!$P$3:$P$498,"=32")+SUMIFS('Unos rashoda P4'!$H$3:$H$492,'Unos rashoda P4'!$A$3:$A$492,"=575",'Unos rashoda P4'!$S$3:$S$492,"=32")</f>
        <v>0</v>
      </c>
      <c r="Q12" s="72">
        <f>SUMIFS('Unos rashoda i izdataka'!$J$3:$J$498,'Unos rashoda i izdataka'!$Q$3:$Q$498,"=576",'Unos rashoda i izdataka'!$P$3:$P$498,"=32")+SUMIFS('Unos rashoda P4'!$H$3:$H$492,'Unos rashoda P4'!$A$3:$A$492,"=576",'Unos rashoda P4'!$S$3:$S$492,"=32")</f>
        <v>0</v>
      </c>
      <c r="R12" s="72">
        <f>SUMIFS('Unos rashoda i izdataka'!$J$3:$J$498,'Unos rashoda i izdataka'!$C$3:$C$498,"=581",'Unos rashoda i izdataka'!$P$3:$P$498,"=32")+SUMIFS('Unos rashoda P4'!$H$3:$H$492,'Unos rashoda P4'!$A$3:$A$492,"=581",'Unos rashoda P4'!$S$3:$S$492,"=32")</f>
        <v>0</v>
      </c>
      <c r="S12" s="72">
        <f>SUMIFS('Unos rashoda i izdataka'!$J$3:$J$498,'Unos rashoda i izdataka'!$C$3:$C$498,"=61",'Unos rashoda i izdataka'!$P$3:$P$498,"=32")+SUMIFS('Unos rashoda P4'!$H$3:$H$492,'Unos rashoda P4'!$A$3:$A$492,"=61",'Unos rashoda P4'!$S$3:$S$492,"=32")</f>
        <v>0</v>
      </c>
      <c r="T12" s="72">
        <f>SUMIFS('Unos rashoda i izdataka'!$J$3:$J$498,'Unos rashoda i izdataka'!$C$3:$C$498,"=63",'Unos rashoda i izdataka'!$P$3:$P$498,"=32")+SUMIFS('Unos rashoda P4'!$H$3:$H$492,'Unos rashoda P4'!$A$3:$A$492,"=63",'Unos rashoda P4'!$S$3:$S$492,"=32")</f>
        <v>0</v>
      </c>
      <c r="U12" s="72">
        <f>SUMIFS('Unos rashoda i izdataka'!$J$3:$J$498,'Unos rashoda i izdataka'!$C$3:$C$498,"=71",'Unos rashoda i izdataka'!$P$3:$P$498,"=32")+SUMIFS('Unos rashoda P4'!$H$3:$H$492,'Unos rashoda P4'!$A$3:$A$492,"=71",'Unos rashoda P4'!$S$3:$S$492,"=32")</f>
        <v>0</v>
      </c>
      <c r="V12" s="72">
        <f>SUMIFS('Unos rashoda i izdataka'!$J$3:$J$498,'Unos rashoda i izdataka'!$C$3:$C$498,"=81",'Unos rashoda i izdataka'!$P$3:$P$498,"=32")+SUMIFS('Unos rashoda P4'!$H$3:$H$492,'Unos rashoda P4'!$A$3:$A$492,"=81",'Unos rashoda P4'!$S$3:$S$492,"=32")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24">
        <v>321</v>
      </c>
      <c r="B13" s="10" t="s">
        <v>5258</v>
      </c>
      <c r="C13" s="70">
        <f t="shared" si="2"/>
        <v>0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24">
        <v>3211</v>
      </c>
      <c r="B14" s="10" t="s">
        <v>78</v>
      </c>
      <c r="C14" s="70">
        <f t="shared" si="2"/>
        <v>0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24"/>
      <c r="B15" s="10"/>
      <c r="C15" s="70">
        <f t="shared" si="2"/>
        <v>0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24"/>
      <c r="B16" s="10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24">
        <v>34</v>
      </c>
      <c r="B17" s="10" t="s">
        <v>196</v>
      </c>
      <c r="C17" s="71">
        <f t="shared" si="3"/>
        <v>9250</v>
      </c>
      <c r="D17" s="72">
        <f>SUMIFS('Unos rashoda i izdataka'!$J$3:$J$498,'Unos rashoda i izdataka'!$C$3:$C$498,"=11",'Unos rashoda i izdataka'!$P$3:$P$498,"=34")+SUMIFS('Unos rashoda P4'!$H$3:$H$492,'Unos rashoda P4'!$A$3:$A$492,"=11",'Unos rashoda P4'!$S$3:$S$492,"=34")</f>
        <v>9150</v>
      </c>
      <c r="E17" s="72">
        <f>SUMIFS('Unos rashoda i izdataka'!$J$3:$J$498,'Unos rashoda i izdataka'!$C$3:$C$498,"=12",'Unos rashoda i izdataka'!$P$3:$P$498,"=34")+SUMIFS('Unos rashoda P4'!$H$3:$H$492,'Unos rashoda P4'!$A$3:$A$492,"=12",'Unos rashoda P4'!$S$3:$S$492,"=34")</f>
        <v>0</v>
      </c>
      <c r="F17" s="72">
        <f>SUMIFS('Unos rashoda i izdataka'!$J$3:$J$498,'Unos rashoda i izdataka'!$C$3:$C$498,"=31",'Unos rashoda i izdataka'!$P$3:$P$498,"=34")+SUMIFS('Unos rashoda P4'!$H$3:$H$492,'Unos rashoda P4'!$A$3:$A$492,"=31",'Unos rashoda P4'!$S$3:$S$492,"=34")</f>
        <v>0</v>
      </c>
      <c r="G17" s="72">
        <f>SUMIFS('Unos rashoda i izdataka'!$J$3:$J$498,'Unos rashoda i izdataka'!$C$3:$C$498,"=41",'Unos rashoda i izdataka'!$P$3:$P$498,"=34")+SUMIFS('Unos rashoda P4'!$H$3:$H$492,'Unos rashoda P4'!$A$3:$A$492,"=41",'Unos rashoda P4'!$S$3:$S$492,"=34")</f>
        <v>0</v>
      </c>
      <c r="H17" s="72">
        <f>SUMIFS('Unos rashoda i izdataka'!$J$3:$J$498,'Unos rashoda i izdataka'!$C$3:$C$498,"=43",'Unos rashoda i izdataka'!$P$3:$P$498,"=34")+SUMIFS('Unos rashoda P4'!$H$3:$H$492,'Unos rashoda P4'!$A$3:$A$492,"=43",'Unos rashoda P4'!$S$3:$S$492,"=34")</f>
        <v>100</v>
      </c>
      <c r="I17" s="72">
        <f>SUMIFS('Unos rashoda i izdataka'!$J$3:$J$498,'Unos rashoda i izdataka'!$C$3:$C$498,"=51",'Unos rashoda i izdataka'!$P$3:$P$498,"=34")+SUMIFS('Unos rashoda P4'!$H$3:$H$492,'Unos rashoda P4'!$A$3:$A$492,"=51",'Unos rashoda P4'!$S$3:$S$492,"=34")</f>
        <v>0</v>
      </c>
      <c r="J17" s="72">
        <f>SUMIFS('Unos rashoda i izdataka'!$J$3:$J$498,'Unos rashoda i izdataka'!$C$3:$C$498,"=52",'Unos rashoda i izdataka'!$P$3:$P$498,"=34")+SUMIFS('Unos rashoda P4'!$H$3:$H$492,'Unos rashoda P4'!$A$3:$A$492,"=52",'Unos rashoda P4'!$S$3:$S$492,"=34")</f>
        <v>0</v>
      </c>
      <c r="K17" s="72">
        <f>SUMIFS('Unos rashoda i izdataka'!$J$3:$J$498,'Unos rashoda i izdataka'!$C$3:$C$498,"=552",'Unos rashoda i izdataka'!$P$3:$P$498,"=34")+SUMIFS('Unos rashoda P4'!$H$3:$H$492,'Unos rashoda P4'!$A$3:$A$492,"=552",'Unos rashoda P4'!$S$3:$S$492,"=34")</f>
        <v>0</v>
      </c>
      <c r="L17" s="72">
        <f>SUMIFS('Unos rashoda i izdataka'!$J$3:$J$498,'Unos rashoda i izdataka'!$C$3:$C$498,"=559",'Unos rashoda i izdataka'!$P$3:$P$498,"=34")+SUMIFS('Unos rashoda P4'!$H$3:$H$492,'Unos rashoda P4'!$A$3:$A$492,"=559",'Unos rashoda P4'!$S$3:$S$492,"=34")</f>
        <v>0</v>
      </c>
      <c r="M17" s="72">
        <f>SUMIFS('Unos rashoda i izdataka'!$J$3:$J$498,'Unos rashoda i izdataka'!$C$3:$C$498,"=561",'Unos rashoda i izdataka'!$P$3:$P$498,"=34")+SUMIFS('Unos rashoda P4'!$H$3:$H$492,'Unos rashoda P4'!$A$3:$A$492,"=561",'Unos rashoda P4'!$S$3:$S$492,"=34")</f>
        <v>0</v>
      </c>
      <c r="N17" s="72">
        <f>SUMIFS('Unos rashoda i izdataka'!$J$3:$J$498,'Unos rashoda i izdataka'!$C$3:$C$498,"=563",'Unos rashoda i izdataka'!$P$3:$P$498,"=34")+SUMIFS('Unos rashoda P4'!$H$3:$H$492,'Unos rashoda P4'!$A$3:$A$492,"=563",'Unos rashoda P4'!$S$3:$S$492,"=34")</f>
        <v>0</v>
      </c>
      <c r="O17" s="72">
        <f>SUMIFS('Unos rashoda i izdataka'!$J$3:$J$498,'Unos rashoda i izdataka'!$C$3:$C$498,"=573",'Unos rashoda i izdataka'!$P$3:$P$498,"=34")+SUMIFS('Unos rashoda P4'!$H$3:$H$492,'Unos rashoda P4'!$A$3:$A$492,"=573",'Unos rashoda P4'!$S$3:$S$492,"=34")</f>
        <v>0</v>
      </c>
      <c r="P17" s="72">
        <f>SUMIFS('Unos rashoda i izdataka'!$J$3:$J$498,'Unos rashoda i izdataka'!$C$3:$C$498,"=575",'Unos rashoda i izdataka'!$P$3:$P$498,"=34")+SUMIFS('Unos rashoda P4'!$H$3:$H$492,'Unos rashoda P4'!$A$3:$A$492,"=575",'Unos rashoda P4'!$S$3:$S$492,"=34")</f>
        <v>0</v>
      </c>
      <c r="Q17" s="72">
        <f>SUMIFS('Unos rashoda i izdataka'!$J$3:$J$498,'Unos rashoda i izdataka'!$Q$3:$Q$498,"=576",'Unos rashoda i izdataka'!$P$3:$P$498,"=34")+SUMIFS('Unos rashoda P4'!$H$3:$H$492,'Unos rashoda P4'!$A$3:$A$492,"=576",'Unos rashoda P4'!$S$3:$S$492,"=34")</f>
        <v>0</v>
      </c>
      <c r="R17" s="72">
        <f>SUMIFS('Unos rashoda i izdataka'!$J$3:$J$498,'Unos rashoda i izdataka'!$C$3:$C$498,"=581",'Unos rashoda i izdataka'!$P$3:$P$498,"=34")+SUMIFS('Unos rashoda P4'!$H$3:$H$492,'Unos rashoda P4'!$A$3:$A$492,"=581",'Unos rashoda P4'!$S$3:$S$492,"=34")</f>
        <v>0</v>
      </c>
      <c r="S17" s="72">
        <f>SUMIFS('Unos rashoda i izdataka'!$J$3:$J$498,'Unos rashoda i izdataka'!$C$3:$C$498,"=61",'Unos rashoda i izdataka'!$P$3:$P$498,"=34")+SUMIFS('Unos rashoda P4'!$H$3:$H$492,'Unos rashoda P4'!$A$3:$A$492,"=61",'Unos rashoda P4'!$S$3:$S$492,"=34")</f>
        <v>0</v>
      </c>
      <c r="T17" s="72">
        <f>SUMIFS('Unos rashoda i izdataka'!$J$3:$J$498,'Unos rashoda i izdataka'!$C$3:$C$498,"=63",'Unos rashoda i izdataka'!$P$3:$P$498,"=34")+SUMIFS('Unos rashoda P4'!$H$3:$H$492,'Unos rashoda P4'!$A$3:$A$492,"=63",'Unos rashoda P4'!$S$3:$S$492,"=34")</f>
        <v>0</v>
      </c>
      <c r="U17" s="72">
        <f>SUMIFS('Unos rashoda i izdataka'!$J$3:$J$498,'Unos rashoda i izdataka'!$C$3:$C$498,"=71",'Unos rashoda i izdataka'!$P$3:$P$498,"=34")+SUMIFS('Unos rashoda P4'!$H$3:$H$492,'Unos rashoda P4'!$A$3:$A$492,"=71",'Unos rashoda P4'!$S$3:$S$492,"=34")</f>
        <v>0</v>
      </c>
      <c r="V17" s="72">
        <f>SUMIFS('Unos rashoda i izdataka'!$J$3:$J$498,'Unos rashoda i izdataka'!$C$3:$C$498,"=81",'Unos rashoda i izdataka'!$P$3:$P$498,"=34")+SUMIFS('Unos rashoda P4'!$H$3:$H$492,'Unos rashoda P4'!$A$3:$A$492,"=81",'Unos rashoda P4'!$S$3:$S$492,"=34")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24"/>
      <c r="B18" s="10"/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24"/>
      <c r="B19" s="10"/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24"/>
      <c r="B20" s="10"/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24">
        <v>35</v>
      </c>
      <c r="B21" s="10" t="s">
        <v>248</v>
      </c>
      <c r="C21" s="71">
        <f t="shared" si="3"/>
        <v>0</v>
      </c>
      <c r="D21" s="72">
        <f>SUMIFS('Unos rashoda i izdataka'!$J$3:$J$498,'Unos rashoda i izdataka'!$C$3:$C$498,"=11",'Unos rashoda i izdataka'!$P$3:$P$498,"=35")+SUMIFS('Unos rashoda P4'!$H$3:$H$492,'Unos rashoda P4'!$A$3:$A$492,"=11",'Unos rashoda P4'!$S$3:$S$492,"=35")</f>
        <v>0</v>
      </c>
      <c r="E21" s="72">
        <f>SUMIFS('Unos rashoda i izdataka'!$J$3:$J$498,'Unos rashoda i izdataka'!$C$3:$C$498,"=12",'Unos rashoda i izdataka'!$P$3:$P$498,"=35")+SUMIFS('Unos rashoda P4'!$H$3:$H$492,'Unos rashoda P4'!$A$3:$A$492,"=12",'Unos rashoda P4'!$S$3:$S$492,"=35")</f>
        <v>0</v>
      </c>
      <c r="F21" s="72">
        <f>SUMIFS('Unos rashoda i izdataka'!$J$3:$J$498,'Unos rashoda i izdataka'!$C$3:$C$498,"=31",'Unos rashoda i izdataka'!$P$3:$P$498,"=35")+SUMIFS('Unos rashoda P4'!$H$3:$H$492,'Unos rashoda P4'!$A$3:$A$492,"=31",'Unos rashoda P4'!$S$3:$S$492,"=35")</f>
        <v>0</v>
      </c>
      <c r="G21" s="72">
        <f>SUMIFS('Unos rashoda i izdataka'!$J$3:$J$498,'Unos rashoda i izdataka'!$C$3:$C$498,"=41",'Unos rashoda i izdataka'!$P$3:$P$498,"=35")+SUMIFS('Unos rashoda P4'!$H$3:$H$492,'Unos rashoda P4'!$A$3:$A$492,"=41",'Unos rashoda P4'!$S$3:$S$492,"=35")</f>
        <v>0</v>
      </c>
      <c r="H21" s="72">
        <f>SUMIFS('Unos rashoda i izdataka'!$J$3:$J$498,'Unos rashoda i izdataka'!$C$3:$C$498,"=43",'Unos rashoda i izdataka'!$P$3:$P$498,"=35")+SUMIFS('Unos rashoda P4'!$H$3:$H$492,'Unos rashoda P4'!$A$3:$A$492,"=43",'Unos rashoda P4'!$S$3:$S$492,"=35")</f>
        <v>0</v>
      </c>
      <c r="I21" s="72">
        <f>SUMIFS('Unos rashoda i izdataka'!$J$3:$J$498,'Unos rashoda i izdataka'!$C$3:$C$498,"=51",'Unos rashoda i izdataka'!$P$3:$P$498,"=35")+SUMIFS('Unos rashoda P4'!$H$3:$H$492,'Unos rashoda P4'!$A$3:$A$492,"=51",'Unos rashoda P4'!$S$3:$S$492,"=35")</f>
        <v>0</v>
      </c>
      <c r="J21" s="72">
        <f>SUMIFS('Unos rashoda i izdataka'!$J$3:$J$498,'Unos rashoda i izdataka'!$C$3:$C$498,"=52",'Unos rashoda i izdataka'!$P$3:$P$498,"=35")+SUMIFS('Unos rashoda P4'!$H$3:$H$492,'Unos rashoda P4'!$A$3:$A$492,"=52",'Unos rashoda P4'!$S$3:$S$492,"=35")</f>
        <v>0</v>
      </c>
      <c r="K21" s="72">
        <f>SUMIFS('Unos rashoda i izdataka'!$J$3:$J$498,'Unos rashoda i izdataka'!$C$3:$C$498,"=552",'Unos rashoda i izdataka'!$P$3:$P$498,"=35")+SUMIFS('Unos rashoda P4'!$H$3:$H$492,'Unos rashoda P4'!$A$3:$A$492,"=552",'Unos rashoda P4'!$S$3:$S$492,"=35")</f>
        <v>0</v>
      </c>
      <c r="L21" s="72">
        <f>SUMIFS('Unos rashoda i izdataka'!$J$3:$J$498,'Unos rashoda i izdataka'!$C$3:$C$498,"=559",'Unos rashoda i izdataka'!$P$3:$P$498,"=35")+SUMIFS('Unos rashoda P4'!$H$3:$H$492,'Unos rashoda P4'!$A$3:$A$492,"=559",'Unos rashoda P4'!$S$3:$S$492,"=35")</f>
        <v>0</v>
      </c>
      <c r="M21" s="72">
        <f>SUMIFS('Unos rashoda i izdataka'!$J$3:$J$498,'Unos rashoda i izdataka'!$C$3:$C$498,"=561",'Unos rashoda i izdataka'!$P$3:$P$498,"=35")+SUMIFS('Unos rashoda P4'!$H$3:$H$492,'Unos rashoda P4'!$A$3:$A$492,"=561",'Unos rashoda P4'!$S$3:$S$492,"=35")</f>
        <v>0</v>
      </c>
      <c r="N21" s="72">
        <f>SUMIFS('Unos rashoda i izdataka'!$J$3:$J$498,'Unos rashoda i izdataka'!$C$3:$C$498,"=563",'Unos rashoda i izdataka'!$P$3:$P$498,"=35")+SUMIFS('Unos rashoda P4'!$H$3:$H$492,'Unos rashoda P4'!$A$3:$A$492,"=563",'Unos rashoda P4'!$S$3:$S$492,"=35")</f>
        <v>0</v>
      </c>
      <c r="O21" s="72">
        <f>SUMIFS('Unos rashoda i izdataka'!$J$3:$J$498,'Unos rashoda i izdataka'!$C$3:$C$498,"=573",'Unos rashoda i izdataka'!$P$3:$P$498,"=35")+SUMIFS('Unos rashoda P4'!$H$3:$H$492,'Unos rashoda P4'!$A$3:$A$492,"=573",'Unos rashoda P4'!$S$3:$S$492,"=35")</f>
        <v>0</v>
      </c>
      <c r="P21" s="72">
        <f>SUMIFS('Unos rashoda i izdataka'!$J$3:$J$498,'Unos rashoda i izdataka'!$C$3:$C$498,"=575",'Unos rashoda i izdataka'!$P$3:$P$498,"=35")+SUMIFS('Unos rashoda P4'!$H$3:$H$492,'Unos rashoda P4'!$A$3:$A$492,"=575",'Unos rashoda P4'!$S$3:$S$492,"=35")</f>
        <v>0</v>
      </c>
      <c r="Q21" s="72">
        <f>SUMIFS('Unos rashoda i izdataka'!$J$3:$J$498,'Unos rashoda i izdataka'!$Q$3:$Q$498,"=576",'Unos rashoda i izdataka'!$P$3:$P$498,"=35")+SUMIFS('Unos rashoda P4'!$H$3:$H$492,'Unos rashoda P4'!$A$3:$A$492,"=576",'Unos rashoda P4'!$S$3:$S$492,"=35")</f>
        <v>0</v>
      </c>
      <c r="R21" s="72">
        <f>SUMIFS('Unos rashoda i izdataka'!$J$3:$J$498,'Unos rashoda i izdataka'!$C$3:$C$498,"=581",'Unos rashoda i izdataka'!$P$3:$P$498,"=35")+SUMIFS('Unos rashoda P4'!$H$3:$H$492,'Unos rashoda P4'!$A$3:$A$492,"=581",'Unos rashoda P4'!$S$3:$S$492,"=35")</f>
        <v>0</v>
      </c>
      <c r="S21" s="72">
        <f>SUMIFS('Unos rashoda i izdataka'!$J$3:$J$498,'Unos rashoda i izdataka'!$C$3:$C$498,"=61",'Unos rashoda i izdataka'!$P$3:$P$498,"=35")+SUMIFS('Unos rashoda P4'!$H$3:$H$492,'Unos rashoda P4'!$A$3:$A$492,"=61",'Unos rashoda P4'!$S$3:$S$492,"=35")</f>
        <v>0</v>
      </c>
      <c r="T21" s="72">
        <f>SUMIFS('Unos rashoda i izdataka'!$J$3:$J$498,'Unos rashoda i izdataka'!$C$3:$C$498,"=63",'Unos rashoda i izdataka'!$P$3:$P$498,"=35")+SUMIFS('Unos rashoda P4'!$H$3:$H$492,'Unos rashoda P4'!$A$3:$A$492,"=63",'Unos rashoda P4'!$S$3:$S$492,"=35")</f>
        <v>0</v>
      </c>
      <c r="U21" s="72">
        <f>SUMIFS('Unos rashoda i izdataka'!$J$3:$J$498,'Unos rashoda i izdataka'!$C$3:$C$498,"=71",'Unos rashoda i izdataka'!$P$3:$P$498,"=35")+SUMIFS('Unos rashoda P4'!$H$3:$H$492,'Unos rashoda P4'!$A$3:$A$492,"=71",'Unos rashoda P4'!$S$3:$S$492,"=35")</f>
        <v>0</v>
      </c>
      <c r="V21" s="72">
        <f>SUMIFS('Unos rashoda i izdataka'!$J$3:$J$498,'Unos rashoda i izdataka'!$C$3:$C$498,"=81",'Unos rashoda i izdataka'!$P$3:$P$498,"=35")+SUMIFS('Unos rashoda P4'!$H$3:$H$492,'Unos rashoda P4'!$A$3:$A$492,"=81",'Unos rashoda P4'!$S$3:$S$492,"=35")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24"/>
      <c r="B22" s="10"/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24"/>
      <c r="B23" s="10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24"/>
      <c r="B24" s="10"/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24">
        <v>36</v>
      </c>
      <c r="B25" s="12" t="s">
        <v>197</v>
      </c>
      <c r="C25" s="71">
        <f t="shared" si="3"/>
        <v>0</v>
      </c>
      <c r="D25" s="72">
        <f>SUMIFS('Unos rashoda i izdataka'!$J$3:$J$498,'Unos rashoda i izdataka'!$C$3:$C$498,"=11",'Unos rashoda i izdataka'!$P$3:$P$498,"=36")+SUMIFS('Unos rashoda P4'!$H$3:$H$492,'Unos rashoda P4'!$A$3:$A$492,"=11",'Unos rashoda P4'!$S$3:$S$492,"=36")</f>
        <v>0</v>
      </c>
      <c r="E25" s="72">
        <f>SUMIFS('Unos rashoda i izdataka'!$J$3:$J$498,'Unos rashoda i izdataka'!$C$3:$C$498,"=12",'Unos rashoda i izdataka'!$P$3:$P$498,"=36")+SUMIFS('Unos rashoda P4'!$H$3:$H$492,'Unos rashoda P4'!$A$3:$A$492,"=12",'Unos rashoda P4'!$S$3:$S$492,"=36")</f>
        <v>0</v>
      </c>
      <c r="F25" s="72">
        <f>SUMIFS('Unos rashoda i izdataka'!$J$3:$J$498,'Unos rashoda i izdataka'!$C$3:$C$498,"=31",'Unos rashoda i izdataka'!$P$3:$P$498,"=36")+SUMIFS('Unos rashoda P4'!$H$3:$H$492,'Unos rashoda P4'!$A$3:$A$492,"=31",'Unos rashoda P4'!$S$3:$S$492,"=36")</f>
        <v>0</v>
      </c>
      <c r="G25" s="72">
        <f>SUMIFS('Unos rashoda i izdataka'!$J$3:$J$498,'Unos rashoda i izdataka'!$C$3:$C$498,"=41",'Unos rashoda i izdataka'!$P$3:$P$498,"=36")+SUMIFS('Unos rashoda P4'!$H$3:$H$492,'Unos rashoda P4'!$A$3:$A$492,"=41",'Unos rashoda P4'!$S$3:$S$492,"=36")</f>
        <v>0</v>
      </c>
      <c r="H25" s="72">
        <f>SUMIFS('Unos rashoda i izdataka'!$J$3:$J$498,'Unos rashoda i izdataka'!$C$3:$C$498,"=43",'Unos rashoda i izdataka'!$P$3:$P$498,"=36")+SUMIFS('Unos rashoda P4'!$H$3:$H$492,'Unos rashoda P4'!$A$3:$A$492,"=43",'Unos rashoda P4'!$S$3:$S$492,"=36")</f>
        <v>0</v>
      </c>
      <c r="I25" s="72">
        <f>SUMIFS('Unos rashoda i izdataka'!$J$3:$J$498,'Unos rashoda i izdataka'!$C$3:$C$498,"=51",'Unos rashoda i izdataka'!$P$3:$P$498,"=36")+SUMIFS('Unos rashoda P4'!$H$3:$H$492,'Unos rashoda P4'!$A$3:$A$492,"=51",'Unos rashoda P4'!$S$3:$S$492,"=36")</f>
        <v>0</v>
      </c>
      <c r="J25" s="72">
        <f>SUMIFS('Unos rashoda i izdataka'!$J$3:$J$498,'Unos rashoda i izdataka'!$C$3:$C$498,"=52",'Unos rashoda i izdataka'!$P$3:$P$498,"=36")+SUMIFS('Unos rashoda P4'!$H$3:$H$492,'Unos rashoda P4'!$A$3:$A$492,"=52",'Unos rashoda P4'!$S$3:$S$492,"=36")</f>
        <v>0</v>
      </c>
      <c r="K25" s="72">
        <f>SUMIFS('Unos rashoda i izdataka'!$J$3:$J$498,'Unos rashoda i izdataka'!$C$3:$C$498,"=552",'Unos rashoda i izdataka'!$P$3:$P$498,"=36")+SUMIFS('Unos rashoda P4'!$H$3:$H$492,'Unos rashoda P4'!$A$3:$A$492,"=552",'Unos rashoda P4'!$S$3:$S$492,"=36")</f>
        <v>0</v>
      </c>
      <c r="L25" s="72">
        <f>SUMIFS('Unos rashoda i izdataka'!$J$3:$J$498,'Unos rashoda i izdataka'!$C$3:$C$498,"=559",'Unos rashoda i izdataka'!$P$3:$P$498,"=36")+SUMIFS('Unos rashoda P4'!$H$3:$H$492,'Unos rashoda P4'!$A$3:$A$492,"=559",'Unos rashoda P4'!$S$3:$S$492,"=36")</f>
        <v>0</v>
      </c>
      <c r="M25" s="72">
        <f>SUMIFS('Unos rashoda i izdataka'!$J$3:$J$498,'Unos rashoda i izdataka'!$C$3:$C$498,"=561",'Unos rashoda i izdataka'!$P$3:$P$498,"=36")+SUMIFS('Unos rashoda P4'!$H$3:$H$492,'Unos rashoda P4'!$A$3:$A$492,"=561",'Unos rashoda P4'!$S$3:$S$492,"=36")</f>
        <v>0</v>
      </c>
      <c r="N25" s="72">
        <f>SUMIFS('Unos rashoda i izdataka'!$J$3:$J$498,'Unos rashoda i izdataka'!$C$3:$C$498,"=563",'Unos rashoda i izdataka'!$P$3:$P$498,"=36")+SUMIFS('Unos rashoda P4'!$H$3:$H$492,'Unos rashoda P4'!$A$3:$A$492,"=563",'Unos rashoda P4'!$S$3:$S$492,"=36")</f>
        <v>0</v>
      </c>
      <c r="O25" s="72">
        <f>SUMIFS('Unos rashoda i izdataka'!$J$3:$J$498,'Unos rashoda i izdataka'!$C$3:$C$498,"=573",'Unos rashoda i izdataka'!$P$3:$P$498,"=36")+SUMIFS('Unos rashoda P4'!$H$3:$H$492,'Unos rashoda P4'!$A$3:$A$492,"=573",'Unos rashoda P4'!$S$3:$S$492,"=36")</f>
        <v>0</v>
      </c>
      <c r="P25" s="72">
        <f>SUMIFS('Unos rashoda i izdataka'!$J$3:$J$498,'Unos rashoda i izdataka'!$C$3:$C$498,"=575",'Unos rashoda i izdataka'!$P$3:$P$498,"=36")+SUMIFS('Unos rashoda P4'!$H$3:$H$492,'Unos rashoda P4'!$A$3:$A$492,"=575",'Unos rashoda P4'!$S$3:$S$492,"=36")</f>
        <v>0</v>
      </c>
      <c r="Q25" s="72">
        <f>SUMIFS('Unos rashoda i izdataka'!$J$3:$J$498,'Unos rashoda i izdataka'!$Q$3:$Q$498,"=576",'Unos rashoda i izdataka'!$P$3:$P$498,"=36")+SUMIFS('Unos rashoda P4'!$H$3:$H$492,'Unos rashoda P4'!$A$3:$A$492,"=576",'Unos rashoda P4'!$S$3:$S$492,"=36")</f>
        <v>0</v>
      </c>
      <c r="R25" s="72">
        <f>SUMIFS('Unos rashoda i izdataka'!$J$3:$J$498,'Unos rashoda i izdataka'!$C$3:$C$498,"=581",'Unos rashoda i izdataka'!$P$3:$P$498,"=36")+SUMIFS('Unos rashoda P4'!$H$3:$H$492,'Unos rashoda P4'!$A$3:$A$492,"=581",'Unos rashoda P4'!$S$3:$S$492,"=36")</f>
        <v>0</v>
      </c>
      <c r="S25" s="72">
        <f>SUMIFS('Unos rashoda i izdataka'!$J$3:$J$498,'Unos rashoda i izdataka'!$C$3:$C$498,"=61",'Unos rashoda i izdataka'!$P$3:$P$498,"=36")+SUMIFS('Unos rashoda P4'!$H$3:$H$492,'Unos rashoda P4'!$A$3:$A$492,"=61",'Unos rashoda P4'!$S$3:$S$492,"=36")</f>
        <v>0</v>
      </c>
      <c r="T25" s="72">
        <f>SUMIFS('Unos rashoda i izdataka'!$J$3:$J$498,'Unos rashoda i izdataka'!$C$3:$C$498,"=63",'Unos rashoda i izdataka'!$P$3:$P$498,"=36")+SUMIFS('Unos rashoda P4'!$H$3:$H$492,'Unos rashoda P4'!$A$3:$A$492,"=63",'Unos rashoda P4'!$S$3:$S$492,"=36")</f>
        <v>0</v>
      </c>
      <c r="U25" s="72">
        <f>SUMIFS('Unos rashoda i izdataka'!$J$3:$J$498,'Unos rashoda i izdataka'!$C$3:$C$498,"=71",'Unos rashoda i izdataka'!$P$3:$P$498,"=36")+SUMIFS('Unos rashoda P4'!$H$3:$H$492,'Unos rashoda P4'!$A$3:$A$492,"=71",'Unos rashoda P4'!$S$3:$S$492,"=36")</f>
        <v>0</v>
      </c>
      <c r="V25" s="72">
        <f>SUMIFS('Unos rashoda i izdataka'!$J$3:$J$498,'Unos rashoda i izdataka'!$C$3:$C$498,"=81",'Unos rashoda i izdataka'!$P$3:$P$498,"=36")+SUMIFS('Unos rashoda P4'!$H$3:$H$492,'Unos rashoda P4'!$A$3:$A$492,"=81",'Unos rashoda P4'!$S$3:$S$492,"=36")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24"/>
      <c r="B26" s="12"/>
      <c r="C26" s="71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24"/>
      <c r="B27" s="12"/>
      <c r="C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24"/>
      <c r="B28" s="12"/>
      <c r="C28" s="71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24"/>
      <c r="B29" s="12"/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24">
        <v>37</v>
      </c>
      <c r="B30" s="10" t="s">
        <v>249</v>
      </c>
      <c r="C30" s="71">
        <f t="shared" si="3"/>
        <v>584000</v>
      </c>
      <c r="D30" s="72">
        <f>SUMIFS('Unos rashoda i izdataka'!$J$3:$J$498,'Unos rashoda i izdataka'!$C$3:$C$498,"=11",'Unos rashoda i izdataka'!$P$3:$P$498,"=37")+SUMIFS('Unos rashoda P4'!$H$3:$H$492,'Unos rashoda P4'!$A$3:$A$492,"=11",'Unos rashoda P4'!$S$3:$S$492,"=37")</f>
        <v>150000</v>
      </c>
      <c r="E30" s="72">
        <f>SUMIFS('Unos rashoda i izdataka'!$J$3:$J$498,'Unos rashoda i izdataka'!$C$3:$C$498,"=12",'Unos rashoda i izdataka'!$P$3:$P$498,"=37")+SUMIFS('Unos rashoda P4'!$H$3:$H$492,'Unos rashoda P4'!$A$3:$A$492,"=12",'Unos rashoda P4'!$S$3:$S$492,"=37")</f>
        <v>0</v>
      </c>
      <c r="F30" s="72">
        <f>SUMIFS('Unos rashoda i izdataka'!$J$3:$J$498,'Unos rashoda i izdataka'!$C$3:$C$498,"=31",'Unos rashoda i izdataka'!$P$3:$P$498,"=37")+SUMIFS('Unos rashoda P4'!$H$3:$H$492,'Unos rashoda P4'!$A$3:$A$492,"=31",'Unos rashoda P4'!$S$3:$S$492,"=37")</f>
        <v>0</v>
      </c>
      <c r="G30" s="72">
        <f>SUMIFS('Unos rashoda i izdataka'!$J$3:$J$498,'Unos rashoda i izdataka'!$C$3:$C$498,"=41",'Unos rashoda i izdataka'!$P$3:$P$498,"=37")+SUMIFS('Unos rashoda P4'!$H$3:$H$492,'Unos rashoda P4'!$A$3:$A$492,"=41",'Unos rashoda P4'!$S$3:$S$492,"=37")</f>
        <v>0</v>
      </c>
      <c r="H30" s="72">
        <f>SUMIFS('Unos rashoda i izdataka'!$J$3:$J$498,'Unos rashoda i izdataka'!$C$3:$C$498,"=43",'Unos rashoda i izdataka'!$P$3:$P$498,"=37")+SUMIFS('Unos rashoda P4'!$H$3:$H$492,'Unos rashoda P4'!$A$3:$A$492,"=43",'Unos rashoda P4'!$S$3:$S$492,"=37")</f>
        <v>15000</v>
      </c>
      <c r="I30" s="72">
        <f>SUMIFS('Unos rashoda i izdataka'!$J$3:$J$498,'Unos rashoda i izdataka'!$C$3:$C$498,"=51",'Unos rashoda i izdataka'!$P$3:$P$498,"=37")+SUMIFS('Unos rashoda P4'!$H$3:$H$492,'Unos rashoda P4'!$A$3:$A$492,"=51",'Unos rashoda P4'!$S$3:$S$492,"=37")</f>
        <v>0</v>
      </c>
      <c r="J30" s="72">
        <f>SUMIFS('Unos rashoda i izdataka'!$J$3:$J$498,'Unos rashoda i izdataka'!$C$3:$C$498,"=52",'Unos rashoda i izdataka'!$P$3:$P$498,"=37")+SUMIFS('Unos rashoda P4'!$H$3:$H$492,'Unos rashoda P4'!$A$3:$A$492,"=52",'Unos rashoda P4'!$S$3:$S$492,"=37")</f>
        <v>419000</v>
      </c>
      <c r="K30" s="72">
        <f>SUMIFS('Unos rashoda i izdataka'!$J$3:$J$498,'Unos rashoda i izdataka'!$C$3:$C$498,"=552",'Unos rashoda i izdataka'!$P$3:$P$498,"=37")+SUMIFS('Unos rashoda P4'!$H$3:$H$492,'Unos rashoda P4'!$A$3:$A$492,"=552",'Unos rashoda P4'!$S$3:$S$492,"=37")</f>
        <v>0</v>
      </c>
      <c r="L30" s="72">
        <f>SUMIFS('Unos rashoda i izdataka'!$J$3:$J$498,'Unos rashoda i izdataka'!$C$3:$C$498,"=559",'Unos rashoda i izdataka'!$P$3:$P$498,"=37")+SUMIFS('Unos rashoda P4'!$H$3:$H$492,'Unos rashoda P4'!$A$3:$A$492,"=559",'Unos rashoda P4'!$S$3:$S$492,"=37")</f>
        <v>0</v>
      </c>
      <c r="M30" s="72">
        <f>SUMIFS('Unos rashoda i izdataka'!$J$3:$J$498,'Unos rashoda i izdataka'!$C$3:$C$498,"=561",'Unos rashoda i izdataka'!$P$3:$P$498,"=37")+SUMIFS('Unos rashoda P4'!$H$3:$H$492,'Unos rashoda P4'!$A$3:$A$492,"=561",'Unos rashoda P4'!$S$3:$S$492,"=37")</f>
        <v>0</v>
      </c>
      <c r="N30" s="72">
        <f>SUMIFS('Unos rashoda i izdataka'!$J$3:$J$498,'Unos rashoda i izdataka'!$C$3:$C$498,"=563",'Unos rashoda i izdataka'!$P$3:$P$498,"=37")+SUMIFS('Unos rashoda P4'!$H$3:$H$492,'Unos rashoda P4'!$A$3:$A$492,"=563",'Unos rashoda P4'!$S$3:$S$492,"=37")</f>
        <v>0</v>
      </c>
      <c r="O30" s="72">
        <f>SUMIFS('Unos rashoda i izdataka'!$J$3:$J$498,'Unos rashoda i izdataka'!$C$3:$C$498,"=573",'Unos rashoda i izdataka'!$P$3:$P$498,"=37")+SUMIFS('Unos rashoda P4'!$H$3:$H$492,'Unos rashoda P4'!$A$3:$A$492,"=573",'Unos rashoda P4'!$S$3:$S$492,"=37")</f>
        <v>0</v>
      </c>
      <c r="P30" s="72">
        <f>SUMIFS('Unos rashoda i izdataka'!$J$3:$J$498,'Unos rashoda i izdataka'!$C$3:$C$498,"=575",'Unos rashoda i izdataka'!$P$3:$P$498,"=37")+SUMIFS('Unos rashoda P4'!$H$3:$H$492,'Unos rashoda P4'!$A$3:$A$492,"=575",'Unos rashoda P4'!$S$3:$S$492,"=37")</f>
        <v>0</v>
      </c>
      <c r="Q30" s="72">
        <f>SUMIFS('Unos rashoda i izdataka'!$J$3:$J$498,'Unos rashoda i izdataka'!$Q$3:$Q$498,"=576",'Unos rashoda i izdataka'!$P$3:$P$498,"=37")+SUMIFS('Unos rashoda P4'!$H$3:$H$492,'Unos rashoda P4'!$A$3:$A$492,"=576",'Unos rashoda P4'!$S$3:$S$492,"=37")</f>
        <v>0</v>
      </c>
      <c r="R30" s="72">
        <f>SUMIFS('Unos rashoda i izdataka'!$J$3:$J$498,'Unos rashoda i izdataka'!$C$3:$C$498,"=581",'Unos rashoda i izdataka'!$P$3:$P$498,"=37")+SUMIFS('Unos rashoda P4'!$H$3:$H$492,'Unos rashoda P4'!$A$3:$A$492,"=581",'Unos rashoda P4'!$S$3:$S$492,"=37")</f>
        <v>0</v>
      </c>
      <c r="S30" s="72">
        <f>SUMIFS('Unos rashoda i izdataka'!$J$3:$J$498,'Unos rashoda i izdataka'!$C$3:$C$498,"=61",'Unos rashoda i izdataka'!$P$3:$P$498,"=37")+SUMIFS('Unos rashoda P4'!$H$3:$H$492,'Unos rashoda P4'!$A$3:$A$492,"=61",'Unos rashoda P4'!$S$3:$S$492,"=37")</f>
        <v>0</v>
      </c>
      <c r="T30" s="72">
        <f>SUMIFS('Unos rashoda i izdataka'!$J$3:$J$498,'Unos rashoda i izdataka'!$C$3:$C$498,"=63",'Unos rashoda i izdataka'!$P$3:$P$498,"=37")+SUMIFS('Unos rashoda P4'!$H$3:$H$492,'Unos rashoda P4'!$A$3:$A$492,"=63",'Unos rashoda P4'!$S$3:$S$492,"=37")</f>
        <v>0</v>
      </c>
      <c r="U30" s="72">
        <f>SUMIFS('Unos rashoda i izdataka'!$J$3:$J$498,'Unos rashoda i izdataka'!$C$3:$C$498,"=71",'Unos rashoda i izdataka'!$P$3:$P$498,"=37")+SUMIFS('Unos rashoda P4'!$H$3:$H$492,'Unos rashoda P4'!$A$3:$A$492,"=71",'Unos rashoda P4'!$S$3:$S$492,"=37")</f>
        <v>0</v>
      </c>
      <c r="V30" s="72">
        <f>SUMIFS('Unos rashoda i izdataka'!$J$3:$J$498,'Unos rashoda i izdataka'!$C$3:$C$498,"=81",'Unos rashoda i izdataka'!$P$3:$P$498,"=37")+SUMIFS('Unos rashoda P4'!$H$3:$H$492,'Unos rashoda P4'!$A$3:$A$492,"=81",'Unos rashoda P4'!$S$3:$S$492,"=37")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24">
        <v>38</v>
      </c>
      <c r="B31" s="10" t="s">
        <v>198</v>
      </c>
      <c r="C31" s="71">
        <f t="shared" si="3"/>
        <v>79012</v>
      </c>
      <c r="D31" s="72">
        <f>SUMIFS('Unos rashoda i izdataka'!$J$3:$J$498,'Unos rashoda i izdataka'!$C$3:$C$498,"=11",'Unos rashoda i izdataka'!$P$3:$P$498,"=38")+SUMIFS('Unos rashoda P4'!$H$3:$H$492,'Unos rashoda P4'!$A$3:$A$492,"=11",'Unos rashoda P4'!$S$3:$S$492,"=38")</f>
        <v>75012</v>
      </c>
      <c r="E31" s="72">
        <f>SUMIFS('Unos rashoda i izdataka'!$J$3:$J$498,'Unos rashoda i izdataka'!$C$3:$C$498,"=12",'Unos rashoda i izdataka'!$P$3:$P$498,"=38")+SUMIFS('Unos rashoda P4'!$H$3:$H$492,'Unos rashoda P4'!$A$3:$A$492,"=12",'Unos rashoda P4'!$S$3:$S$492,"=38")</f>
        <v>0</v>
      </c>
      <c r="F31" s="72">
        <f>SUMIFS('Unos rashoda i izdataka'!$J$3:$J$498,'Unos rashoda i izdataka'!$C$3:$C$498,"=31",'Unos rashoda i izdataka'!$P$3:$P$498,"=38")+SUMIFS('Unos rashoda P4'!$H$3:$H$492,'Unos rashoda P4'!$A$3:$A$492,"=31",'Unos rashoda P4'!$S$3:$S$492,"=38")</f>
        <v>3000</v>
      </c>
      <c r="G31" s="72">
        <f>SUMIFS('Unos rashoda i izdataka'!$J$3:$J$498,'Unos rashoda i izdataka'!$C$3:$C$498,"=41",'Unos rashoda i izdataka'!$P$3:$P$498,"=38")+SUMIFS('Unos rashoda P4'!$H$3:$H$492,'Unos rashoda P4'!$A$3:$A$492,"=41",'Unos rashoda P4'!$S$3:$S$492,"=38")</f>
        <v>0</v>
      </c>
      <c r="H31" s="72">
        <f>SUMIFS('Unos rashoda i izdataka'!$J$3:$J$498,'Unos rashoda i izdataka'!$C$3:$C$498,"=43",'Unos rashoda i izdataka'!$P$3:$P$498,"=38")+SUMIFS('Unos rashoda P4'!$H$3:$H$492,'Unos rashoda P4'!$A$3:$A$492,"=43",'Unos rashoda P4'!$S$3:$S$492,"=38")</f>
        <v>1000</v>
      </c>
      <c r="I31" s="72">
        <f>SUMIFS('Unos rashoda i izdataka'!$J$3:$J$498,'Unos rashoda i izdataka'!$C$3:$C$498,"=51",'Unos rashoda i izdataka'!$P$3:$P$498,"=38")+SUMIFS('Unos rashoda P4'!$H$3:$H$492,'Unos rashoda P4'!$A$3:$A$492,"=51",'Unos rashoda P4'!$S$3:$S$492,"=38")</f>
        <v>0</v>
      </c>
      <c r="J31" s="72">
        <f>SUMIFS('Unos rashoda i izdataka'!$J$3:$J$498,'Unos rashoda i izdataka'!$C$3:$C$498,"=52",'Unos rashoda i izdataka'!$P$3:$P$498,"=38")+SUMIFS('Unos rashoda P4'!$H$3:$H$492,'Unos rashoda P4'!$A$3:$A$492,"=52",'Unos rashoda P4'!$S$3:$S$492,"=38")</f>
        <v>0</v>
      </c>
      <c r="K31" s="72">
        <f>SUMIFS('Unos rashoda i izdataka'!$J$3:$J$498,'Unos rashoda i izdataka'!$C$3:$C$498,"=552",'Unos rashoda i izdataka'!$P$3:$P$498,"=38")+SUMIFS('Unos rashoda P4'!$H$3:$H$492,'Unos rashoda P4'!$A$3:$A$492,"=552",'Unos rashoda P4'!$S$3:$S$492,"=38")</f>
        <v>0</v>
      </c>
      <c r="L31" s="72">
        <f>SUMIFS('Unos rashoda i izdataka'!$J$3:$J$498,'Unos rashoda i izdataka'!$C$3:$C$498,"=559",'Unos rashoda i izdataka'!$P$3:$P$498,"=38")+SUMIFS('Unos rashoda P4'!$H$3:$H$492,'Unos rashoda P4'!$A$3:$A$492,"=559",'Unos rashoda P4'!$S$3:$S$492,"=38")</f>
        <v>0</v>
      </c>
      <c r="M31" s="72">
        <f>SUMIFS('Unos rashoda i izdataka'!$J$3:$J$498,'Unos rashoda i izdataka'!$C$3:$C$498,"=561",'Unos rashoda i izdataka'!$P$3:$P$498,"=38")+SUMIFS('Unos rashoda P4'!$H$3:$H$492,'Unos rashoda P4'!$A$3:$A$492,"=561",'Unos rashoda P4'!$S$3:$S$492,"=38")</f>
        <v>0</v>
      </c>
      <c r="N31" s="72">
        <f>SUMIFS('Unos rashoda i izdataka'!$J$3:$J$498,'Unos rashoda i izdataka'!$C$3:$C$498,"=563",'Unos rashoda i izdataka'!$P$3:$P$498,"=38")+SUMIFS('Unos rashoda P4'!$H$3:$H$492,'Unos rashoda P4'!$A$3:$A$492,"=563",'Unos rashoda P4'!$S$3:$S$492,"=38")</f>
        <v>0</v>
      </c>
      <c r="O31" s="72">
        <f>SUMIFS('Unos rashoda i izdataka'!$J$3:$J$498,'Unos rashoda i izdataka'!$C$3:$C$498,"=573",'Unos rashoda i izdataka'!$P$3:$P$498,"=38")+SUMIFS('Unos rashoda P4'!$H$3:$H$492,'Unos rashoda P4'!$A$3:$A$492,"=573",'Unos rashoda P4'!$S$3:$S$492,"=38")</f>
        <v>0</v>
      </c>
      <c r="P31" s="72">
        <f>SUMIFS('Unos rashoda i izdataka'!$J$3:$J$498,'Unos rashoda i izdataka'!$C$3:$C$498,"=575",'Unos rashoda i izdataka'!$P$3:$P$498,"=38")+SUMIFS('Unos rashoda P4'!$H$3:$H$492,'Unos rashoda P4'!$A$3:$A$492,"=575",'Unos rashoda P4'!$S$3:$S$492,"=38")</f>
        <v>0</v>
      </c>
      <c r="Q31" s="72">
        <f>SUMIFS('Unos rashoda i izdataka'!$J$3:$J$498,'Unos rashoda i izdataka'!$Q$3:$Q$498,"=576",'Unos rashoda i izdataka'!$P$3:$P$498,"=38")+SUMIFS('Unos rashoda P4'!$H$3:$H$492,'Unos rashoda P4'!$A$3:$A$492,"=576",'Unos rashoda P4'!$S$3:$S$492,"=38")</f>
        <v>0</v>
      </c>
      <c r="R31" s="72">
        <f>SUMIFS('Unos rashoda i izdataka'!$J$3:$J$498,'Unos rashoda i izdataka'!$C$3:$C$498,"=581",'Unos rashoda i izdataka'!$P$3:$P$498,"=38")+SUMIFS('Unos rashoda P4'!$H$3:$H$492,'Unos rashoda P4'!$A$3:$A$492,"=581",'Unos rashoda P4'!$S$3:$S$492,"=38")</f>
        <v>0</v>
      </c>
      <c r="S31" s="72">
        <f>SUMIFS('Unos rashoda i izdataka'!$J$3:$J$498,'Unos rashoda i izdataka'!$C$3:$C$498,"=61",'Unos rashoda i izdataka'!$P$3:$P$498,"=38")+SUMIFS('Unos rashoda P4'!$H$3:$H$492,'Unos rashoda P4'!$A$3:$A$492,"=61",'Unos rashoda P4'!$S$3:$S$492,"=38")</f>
        <v>0</v>
      </c>
      <c r="T31" s="72">
        <f>SUMIFS('Unos rashoda i izdataka'!$J$3:$J$498,'Unos rashoda i izdataka'!$C$3:$C$498,"=63",'Unos rashoda i izdataka'!$P$3:$P$498,"=38")+SUMIFS('Unos rashoda P4'!$H$3:$H$492,'Unos rashoda P4'!$A$3:$A$492,"=63",'Unos rashoda P4'!$S$3:$S$492,"=38")</f>
        <v>0</v>
      </c>
      <c r="U31" s="72">
        <f>SUMIFS('Unos rashoda i izdataka'!$J$3:$J$498,'Unos rashoda i izdataka'!$C$3:$C$498,"=71",'Unos rashoda i izdataka'!$P$3:$P$498,"=38")+SUMIFS('Unos rashoda P4'!$H$3:$H$492,'Unos rashoda P4'!$A$3:$A$492,"=71",'Unos rashoda P4'!$S$3:$S$492,"=38")</f>
        <v>0</v>
      </c>
      <c r="V31" s="72">
        <f>SUMIFS('Unos rashoda i izdataka'!$J$3:$J$498,'Unos rashoda i izdataka'!$C$3:$C$498,"=81",'Unos rashoda i izdataka'!$P$3:$P$498,"=38")+SUMIFS('Unos rashoda P4'!$H$3:$H$492,'Unos rashoda P4'!$A$3:$A$492,"=81",'Unos rashoda P4'!$S$3:$S$492,"=38")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25">
        <v>4</v>
      </c>
      <c r="B32" s="67" t="s">
        <v>199</v>
      </c>
      <c r="C32" s="66">
        <f t="shared" si="3"/>
        <v>327126</v>
      </c>
      <c r="D32" s="69">
        <f>+D33+D34+D35+D36+D37</f>
        <v>241126</v>
      </c>
      <c r="E32" s="69">
        <f t="shared" ref="E32:V32" si="4">+E33+E34+E35+E36+E37</f>
        <v>0</v>
      </c>
      <c r="F32" s="69">
        <f t="shared" si="4"/>
        <v>0</v>
      </c>
      <c r="G32" s="69">
        <f t="shared" si="4"/>
        <v>0</v>
      </c>
      <c r="H32" s="69">
        <f t="shared" si="4"/>
        <v>86000</v>
      </c>
      <c r="I32" s="69">
        <f t="shared" si="4"/>
        <v>0</v>
      </c>
      <c r="J32" s="69">
        <f t="shared" si="4"/>
        <v>0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23">
        <v>41</v>
      </c>
      <c r="B33" s="8" t="s">
        <v>250</v>
      </c>
      <c r="C33" s="71">
        <f t="shared" si="3"/>
        <v>5000</v>
      </c>
      <c r="D33" s="72">
        <f>SUMIFS('Unos rashoda i izdataka'!$J$3:$J$498,'Unos rashoda i izdataka'!$C$3:$C$498,"=11",'Unos rashoda i izdataka'!$P$3:$P$498,"=41")+SUMIFS('Unos rashoda P4'!$H$3:$H$492,'Unos rashoda P4'!$A$3:$A$492,"=11",'Unos rashoda P4'!$S$3:$S$492,"=41")</f>
        <v>5000</v>
      </c>
      <c r="E33" s="72">
        <f>SUMIFS('Unos rashoda i izdataka'!$J$3:$J$498,'Unos rashoda i izdataka'!$C$3:$C$498,"=12",'Unos rashoda i izdataka'!$P$3:$P$498,"=41")+SUMIFS('Unos rashoda P4'!$H$3:$H$492,'Unos rashoda P4'!$A$3:$A$492,"=12",'Unos rashoda P4'!$S$3:$S$492,"=41")</f>
        <v>0</v>
      </c>
      <c r="F33" s="72">
        <f>SUMIFS('Unos rashoda i izdataka'!$J$3:$J$498,'Unos rashoda i izdataka'!$C$3:$C$498,"=31",'Unos rashoda i izdataka'!$P$3:$P$498,"=41")+SUMIFS('Unos rashoda P4'!$H$3:$H$492,'Unos rashoda P4'!$A$3:$A$492,"=31",'Unos rashoda P4'!$S$3:$S$492,"=41")</f>
        <v>0</v>
      </c>
      <c r="G33" s="72">
        <f>SUMIFS('Unos rashoda i izdataka'!$J$3:$J$498,'Unos rashoda i izdataka'!$C$3:$C$498,"=41",'Unos rashoda i izdataka'!$P$3:$P$498,"=41")+SUMIFS('Unos rashoda P4'!$H$3:$H$492,'Unos rashoda P4'!$A$3:$A$492,"=41",'Unos rashoda P4'!$S$3:$S$492,"=41")</f>
        <v>0</v>
      </c>
      <c r="H33" s="72">
        <f>SUMIFS('Unos rashoda i izdataka'!$J$3:$J$498,'Unos rashoda i izdataka'!$C$3:$C$498,"=43",'Unos rashoda i izdataka'!$P$3:$P$498,"=41")+SUMIFS('Unos rashoda P4'!$H$3:$H$492,'Unos rashoda P4'!$A$3:$A$492,"=43",'Unos rashoda P4'!$S$3:$S$492,"=41")</f>
        <v>0</v>
      </c>
      <c r="I33" s="72">
        <f>SUMIFS('Unos rashoda i izdataka'!$J$3:$J$498,'Unos rashoda i izdataka'!$C$3:$C$498,"=51",'Unos rashoda i izdataka'!$P$3:$P$498,"=41")+SUMIFS('Unos rashoda P4'!$H$3:$H$492,'Unos rashoda P4'!$A$3:$A$492,"=51",'Unos rashoda P4'!$S$3:$S$492,"=41")</f>
        <v>0</v>
      </c>
      <c r="J33" s="72">
        <f>SUMIFS('Unos rashoda i izdataka'!$J$3:$J$498,'Unos rashoda i izdataka'!$C$3:$C$498,"=52",'Unos rashoda i izdataka'!$P$3:$P$498,"=41")+SUMIFS('Unos rashoda P4'!$H$3:$H$492,'Unos rashoda P4'!$A$3:$A$492,"=52",'Unos rashoda P4'!$S$3:$S$492,"=41")</f>
        <v>0</v>
      </c>
      <c r="K33" s="72">
        <f>SUMIFS('Unos rashoda i izdataka'!$J$3:$J$498,'Unos rashoda i izdataka'!$C$3:$C$498,"=552",'Unos rashoda i izdataka'!$P$3:$P$498,"=41")+SUMIFS('Unos rashoda P4'!$H$3:$H$492,'Unos rashoda P4'!$A$3:$A$492,"=552",'Unos rashoda P4'!$S$3:$S$492,"=41")</f>
        <v>0</v>
      </c>
      <c r="L33" s="72">
        <f>SUMIFS('Unos rashoda i izdataka'!$J$3:$J$498,'Unos rashoda i izdataka'!$C$3:$C$498,"=559",'Unos rashoda i izdataka'!$P$3:$P$498,"=41")+SUMIFS('Unos rashoda P4'!$H$3:$H$492,'Unos rashoda P4'!$A$3:$A$492,"=559",'Unos rashoda P4'!$S$3:$S$492,"=41")</f>
        <v>0</v>
      </c>
      <c r="M33" s="72">
        <f>SUMIFS('Unos rashoda i izdataka'!$J$3:$J$498,'Unos rashoda i izdataka'!$C$3:$C$498,"=561",'Unos rashoda i izdataka'!$P$3:$P$498,"=41")+SUMIFS('Unos rashoda P4'!$H$3:$H$492,'Unos rashoda P4'!$A$3:$A$492,"=561",'Unos rashoda P4'!$S$3:$S$492,"=41")</f>
        <v>0</v>
      </c>
      <c r="N33" s="72">
        <f>SUMIFS('Unos rashoda i izdataka'!$J$3:$J$498,'Unos rashoda i izdataka'!$C$3:$C$498,"=563",'Unos rashoda i izdataka'!$P$3:$P$498,"=41")+SUMIFS('Unos rashoda P4'!$H$3:$H$492,'Unos rashoda P4'!$A$3:$A$492,"=563",'Unos rashoda P4'!$S$3:$S$492,"=41")</f>
        <v>0</v>
      </c>
      <c r="O33" s="72">
        <f>SUMIFS('Unos rashoda i izdataka'!$J$3:$J$498,'Unos rashoda i izdataka'!$C$3:$C$498,"=573",'Unos rashoda i izdataka'!$P$3:$P$498,"=41")+SUMIFS('Unos rashoda P4'!$H$3:$H$492,'Unos rashoda P4'!$A$3:$A$492,"=573",'Unos rashoda P4'!$S$3:$S$492,"=41")</f>
        <v>0</v>
      </c>
      <c r="P33" s="72">
        <f>SUMIFS('Unos rashoda i izdataka'!$J$3:$J$498,'Unos rashoda i izdataka'!$C$3:$C$498,"=575",'Unos rashoda i izdataka'!$P$3:$P$498,"=41")+SUMIFS('Unos rashoda P4'!$H$3:$H$492,'Unos rashoda P4'!$A$3:$A$492,"=575",'Unos rashoda P4'!$S$3:$S$492,"=41")</f>
        <v>0</v>
      </c>
      <c r="Q33" s="72">
        <f>SUMIFS('Unos rashoda i izdataka'!$J$3:$J$498,'Unos rashoda i izdataka'!$Q$3:$Q$498,"=576",'Unos rashoda i izdataka'!$P$3:$P$498,"=41")+SUMIFS('Unos rashoda P4'!$H$3:$H$492,'Unos rashoda P4'!$A$3:$A$492,"=576",'Unos rashoda P4'!$S$3:$S$492,"=41")</f>
        <v>0</v>
      </c>
      <c r="R33" s="72">
        <f>SUMIFS('Unos rashoda i izdataka'!$J$3:$J$498,'Unos rashoda i izdataka'!$C$3:$C$498,"=581",'Unos rashoda i izdataka'!$P$3:$P$498,"=41")+SUMIFS('Unos rashoda P4'!$H$3:$H$492,'Unos rashoda P4'!$A$3:$A$492,"=581",'Unos rashoda P4'!$S$3:$S$492,"=41")</f>
        <v>0</v>
      </c>
      <c r="S33" s="72">
        <f>SUMIFS('Unos rashoda i izdataka'!$J$3:$J$498,'Unos rashoda i izdataka'!$C$3:$C$498,"=61",'Unos rashoda i izdataka'!$P$3:$P$498,"=41")+SUMIFS('Unos rashoda P4'!$H$3:$H$492,'Unos rashoda P4'!$A$3:$A$492,"=61",'Unos rashoda P4'!$S$3:$S$492,"=41")</f>
        <v>0</v>
      </c>
      <c r="T33" s="72">
        <f>SUMIFS('Unos rashoda i izdataka'!$J$3:$J$498,'Unos rashoda i izdataka'!$C$3:$C$498,"=63",'Unos rashoda i izdataka'!$P$3:$P$498,"=41")+SUMIFS('Unos rashoda P4'!$H$3:$H$492,'Unos rashoda P4'!$A$3:$A$492,"=63",'Unos rashoda P4'!$S$3:$S$492,"=41")</f>
        <v>0</v>
      </c>
      <c r="U33" s="72">
        <f>SUMIFS('Unos rashoda i izdataka'!$J$3:$J$498,'Unos rashoda i izdataka'!$C$3:$C$498,"=71",'Unos rashoda i izdataka'!$P$3:$P$498,"=41")+SUMIFS('Unos rashoda P4'!$H$3:$H$492,'Unos rashoda P4'!$A$3:$A$492,"=71",'Unos rashoda P4'!$S$3:$S$492,"=41")</f>
        <v>0</v>
      </c>
      <c r="V33" s="72">
        <f>SUMIFS('Unos rashoda i izdataka'!$J$3:$J$498,'Unos rashoda i izdataka'!$C$3:$C$498,"=81",'Unos rashoda i izdataka'!$P$3:$P$498,"=41")+SUMIFS('Unos rashoda P4'!$H$3:$H$492,'Unos rashoda P4'!$A$3:$A$492,"=81",'Unos rashoda P4'!$S$3:$S$492,"=41")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24">
        <v>42</v>
      </c>
      <c r="B34" s="10" t="s">
        <v>227</v>
      </c>
      <c r="C34" s="71">
        <f t="shared" si="3"/>
        <v>317026</v>
      </c>
      <c r="D34" s="72">
        <f>SUMIFS('Unos rashoda i izdataka'!$J$3:$J$498,'Unos rashoda i izdataka'!$C$3:$C$498,"=11",'Unos rashoda i izdataka'!$P$3:$P$498,"=42")+SUMIFS('Unos rashoda P4'!$H$3:$H$492,'Unos rashoda P4'!$A$3:$A$492,"=11",'Unos rashoda P4'!$S$3:$S$492,"=42")</f>
        <v>231026</v>
      </c>
      <c r="E34" s="72">
        <f>SUMIFS('Unos rashoda i izdataka'!$J$3:$J$498,'Unos rashoda i izdataka'!$C$3:$C$498,"=12",'Unos rashoda i izdataka'!$P$3:$P$498,"=42")+SUMIFS('Unos rashoda P4'!$H$3:$H$492,'Unos rashoda P4'!$A$3:$A$492,"=12",'Unos rashoda P4'!$S$3:$S$492,"=42")</f>
        <v>0</v>
      </c>
      <c r="F34" s="72">
        <f>SUMIFS('Unos rashoda i izdataka'!$J$3:$J$498,'Unos rashoda i izdataka'!$C$3:$C$498,"=31",'Unos rashoda i izdataka'!$P$3:$P$498,"=42")+SUMIFS('Unos rashoda P4'!$H$3:$H$492,'Unos rashoda P4'!$A$3:$A$492,"=31",'Unos rashoda P4'!$S$3:$S$492,"=42")</f>
        <v>0</v>
      </c>
      <c r="G34" s="72">
        <f>SUMIFS('Unos rashoda i izdataka'!$J$3:$J$498,'Unos rashoda i izdataka'!$C$3:$C$498,"=41",'Unos rashoda i izdataka'!$P$3:$P$498,"=42")+SUMIFS('Unos rashoda P4'!$H$3:$H$492,'Unos rashoda P4'!$A$3:$A$492,"=41",'Unos rashoda P4'!$S$3:$S$492,"=42")</f>
        <v>0</v>
      </c>
      <c r="H34" s="72">
        <f>SUMIFS('Unos rashoda i izdataka'!$J$3:$J$498,'Unos rashoda i izdataka'!$C$3:$C$498,"=43",'Unos rashoda i izdataka'!$P$3:$P$498,"=42")+SUMIFS('Unos rashoda P4'!$H$3:$H$492,'Unos rashoda P4'!$A$3:$A$492,"=43",'Unos rashoda P4'!$S$3:$S$492,"=42")</f>
        <v>86000</v>
      </c>
      <c r="I34" s="72">
        <f>SUMIFS('Unos rashoda i izdataka'!$J$3:$J$498,'Unos rashoda i izdataka'!$C$3:$C$498,"=51",'Unos rashoda i izdataka'!$P$3:$P$498,"=42")+SUMIFS('Unos rashoda P4'!$H$3:$H$492,'Unos rashoda P4'!$A$3:$A$492,"=51",'Unos rashoda P4'!$S$3:$S$492,"=42")</f>
        <v>0</v>
      </c>
      <c r="J34" s="72">
        <f>SUMIFS('Unos rashoda i izdataka'!$J$3:$J$498,'Unos rashoda i izdataka'!$C$3:$C$498,"=52",'Unos rashoda i izdataka'!$P$3:$P$498,"=42")+SUMIFS('Unos rashoda P4'!$H$3:$H$492,'Unos rashoda P4'!$A$3:$A$492,"=52",'Unos rashoda P4'!$S$3:$S$492,"=42")</f>
        <v>0</v>
      </c>
      <c r="K34" s="72">
        <f>SUMIFS('Unos rashoda i izdataka'!$J$3:$J$498,'Unos rashoda i izdataka'!$C$3:$C$498,"=552",'Unos rashoda i izdataka'!$P$3:$P$498,"=42")+SUMIFS('Unos rashoda P4'!$H$3:$H$492,'Unos rashoda P4'!$A$3:$A$492,"=552",'Unos rashoda P4'!$S$3:$S$492,"=42")</f>
        <v>0</v>
      </c>
      <c r="L34" s="72">
        <f>SUMIFS('Unos rashoda i izdataka'!$J$3:$J$498,'Unos rashoda i izdataka'!$C$3:$C$498,"=559",'Unos rashoda i izdataka'!$P$3:$P$498,"=42")+SUMIFS('Unos rashoda P4'!$H$3:$H$492,'Unos rashoda P4'!$A$3:$A$492,"=559",'Unos rashoda P4'!$S$3:$S$492,"=42")</f>
        <v>0</v>
      </c>
      <c r="M34" s="72">
        <f>SUMIFS('Unos rashoda i izdataka'!$J$3:$J$498,'Unos rashoda i izdataka'!$C$3:$C$498,"=561",'Unos rashoda i izdataka'!$P$3:$P$498,"=42")+SUMIFS('Unos rashoda P4'!$H$3:$H$492,'Unos rashoda P4'!$A$3:$A$492,"=561",'Unos rashoda P4'!$S$3:$S$492,"=42")</f>
        <v>0</v>
      </c>
      <c r="N34" s="72">
        <f>SUMIFS('Unos rashoda i izdataka'!$J$3:$J$498,'Unos rashoda i izdataka'!$C$3:$C$498,"=563",'Unos rashoda i izdataka'!$P$3:$P$498,"=42")+SUMIFS('Unos rashoda P4'!$H$3:$H$492,'Unos rashoda P4'!$A$3:$A$492,"=563",'Unos rashoda P4'!$S$3:$S$492,"=42")</f>
        <v>0</v>
      </c>
      <c r="O34" s="72">
        <f>SUMIFS('Unos rashoda i izdataka'!$J$3:$J$498,'Unos rashoda i izdataka'!$C$3:$C$498,"=573",'Unos rashoda i izdataka'!$P$3:$P$498,"=42")+SUMIFS('Unos rashoda P4'!$H$3:$H$492,'Unos rashoda P4'!$A$3:$A$492,"=573",'Unos rashoda P4'!$S$3:$S$492,"=42")</f>
        <v>0</v>
      </c>
      <c r="P34" s="72">
        <f>SUMIFS('Unos rashoda i izdataka'!$J$3:$J$498,'Unos rashoda i izdataka'!$C$3:$C$498,"=575",'Unos rashoda i izdataka'!$P$3:$P$498,"=42")+SUMIFS('Unos rashoda P4'!$H$3:$H$492,'Unos rashoda P4'!$A$3:$A$492,"=575",'Unos rashoda P4'!$S$3:$S$492,"=42")</f>
        <v>0</v>
      </c>
      <c r="Q34" s="72">
        <f>SUMIFS('Unos rashoda i izdataka'!$J$3:$J$498,'Unos rashoda i izdataka'!$Q$3:$Q$498,"=576",'Unos rashoda i izdataka'!$P$3:$P$498,"=42")+SUMIFS('Unos rashoda P4'!$H$3:$H$492,'Unos rashoda P4'!$A$3:$A$492,"=576",'Unos rashoda P4'!$S$3:$S$492,"=42")</f>
        <v>0</v>
      </c>
      <c r="R34" s="72">
        <f>SUMIFS('Unos rashoda i izdataka'!$J$3:$J$498,'Unos rashoda i izdataka'!$C$3:$C$498,"=581",'Unos rashoda i izdataka'!$P$3:$P$498,"=42")+SUMIFS('Unos rashoda P4'!$H$3:$H$492,'Unos rashoda P4'!$A$3:$A$492,"=581",'Unos rashoda P4'!$S$3:$S$492,"=42")</f>
        <v>0</v>
      </c>
      <c r="S34" s="72">
        <f>SUMIFS('Unos rashoda i izdataka'!$J$3:$J$498,'Unos rashoda i izdataka'!$C$3:$C$498,"=61",'Unos rashoda i izdataka'!$P$3:$P$498,"=42")+SUMIFS('Unos rashoda P4'!$H$3:$H$492,'Unos rashoda P4'!$A$3:$A$492,"=61",'Unos rashoda P4'!$S$3:$S$492,"=42")</f>
        <v>0</v>
      </c>
      <c r="T34" s="72">
        <f>SUMIFS('Unos rashoda i izdataka'!$J$3:$J$498,'Unos rashoda i izdataka'!$C$3:$C$498,"=63",'Unos rashoda i izdataka'!$P$3:$P$498,"=42")+SUMIFS('Unos rashoda P4'!$H$3:$H$492,'Unos rashoda P4'!$A$3:$A$492,"=63",'Unos rashoda P4'!$S$3:$S$492,"=42")</f>
        <v>0</v>
      </c>
      <c r="U34" s="72">
        <f>SUMIFS('Unos rashoda i izdataka'!$J$3:$J$498,'Unos rashoda i izdataka'!$C$3:$C$498,"=71",'Unos rashoda i izdataka'!$P$3:$P$498,"=42")+SUMIFS('Unos rashoda P4'!$H$3:$H$492,'Unos rashoda P4'!$A$3:$A$492,"=71",'Unos rashoda P4'!$S$3:$S$492,"=42")</f>
        <v>0</v>
      </c>
      <c r="V34" s="72">
        <f>SUMIFS('Unos rashoda i izdataka'!$J$3:$J$498,'Unos rashoda i izdataka'!$C$3:$C$498,"=81",'Unos rashoda i izdataka'!$P$3:$P$498,"=42")+SUMIFS('Unos rashoda P4'!$H$3:$H$492,'Unos rashoda P4'!$A$3:$A$492,"=81",'Unos rashoda P4'!$S$3:$S$492,"=42")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23">
        <v>43</v>
      </c>
      <c r="B35" s="8" t="s">
        <v>251</v>
      </c>
      <c r="C35" s="71">
        <f t="shared" si="3"/>
        <v>100</v>
      </c>
      <c r="D35" s="72">
        <f>SUMIFS('Unos rashoda i izdataka'!$J$3:$J$498,'Unos rashoda i izdataka'!$C$3:$C$498,"=11",'Unos rashoda i izdataka'!$P$3:$P$498,"=43")+SUMIFS('Unos rashoda P4'!$H$3:$H$492,'Unos rashoda P4'!$A$3:$A$492,"=11",'Unos rashoda P4'!$S$3:$S$492,"=43")</f>
        <v>100</v>
      </c>
      <c r="E35" s="72">
        <f>SUMIFS('Unos rashoda i izdataka'!$J$3:$J$498,'Unos rashoda i izdataka'!$C$3:$C$498,"=12",'Unos rashoda i izdataka'!$P$3:$P$498,"=43")+SUMIFS('Unos rashoda P4'!$H$3:$H$492,'Unos rashoda P4'!$A$3:$A$492,"=12",'Unos rashoda P4'!$S$3:$S$492,"=43")</f>
        <v>0</v>
      </c>
      <c r="F35" s="72">
        <f>SUMIFS('Unos rashoda i izdataka'!$J$3:$J$498,'Unos rashoda i izdataka'!$C$3:$C$498,"=31",'Unos rashoda i izdataka'!$P$3:$P$498,"=43")+SUMIFS('Unos rashoda P4'!$H$3:$H$492,'Unos rashoda P4'!$A$3:$A$492,"=31",'Unos rashoda P4'!$S$3:$S$492,"=43")</f>
        <v>0</v>
      </c>
      <c r="G35" s="72">
        <f>SUMIFS('Unos rashoda i izdataka'!$J$3:$J$498,'Unos rashoda i izdataka'!$C$3:$C$498,"=41",'Unos rashoda i izdataka'!$P$3:$P$498,"=43")+SUMIFS('Unos rashoda P4'!$H$3:$H$492,'Unos rashoda P4'!$A$3:$A$492,"=41",'Unos rashoda P4'!$S$3:$S$492,"=43")</f>
        <v>0</v>
      </c>
      <c r="H35" s="72">
        <f>SUMIFS('Unos rashoda i izdataka'!$J$3:$J$498,'Unos rashoda i izdataka'!$C$3:$C$498,"=43",'Unos rashoda i izdataka'!$P$3:$P$498,"=43")+SUMIFS('Unos rashoda P4'!$H$3:$H$492,'Unos rashoda P4'!$A$3:$A$492,"=43",'Unos rashoda P4'!$S$3:$S$492,"=43")</f>
        <v>0</v>
      </c>
      <c r="I35" s="72">
        <f>SUMIFS('Unos rashoda i izdataka'!$J$3:$J$498,'Unos rashoda i izdataka'!$C$3:$C$498,"=51",'Unos rashoda i izdataka'!$P$3:$P$498,"=43")+SUMIFS('Unos rashoda P4'!$H$3:$H$492,'Unos rashoda P4'!$A$3:$A$492,"=51",'Unos rashoda P4'!$S$3:$S$492,"=43")</f>
        <v>0</v>
      </c>
      <c r="J35" s="72">
        <f>SUMIFS('Unos rashoda i izdataka'!$J$3:$J$498,'Unos rashoda i izdataka'!$C$3:$C$498,"=52",'Unos rashoda i izdataka'!$P$3:$P$498,"=43")+SUMIFS('Unos rashoda P4'!$H$3:$H$492,'Unos rashoda P4'!$A$3:$A$492,"=52",'Unos rashoda P4'!$S$3:$S$492,"=43")</f>
        <v>0</v>
      </c>
      <c r="K35" s="72">
        <f>SUMIFS('Unos rashoda i izdataka'!$J$3:$J$498,'Unos rashoda i izdataka'!$C$3:$C$498,"=552",'Unos rashoda i izdataka'!$P$3:$P$498,"=43")+SUMIFS('Unos rashoda P4'!$H$3:$H$492,'Unos rashoda P4'!$A$3:$A$492,"=552",'Unos rashoda P4'!$S$3:$S$492,"=43")</f>
        <v>0</v>
      </c>
      <c r="L35" s="72">
        <f>SUMIFS('Unos rashoda i izdataka'!$J$3:$J$498,'Unos rashoda i izdataka'!$C$3:$C$498,"=559",'Unos rashoda i izdataka'!$P$3:$P$498,"=43")+SUMIFS('Unos rashoda P4'!$H$3:$H$492,'Unos rashoda P4'!$A$3:$A$492,"=559",'Unos rashoda P4'!$S$3:$S$492,"=43")</f>
        <v>0</v>
      </c>
      <c r="M35" s="72">
        <f>SUMIFS('Unos rashoda i izdataka'!$J$3:$J$498,'Unos rashoda i izdataka'!$C$3:$C$498,"=561",'Unos rashoda i izdataka'!$P$3:$P$498,"=43")+SUMIFS('Unos rashoda P4'!$H$3:$H$492,'Unos rashoda P4'!$A$3:$A$492,"=561",'Unos rashoda P4'!$S$3:$S$492,"=43")</f>
        <v>0</v>
      </c>
      <c r="N35" s="72">
        <f>SUMIFS('Unos rashoda i izdataka'!$J$3:$J$498,'Unos rashoda i izdataka'!$C$3:$C$498,"=563",'Unos rashoda i izdataka'!$P$3:$P$498,"=43")+SUMIFS('Unos rashoda P4'!$H$3:$H$492,'Unos rashoda P4'!$A$3:$A$492,"=563",'Unos rashoda P4'!$S$3:$S$492,"=43")</f>
        <v>0</v>
      </c>
      <c r="O35" s="72">
        <f>SUMIFS('Unos rashoda i izdataka'!$J$3:$J$498,'Unos rashoda i izdataka'!$C$3:$C$498,"=573",'Unos rashoda i izdataka'!$P$3:$P$498,"=43")+SUMIFS('Unos rashoda P4'!$H$3:$H$492,'Unos rashoda P4'!$A$3:$A$492,"=573",'Unos rashoda P4'!$S$3:$S$492,"=43")</f>
        <v>0</v>
      </c>
      <c r="P35" s="72">
        <f>SUMIFS('Unos rashoda i izdataka'!$J$3:$J$498,'Unos rashoda i izdataka'!$C$3:$C$498,"=575",'Unos rashoda i izdataka'!$P$3:$P$498,"=43")+SUMIFS('Unos rashoda P4'!$H$3:$H$492,'Unos rashoda P4'!$A$3:$A$492,"=575",'Unos rashoda P4'!$S$3:$S$492,"=43")</f>
        <v>0</v>
      </c>
      <c r="Q35" s="72">
        <f>SUMIFS('Unos rashoda i izdataka'!$J$3:$J$498,'Unos rashoda i izdataka'!$Q$3:$Q$498,"=576",'Unos rashoda i izdataka'!$P$3:$P$498,"=43")+SUMIFS('Unos rashoda P4'!$H$3:$H$492,'Unos rashoda P4'!$A$3:$A$492,"=576",'Unos rashoda P4'!$S$3:$S$492,"=43")</f>
        <v>0</v>
      </c>
      <c r="R35" s="72">
        <f>SUMIFS('Unos rashoda i izdataka'!$J$3:$J$498,'Unos rashoda i izdataka'!$C$3:$C$498,"=581",'Unos rashoda i izdataka'!$P$3:$P$498,"=43")+SUMIFS('Unos rashoda P4'!$H$3:$H$492,'Unos rashoda P4'!$A$3:$A$492,"=581",'Unos rashoda P4'!$S$3:$S$492,"=43")</f>
        <v>0</v>
      </c>
      <c r="S35" s="72">
        <f>SUMIFS('Unos rashoda i izdataka'!$J$3:$J$498,'Unos rashoda i izdataka'!$C$3:$C$498,"=61",'Unos rashoda i izdataka'!$P$3:$P$498,"=43")+SUMIFS('Unos rashoda P4'!$H$3:$H$492,'Unos rashoda P4'!$A$3:$A$492,"=61",'Unos rashoda P4'!$S$3:$S$492,"=43")</f>
        <v>0</v>
      </c>
      <c r="T35" s="72">
        <f>SUMIFS('Unos rashoda i izdataka'!$J$3:$J$498,'Unos rashoda i izdataka'!$C$3:$C$498,"=63",'Unos rashoda i izdataka'!$P$3:$P$498,"=43")+SUMIFS('Unos rashoda P4'!$H$3:$H$492,'Unos rashoda P4'!$A$3:$A$492,"=63",'Unos rashoda P4'!$S$3:$S$492,"=43")</f>
        <v>0</v>
      </c>
      <c r="U35" s="72">
        <f>SUMIFS('Unos rashoda i izdataka'!$J$3:$J$498,'Unos rashoda i izdataka'!$C$3:$C$498,"=71",'Unos rashoda i izdataka'!$P$3:$P$498,"=43")+SUMIFS('Unos rashoda P4'!$H$3:$H$492,'Unos rashoda P4'!$A$3:$A$492,"=71",'Unos rashoda P4'!$S$3:$S$492,"=43")</f>
        <v>0</v>
      </c>
      <c r="V35" s="72">
        <f>SUMIFS('Unos rashoda i izdataka'!$J$3:$J$498,'Unos rashoda i izdataka'!$C$3:$C$498,"=81",'Unos rashoda i izdataka'!$P$3:$P$498,"=43")+SUMIFS('Unos rashoda P4'!$H$3:$H$492,'Unos rashoda P4'!$A$3:$A$492,"=81",'Unos rashoda P4'!$S$3:$S$492,"=43")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23">
        <v>44</v>
      </c>
      <c r="B36" s="8" t="s">
        <v>252</v>
      </c>
      <c r="C36" s="71">
        <f t="shared" si="3"/>
        <v>0</v>
      </c>
      <c r="D36" s="72">
        <f>SUMIFS('Unos rashoda i izdataka'!$J$3:$J$498,'Unos rashoda i izdataka'!$C$3:$C$498,"=11",'Unos rashoda i izdataka'!$P$3:$P$498,"=44")+SUMIFS('Unos rashoda P4'!$H$3:$H$492,'Unos rashoda P4'!$A$3:$A$492,"=11",'Unos rashoda P4'!$S$3:$S$492,"=44")</f>
        <v>0</v>
      </c>
      <c r="E36" s="72">
        <f>SUMIFS('Unos rashoda i izdataka'!$J$3:$J$498,'Unos rashoda i izdataka'!$C$3:$C$498,"=12",'Unos rashoda i izdataka'!$P$3:$P$498,"=44")+SUMIFS('Unos rashoda P4'!$H$3:$H$492,'Unos rashoda P4'!$A$3:$A$492,"=12",'Unos rashoda P4'!$S$3:$S$492,"=44")</f>
        <v>0</v>
      </c>
      <c r="F36" s="72">
        <f>SUMIFS('Unos rashoda i izdataka'!$J$3:$J$498,'Unos rashoda i izdataka'!$C$3:$C$498,"=31",'Unos rashoda i izdataka'!$P$3:$P$498,"=44")+SUMIFS('Unos rashoda P4'!$H$3:$H$492,'Unos rashoda P4'!$A$3:$A$492,"=31",'Unos rashoda P4'!$S$3:$S$492,"=44")</f>
        <v>0</v>
      </c>
      <c r="G36" s="72">
        <f>SUMIFS('Unos rashoda i izdataka'!$J$3:$J$498,'Unos rashoda i izdataka'!$C$3:$C$498,"=41",'Unos rashoda i izdataka'!$P$3:$P$498,"=44")+SUMIFS('Unos rashoda P4'!$H$3:$H$492,'Unos rashoda P4'!$A$3:$A$492,"=41",'Unos rashoda P4'!$S$3:$S$492,"=44")</f>
        <v>0</v>
      </c>
      <c r="H36" s="72">
        <f>SUMIFS('Unos rashoda i izdataka'!$J$3:$J$498,'Unos rashoda i izdataka'!$C$3:$C$498,"=43",'Unos rashoda i izdataka'!$P$3:$P$498,"=44")+SUMIFS('Unos rashoda P4'!$H$3:$H$492,'Unos rashoda P4'!$A$3:$A$492,"=43",'Unos rashoda P4'!$S$3:$S$492,"=44")</f>
        <v>0</v>
      </c>
      <c r="I36" s="72">
        <f>SUMIFS('Unos rashoda i izdataka'!$J$3:$J$498,'Unos rashoda i izdataka'!$C$3:$C$498,"=51",'Unos rashoda i izdataka'!$P$3:$P$498,"=44")+SUMIFS('Unos rashoda P4'!$H$3:$H$492,'Unos rashoda P4'!$A$3:$A$492,"=51",'Unos rashoda P4'!$S$3:$S$492,"=44")</f>
        <v>0</v>
      </c>
      <c r="J36" s="72">
        <f>SUMIFS('Unos rashoda i izdataka'!$J$3:$J$498,'Unos rashoda i izdataka'!$C$3:$C$498,"=52",'Unos rashoda i izdataka'!$P$3:$P$498,"=44")+SUMIFS('Unos rashoda P4'!$H$3:$H$492,'Unos rashoda P4'!$A$3:$A$492,"=52",'Unos rashoda P4'!$S$3:$S$492,"=44")</f>
        <v>0</v>
      </c>
      <c r="K36" s="72">
        <f>SUMIFS('Unos rashoda i izdataka'!$J$3:$J$498,'Unos rashoda i izdataka'!$C$3:$C$498,"=552",'Unos rashoda i izdataka'!$P$3:$P$498,"=44")+SUMIFS('Unos rashoda P4'!$H$3:$H$492,'Unos rashoda P4'!$A$3:$A$492,"=552",'Unos rashoda P4'!$S$3:$S$492,"=44")</f>
        <v>0</v>
      </c>
      <c r="L36" s="72">
        <f>SUMIFS('Unos rashoda i izdataka'!$J$3:$J$498,'Unos rashoda i izdataka'!$C$3:$C$498,"=559",'Unos rashoda i izdataka'!$P$3:$P$498,"=44")+SUMIFS('Unos rashoda P4'!$H$3:$H$492,'Unos rashoda P4'!$A$3:$A$492,"=559",'Unos rashoda P4'!$S$3:$S$492,"=44")</f>
        <v>0</v>
      </c>
      <c r="M36" s="72">
        <f>SUMIFS('Unos rashoda i izdataka'!$J$3:$J$498,'Unos rashoda i izdataka'!$C$3:$C$498,"=561",'Unos rashoda i izdataka'!$P$3:$P$498,"=44")+SUMIFS('Unos rashoda P4'!$H$3:$H$492,'Unos rashoda P4'!$A$3:$A$492,"=561",'Unos rashoda P4'!$S$3:$S$492,"=44")</f>
        <v>0</v>
      </c>
      <c r="N36" s="72">
        <f>SUMIFS('Unos rashoda i izdataka'!$J$3:$J$498,'Unos rashoda i izdataka'!$C$3:$C$498,"=563",'Unos rashoda i izdataka'!$P$3:$P$498,"=44")+SUMIFS('Unos rashoda P4'!$H$3:$H$492,'Unos rashoda P4'!$A$3:$A$492,"=563",'Unos rashoda P4'!$S$3:$S$492,"=44")</f>
        <v>0</v>
      </c>
      <c r="O36" s="72">
        <f>SUMIFS('Unos rashoda i izdataka'!$J$3:$J$498,'Unos rashoda i izdataka'!$C$3:$C$498,"=573",'Unos rashoda i izdataka'!$P$3:$P$498,"=44")+SUMIFS('Unos rashoda P4'!$H$3:$H$492,'Unos rashoda P4'!$A$3:$A$492,"=573",'Unos rashoda P4'!$S$3:$S$492,"=44")</f>
        <v>0</v>
      </c>
      <c r="P36" s="72">
        <f>SUMIFS('Unos rashoda i izdataka'!$J$3:$J$498,'Unos rashoda i izdataka'!$C$3:$C$498,"=575",'Unos rashoda i izdataka'!$P$3:$P$498,"=44")+SUMIFS('Unos rashoda P4'!$H$3:$H$492,'Unos rashoda P4'!$A$3:$A$492,"=575",'Unos rashoda P4'!$S$3:$S$492,"=44")</f>
        <v>0</v>
      </c>
      <c r="Q36" s="72">
        <f>SUMIFS('Unos rashoda i izdataka'!$J$3:$J$498,'Unos rashoda i izdataka'!$Q$3:$Q$498,"=576",'Unos rashoda i izdataka'!$P$3:$P$498,"=44")+SUMIFS('Unos rashoda P4'!$H$3:$H$492,'Unos rashoda P4'!$A$3:$A$492,"=576",'Unos rashoda P4'!$S$3:$S$492,"=44")</f>
        <v>0</v>
      </c>
      <c r="R36" s="72">
        <f>SUMIFS('Unos rashoda i izdataka'!$J$3:$J$498,'Unos rashoda i izdataka'!$C$3:$C$498,"=581",'Unos rashoda i izdataka'!$P$3:$P$498,"=44")+SUMIFS('Unos rashoda P4'!$H$3:$H$492,'Unos rashoda P4'!$A$3:$A$492,"=581",'Unos rashoda P4'!$S$3:$S$492,"=44")</f>
        <v>0</v>
      </c>
      <c r="S36" s="72">
        <f>SUMIFS('Unos rashoda i izdataka'!$J$3:$J$498,'Unos rashoda i izdataka'!$C$3:$C$498,"=61",'Unos rashoda i izdataka'!$P$3:$P$498,"=44")+SUMIFS('Unos rashoda P4'!$H$3:$H$492,'Unos rashoda P4'!$A$3:$A$492,"=61",'Unos rashoda P4'!$S$3:$S$492,"=44")</f>
        <v>0</v>
      </c>
      <c r="T36" s="72">
        <f>SUMIFS('Unos rashoda i izdataka'!$J$3:$J$498,'Unos rashoda i izdataka'!$C$3:$C$498,"=63",'Unos rashoda i izdataka'!$P$3:$P$498,"=44")+SUMIFS('Unos rashoda P4'!$H$3:$H$492,'Unos rashoda P4'!$A$3:$A$492,"=63",'Unos rashoda P4'!$S$3:$S$492,"=44")</f>
        <v>0</v>
      </c>
      <c r="U36" s="72">
        <f>SUMIFS('Unos rashoda i izdataka'!$J$3:$J$498,'Unos rashoda i izdataka'!$C$3:$C$498,"=71",'Unos rashoda i izdataka'!$P$3:$P$498,"=44")+SUMIFS('Unos rashoda P4'!$H$3:$H$492,'Unos rashoda P4'!$A$3:$A$492,"=71",'Unos rashoda P4'!$S$3:$S$492,"=44")</f>
        <v>0</v>
      </c>
      <c r="V36" s="72">
        <f>SUMIFS('Unos rashoda i izdataka'!$J$3:$J$498,'Unos rashoda i izdataka'!$C$3:$C$498,"=81",'Unos rashoda i izdataka'!$P$3:$P$498,"=44")+SUMIFS('Unos rashoda P4'!$H$3:$H$492,'Unos rashoda P4'!$A$3:$A$492,"=81",'Unos rashoda P4'!$S$3:$S$492,"=44")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24">
        <v>45</v>
      </c>
      <c r="B37" s="10" t="s">
        <v>200</v>
      </c>
      <c r="C37" s="71">
        <f t="shared" si="3"/>
        <v>5000</v>
      </c>
      <c r="D37" s="72">
        <f>SUMIFS('Unos rashoda i izdataka'!$J$3:$J$498,'Unos rashoda i izdataka'!$C$3:$C$498,"=11",'Unos rashoda i izdataka'!$P$3:$P$498,"=45")+SUMIFS('Unos rashoda P4'!$H$3:$H$492,'Unos rashoda P4'!$A$3:$A$492,"=11",'Unos rashoda P4'!$S$3:$S$492,"=45")</f>
        <v>5000</v>
      </c>
      <c r="E37" s="72">
        <f>SUMIFS('Unos rashoda i izdataka'!$J$3:$J$498,'Unos rashoda i izdataka'!$C$3:$C$498,"=12",'Unos rashoda i izdataka'!$P$3:$P$498,"=45")+SUMIFS('Unos rashoda P4'!$H$3:$H$492,'Unos rashoda P4'!$A$3:$A$492,"=12",'Unos rashoda P4'!$S$3:$S$492,"=45")</f>
        <v>0</v>
      </c>
      <c r="F37" s="72">
        <f>SUMIFS('Unos rashoda i izdataka'!$J$3:$J$498,'Unos rashoda i izdataka'!$C$3:$C$498,"=31",'Unos rashoda i izdataka'!$P$3:$P$498,"=45")+SUMIFS('Unos rashoda P4'!$H$3:$H$492,'Unos rashoda P4'!$A$3:$A$492,"=31",'Unos rashoda P4'!$S$3:$S$492,"=45")</f>
        <v>0</v>
      </c>
      <c r="G37" s="72">
        <f>SUMIFS('Unos rashoda i izdataka'!$J$3:$J$498,'Unos rashoda i izdataka'!$C$3:$C$498,"=41",'Unos rashoda i izdataka'!$P$3:$P$498,"=45")+SUMIFS('Unos rashoda P4'!$H$3:$H$492,'Unos rashoda P4'!$A$3:$A$492,"=41",'Unos rashoda P4'!$S$3:$S$492,"=45")</f>
        <v>0</v>
      </c>
      <c r="H37" s="72">
        <f>SUMIFS('Unos rashoda i izdataka'!$J$3:$J$498,'Unos rashoda i izdataka'!$C$3:$C$498,"=43",'Unos rashoda i izdataka'!$P$3:$P$498,"=45")+SUMIFS('Unos rashoda P4'!$H$3:$H$492,'Unos rashoda P4'!$A$3:$A$492,"=43",'Unos rashoda P4'!$S$3:$S$492,"=45")</f>
        <v>0</v>
      </c>
      <c r="I37" s="72">
        <f>SUMIFS('Unos rashoda i izdataka'!$J$3:$J$498,'Unos rashoda i izdataka'!$C$3:$C$498,"=51",'Unos rashoda i izdataka'!$P$3:$P$498,"=45")+SUMIFS('Unos rashoda P4'!$H$3:$H$492,'Unos rashoda P4'!$A$3:$A$492,"=51",'Unos rashoda P4'!$S$3:$S$492,"=45")</f>
        <v>0</v>
      </c>
      <c r="J37" s="72">
        <f>SUMIFS('Unos rashoda i izdataka'!$J$3:$J$498,'Unos rashoda i izdataka'!$C$3:$C$498,"=52",'Unos rashoda i izdataka'!$P$3:$P$498,"=45")+SUMIFS('Unos rashoda P4'!$H$3:$H$492,'Unos rashoda P4'!$A$3:$A$492,"=52",'Unos rashoda P4'!$S$3:$S$492,"=45")</f>
        <v>0</v>
      </c>
      <c r="K37" s="72">
        <f>SUMIFS('Unos rashoda i izdataka'!$J$3:$J$498,'Unos rashoda i izdataka'!$C$3:$C$498,"=552",'Unos rashoda i izdataka'!$P$3:$P$498,"=45")+SUMIFS('Unos rashoda P4'!$H$3:$H$492,'Unos rashoda P4'!$A$3:$A$492,"=552",'Unos rashoda P4'!$S$3:$S$492,"=45")</f>
        <v>0</v>
      </c>
      <c r="L37" s="72">
        <f>SUMIFS('Unos rashoda i izdataka'!$J$3:$J$498,'Unos rashoda i izdataka'!$C$3:$C$498,"=559",'Unos rashoda i izdataka'!$P$3:$P$498,"=45")+SUMIFS('Unos rashoda P4'!$H$3:$H$492,'Unos rashoda P4'!$A$3:$A$492,"=559",'Unos rashoda P4'!$S$3:$S$492,"=45")</f>
        <v>0</v>
      </c>
      <c r="M37" s="72">
        <f>SUMIFS('Unos rashoda i izdataka'!$J$3:$J$498,'Unos rashoda i izdataka'!$C$3:$C$498,"=561",'Unos rashoda i izdataka'!$P$3:$P$498,"=45")+SUMIFS('Unos rashoda P4'!$H$3:$H$492,'Unos rashoda P4'!$A$3:$A$492,"=561",'Unos rashoda P4'!$S$3:$S$492,"=45")</f>
        <v>0</v>
      </c>
      <c r="N37" s="72">
        <f>SUMIFS('Unos rashoda i izdataka'!$J$3:$J$498,'Unos rashoda i izdataka'!$C$3:$C$498,"=563",'Unos rashoda i izdataka'!$P$3:$P$498,"=45")+SUMIFS('Unos rashoda P4'!$H$3:$H$492,'Unos rashoda P4'!$A$3:$A$492,"=563",'Unos rashoda P4'!$S$3:$S$492,"=45")</f>
        <v>0</v>
      </c>
      <c r="O37" s="72">
        <f>SUMIFS('Unos rashoda i izdataka'!$J$3:$J$498,'Unos rashoda i izdataka'!$C$3:$C$498,"=573",'Unos rashoda i izdataka'!$P$3:$P$498,"=45")+SUMIFS('Unos rashoda P4'!$H$3:$H$492,'Unos rashoda P4'!$A$3:$A$492,"=573",'Unos rashoda P4'!$S$3:$S$492,"=45")</f>
        <v>0</v>
      </c>
      <c r="P37" s="72">
        <f>SUMIFS('Unos rashoda i izdataka'!$J$3:$J$498,'Unos rashoda i izdataka'!$C$3:$C$498,"=575",'Unos rashoda i izdataka'!$P$3:$P$498,"=45")+SUMIFS('Unos rashoda P4'!$H$3:$H$492,'Unos rashoda P4'!$A$3:$A$492,"=575",'Unos rashoda P4'!$S$3:$S$492,"=45")</f>
        <v>0</v>
      </c>
      <c r="Q37" s="72">
        <f>SUMIFS('Unos rashoda i izdataka'!$J$3:$J$498,'Unos rashoda i izdataka'!$Q$3:$Q$498,"=576",'Unos rashoda i izdataka'!$P$3:$P$498,"=45")+SUMIFS('Unos rashoda P4'!$H$3:$H$492,'Unos rashoda P4'!$A$3:$A$492,"=576",'Unos rashoda P4'!$S$3:$S$492,"=45")</f>
        <v>0</v>
      </c>
      <c r="R37" s="72">
        <f>SUMIFS('Unos rashoda i izdataka'!$J$3:$J$498,'Unos rashoda i izdataka'!$C$3:$C$498,"=581",'Unos rashoda i izdataka'!$P$3:$P$498,"=45")+SUMIFS('Unos rashoda P4'!$H$3:$H$492,'Unos rashoda P4'!$A$3:$A$492,"=581",'Unos rashoda P4'!$S$3:$S$492,"=45")</f>
        <v>0</v>
      </c>
      <c r="S37" s="72">
        <f>SUMIFS('Unos rashoda i izdataka'!$J$3:$J$498,'Unos rashoda i izdataka'!$C$3:$C$498,"=61",'Unos rashoda i izdataka'!$P$3:$P$498,"=45")+SUMIFS('Unos rashoda P4'!$H$3:$H$492,'Unos rashoda P4'!$A$3:$A$492,"=61",'Unos rashoda P4'!$S$3:$S$492,"=45")</f>
        <v>0</v>
      </c>
      <c r="T37" s="72">
        <f>SUMIFS('Unos rashoda i izdataka'!$J$3:$J$498,'Unos rashoda i izdataka'!$C$3:$C$498,"=63",'Unos rashoda i izdataka'!$P$3:$P$498,"=45")+SUMIFS('Unos rashoda P4'!$H$3:$H$492,'Unos rashoda P4'!$A$3:$A$492,"=63",'Unos rashoda P4'!$S$3:$S$492,"=45")</f>
        <v>0</v>
      </c>
      <c r="U37" s="72">
        <f>SUMIFS('Unos rashoda i izdataka'!$J$3:$J$498,'Unos rashoda i izdataka'!$C$3:$C$498,"=71",'Unos rashoda i izdataka'!$P$3:$P$498,"=45")+SUMIFS('Unos rashoda P4'!$H$3:$H$492,'Unos rashoda P4'!$A$3:$A$492,"=71",'Unos rashoda P4'!$S$3:$S$492,"=45")</f>
        <v>0</v>
      </c>
      <c r="V37" s="72">
        <f>SUMIFS('Unos rashoda i izdataka'!$J$3:$J$498,'Unos rashoda i izdataka'!$C$3:$C$498,"=81",'Unos rashoda i izdataka'!$P$3:$P$498,"=45")+SUMIFS('Unos rashoda P4'!$H$3:$H$492,'Unos rashoda P4'!$A$3:$A$492,"=81",'Unos rashoda P4'!$S$3:$S$492,"=45")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26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76" t="s">
        <v>191</v>
      </c>
      <c r="B39" s="41" t="s">
        <v>192</v>
      </c>
      <c r="C39" s="2" t="s">
        <v>3012</v>
      </c>
      <c r="D39" s="2" t="s">
        <v>37</v>
      </c>
      <c r="E39" s="2" t="s">
        <v>247</v>
      </c>
      <c r="F39" s="41" t="s">
        <v>16</v>
      </c>
      <c r="G39" s="41" t="s">
        <v>5106</v>
      </c>
      <c r="H39" s="41" t="s">
        <v>17</v>
      </c>
      <c r="I39" s="41" t="s">
        <v>236</v>
      </c>
      <c r="J39" s="41" t="s">
        <v>237</v>
      </c>
      <c r="K39" s="41" t="s">
        <v>1225</v>
      </c>
      <c r="L39" s="41" t="s">
        <v>238</v>
      </c>
      <c r="M39" s="41" t="s">
        <v>239</v>
      </c>
      <c r="N39" s="41" t="s">
        <v>240</v>
      </c>
      <c r="O39" s="41" t="s">
        <v>1226</v>
      </c>
      <c r="P39" s="41" t="s">
        <v>5112</v>
      </c>
      <c r="Q39" s="41" t="s">
        <v>5113</v>
      </c>
      <c r="R39" s="41" t="s">
        <v>3011</v>
      </c>
      <c r="S39" s="41" t="s">
        <v>241</v>
      </c>
      <c r="T39" s="41" t="s">
        <v>242</v>
      </c>
      <c r="U39" s="41" t="s">
        <v>1202</v>
      </c>
      <c r="V39" s="41" t="s">
        <v>1201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28">
        <v>2024</v>
      </c>
      <c r="B40" s="327" t="s">
        <v>5259</v>
      </c>
      <c r="C40" s="60">
        <f t="shared" ref="C40:C54" si="5">SUM(D40:V40)</f>
        <v>131413.86556515156</v>
      </c>
      <c r="D40" s="61">
        <f t="shared" ref="D40:V40" si="6">+D41+D49</f>
        <v>89558</v>
      </c>
      <c r="E40" s="61">
        <f t="shared" si="6"/>
        <v>-25226.818158454</v>
      </c>
      <c r="F40" s="61">
        <f t="shared" si="6"/>
        <v>5510</v>
      </c>
      <c r="G40" s="61">
        <f t="shared" si="6"/>
        <v>0</v>
      </c>
      <c r="H40" s="61">
        <f t="shared" si="6"/>
        <v>0</v>
      </c>
      <c r="I40" s="61">
        <f t="shared" si="6"/>
        <v>0</v>
      </c>
      <c r="J40" s="61">
        <f t="shared" si="6"/>
        <v>327005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-265432.31627639441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0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25">
        <v>3</v>
      </c>
      <c r="B41" s="63" t="s">
        <v>193</v>
      </c>
      <c r="C41" s="64">
        <f t="shared" si="5"/>
        <v>181413.86556515156</v>
      </c>
      <c r="D41" s="68">
        <f t="shared" ref="D41:V41" si="7">+D42+D43+D44+D45+D46+D47+D48</f>
        <v>139558</v>
      </c>
      <c r="E41" s="68">
        <f t="shared" si="7"/>
        <v>-25226.818158454</v>
      </c>
      <c r="F41" s="68">
        <f t="shared" si="7"/>
        <v>5510</v>
      </c>
      <c r="G41" s="68">
        <f t="shared" si="7"/>
        <v>0</v>
      </c>
      <c r="H41" s="68">
        <f t="shared" si="7"/>
        <v>0</v>
      </c>
      <c r="I41" s="68">
        <f t="shared" si="7"/>
        <v>0</v>
      </c>
      <c r="J41" s="68">
        <f t="shared" si="7"/>
        <v>327005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-265432.31627639441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23">
        <v>31</v>
      </c>
      <c r="B42" s="8" t="s">
        <v>194</v>
      </c>
      <c r="C42" s="70">
        <f t="shared" si="5"/>
        <v>188752</v>
      </c>
      <c r="D42" s="72">
        <f>SUMIFS('Unos rashoda i izdataka'!$K$3:$K$498,'Unos rashoda i izdataka'!$C$3:$C$498,"=11",'Unos rashoda i izdataka'!$P$3:$P$498,"=31")+SUMIFS('Unos rashoda P4'!$I$3:$I$492,'Unos rashoda P4'!$A$3:$A$492,"=11",'Unos rashoda P4'!$S$3:$S$492,"=31")</f>
        <v>163082</v>
      </c>
      <c r="E42" s="72">
        <f>SUMIFS('Unos rashoda i izdataka'!$K$3:$K$498,'Unos rashoda i izdataka'!$C$3:$C$498,"=12",'Unos rashoda i izdataka'!$P$3:$P$498,"=31")+SUMIFS('Unos rashoda P4'!$I$3:$I$492,'Unos rashoda P4'!$A$3:$A$492,"=12",'Unos rashoda P4'!$S$3:$S$492,"=31")</f>
        <v>0</v>
      </c>
      <c r="F42" s="72">
        <f>SUMIFS('Unos rashoda i izdataka'!$K$3:$K$498,'Unos rashoda i izdataka'!$C$3:$C$498,"=31",'Unos rashoda i izdataka'!$P$3:$P$498,"=31")+SUMIFS('Unos rashoda P4'!$I$3:$I$492,'Unos rashoda P4'!$A$3:$A$492,"=31",'Unos rashoda P4'!$S$3:$S$492,"=31")</f>
        <v>5510</v>
      </c>
      <c r="G42" s="72">
        <f>SUMIFS('Unos rashoda i izdataka'!$K$3:$K$498,'Unos rashoda i izdataka'!$C$3:$C$498,"=41",'Unos rashoda i izdataka'!$P$3:$P$498,"=31")+SUMIFS('Unos rashoda P4'!$I$3:$I$492,'Unos rashoda P4'!$A$3:$A$492,"=41",'Unos rashoda P4'!$S$3:$S$492,"=31")</f>
        <v>0</v>
      </c>
      <c r="H42" s="72">
        <f>SUMIFS('Unos rashoda i izdataka'!$K$3:$K$498,'Unos rashoda i izdataka'!$C$3:$C$498,"=43",'Unos rashoda i izdataka'!$P$3:$P$498,"=31")+SUMIFS('Unos rashoda P4'!$I$3:$I$492,'Unos rashoda P4'!$A$3:$A$492,"=43",'Unos rashoda P4'!$S$3:$S$492,"=31")</f>
        <v>0</v>
      </c>
      <c r="I42" s="72">
        <f>SUMIFS('Unos rashoda i izdataka'!$K$3:$K$498,'Unos rashoda i izdataka'!$C$3:$C$498,"=51",'Unos rashoda i izdataka'!$P$3:$P$498,"=31")+SUMIFS('Unos rashoda P4'!$I$3:$I$492,'Unos rashoda P4'!$A$3:$A$492,"=51",'Unos rashoda P4'!$S$3:$S$492,"=31")</f>
        <v>0</v>
      </c>
      <c r="J42" s="72">
        <f>SUMIFS('Unos rashoda i izdataka'!$K$3:$K$498,'Unos rashoda i izdataka'!$C$3:$C$498,"=52",'Unos rashoda i izdataka'!$P$3:$P$498,"=31")+SUMIFS('Unos rashoda P4'!$I$3:$I$492,'Unos rashoda P4'!$A$3:$A$492,"=52",'Unos rashoda P4'!$S$3:$S$492,"=31")</f>
        <v>20160</v>
      </c>
      <c r="K42" s="72">
        <f>SUMIFS('Unos rashoda i izdataka'!$K$3:$K$498,'Unos rashoda i izdataka'!$C$3:$C$498,"=552",'Unos rashoda i izdataka'!$P$3:$P$498,"=31")+SUMIFS('Unos rashoda P4'!$I$3:$I$492,'Unos rashoda P4'!$A$3:$A$492,"=552",'Unos rashoda P4'!$S$3:$S$492,"=31")</f>
        <v>0</v>
      </c>
      <c r="L42" s="72">
        <f>SUMIFS('Unos rashoda i izdataka'!$K$3:$K$498,'Unos rashoda i izdataka'!$C$3:$C$498,"=559",'Unos rashoda i izdataka'!$P$3:$P$498,"=31")+SUMIFS('Unos rashoda P4'!$I$3:$I$492,'Unos rashoda P4'!$A$3:$A$492,"=559",'Unos rashoda P4'!$S$3:$S$492,"=31")</f>
        <v>0</v>
      </c>
      <c r="M42" s="72">
        <f>SUMIFS('Unos rashoda i izdataka'!$K$3:$K$498,'Unos rashoda i izdataka'!$C$3:$C$498,"=561",'Unos rashoda i izdataka'!$P$3:$P$498,"=31")+SUMIFS('Unos rashoda P4'!$I$3:$I$492,'Unos rashoda P4'!$A$3:$A$492,"=561",'Unos rashoda P4'!$S$3:$S$492,"=31")</f>
        <v>0</v>
      </c>
      <c r="N42" s="72">
        <f>SUMIFS('Unos rashoda i izdataka'!$K$3:$K$498,'Unos rashoda i izdataka'!$C$3:$C$498,"=563",'Unos rashoda i izdataka'!$P$3:$P$498,"=31")+SUMIFS('Unos rashoda P4'!$I$3:$I$492,'Unos rashoda P4'!$A$3:$A$492,"=563",'Unos rashoda P4'!$S$3:$S$492,"=31")</f>
        <v>0</v>
      </c>
      <c r="O42" s="72">
        <f>SUMIFS('Unos rashoda i izdataka'!$K$3:$K$498,'Unos rashoda i izdataka'!$C$3:$C$498,"=573",'Unos rashoda i izdataka'!$P$3:$P$498,"=31")+SUMIFS('Unos rashoda P4'!$I$3:$I$492,'Unos rashoda P4'!$A$3:$A$492,"=573",'Unos rashoda P4'!$S$3:$S$492,"=31")</f>
        <v>0</v>
      </c>
      <c r="P42" s="72">
        <f>SUMIFS('Unos rashoda i izdataka'!$K$3:$K$498,'Unos rashoda i izdataka'!$C$3:$C$498,"=575",'Unos rashoda i izdataka'!$P$3:$P$498,"=31")+SUMIFS('Unos rashoda P4'!$I$3:$I$492,'Unos rashoda P4'!$A$3:$A$492,"=575",'Unos rashoda P4'!$S$3:$S$492,"=31")</f>
        <v>0</v>
      </c>
      <c r="Q42" s="72">
        <f>SUMIFS('Unos rashoda i izdataka'!$K$3:$K$498,'Unos rashoda i izdataka'!$Q$3:$Q$498,"=576",'Unos rashoda i izdataka'!$P$3:$P$498,"=31")+SUMIFS('Unos rashoda P4'!$I$3:$I$492,'Unos rashoda P4'!$A$3:$A$492,"=576",'Unos rashoda P4'!$S$3:$S$492,"=31")</f>
        <v>0</v>
      </c>
      <c r="R42" s="72">
        <f>SUMIFS('Unos rashoda i izdataka'!$K$3:$K$498,'Unos rashoda i izdataka'!$C$3:$C$498,"=581",'Unos rashoda i izdataka'!$P$3:$P$498,"=31")+SUMIFS('Unos rashoda P4'!$I$3:$I$492,'Unos rashoda P4'!$A$3:$A$492,"=581",'Unos rashoda P4'!$S$3:$S$492,"=31")</f>
        <v>0</v>
      </c>
      <c r="S42" s="72">
        <f>SUMIFS('Unos rashoda i izdataka'!$K$3:$K$498,'Unos rashoda i izdataka'!$C$3:$C$498,"=61",'Unos rashoda i izdataka'!$P$3:$P$498,"=31")+SUMIFS('Unos rashoda P4'!$I$3:$I$492,'Unos rashoda P4'!$A$3:$A$492,"=61",'Unos rashoda P4'!$S$3:$S$492,"=31")</f>
        <v>0</v>
      </c>
      <c r="T42" s="72">
        <f>SUMIFS('Unos rashoda i izdataka'!$K$3:$K$498,'Unos rashoda i izdataka'!$C$3:$C$498,"=63",'Unos rashoda i izdataka'!$P$3:$P$498,"=31")+SUMIFS('Unos rashoda P4'!$I$3:$I$492,'Unos rashoda P4'!$A$3:$A$492,"=63",'Unos rashoda P4'!$S$3:$S$492,"=31")</f>
        <v>0</v>
      </c>
      <c r="U42" s="72">
        <f>SUMIFS('Unos rashoda i izdataka'!$K$3:$K$498,'Unos rashoda i izdataka'!$C$3:$C$498,"=71",'Unos rashoda i izdataka'!$P$3:$P$498,"=31")+SUMIFS('Unos rashoda P4'!$I$3:$I$492,'Unos rashoda P4'!$A$3:$A$492,"=71",'Unos rashoda P4'!$S$3:$S$492,"=31")</f>
        <v>0</v>
      </c>
      <c r="V42" s="72">
        <f>SUMIFS('Unos rashoda i izdataka'!$K$3:$K$498,'Unos rashoda i izdataka'!$C$3:$C$498,"=81",'Unos rashoda i izdataka'!$P$3:$P$498,"=31")+SUMIFS('Unos rashoda P4'!$I$3:$I$492,'Unos rashoda P4'!$A$3:$A$492,"=81",'Unos rashoda P4'!$S$3:$S$492,"=31")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24">
        <v>32</v>
      </c>
      <c r="B43" s="10" t="s">
        <v>195</v>
      </c>
      <c r="C43" s="71">
        <f t="shared" si="5"/>
        <v>-164441.13443484841</v>
      </c>
      <c r="D43" s="72">
        <f>SUMIFS('Unos rashoda i izdataka'!$K$3:$K$498,'Unos rashoda i izdataka'!$C$3:$C$498,"=11",'Unos rashoda i izdataka'!$P$3:$P$498,"=32")+SUMIFS('Unos rashoda P4'!$I$3:$I$492,'Unos rashoda P4'!$A$3:$A$492,"=11",'Unos rashoda P4'!$S$3:$S$492,"=32")</f>
        <v>-32524</v>
      </c>
      <c r="E43" s="72">
        <f>SUMIFS('Unos rashoda i izdataka'!$K$3:$K$498,'Unos rashoda i izdataka'!$C$3:$C$498,"=12",'Unos rashoda i izdataka'!$P$3:$P$498,"=32")+SUMIFS('Unos rashoda P4'!$I$3:$I$492,'Unos rashoda P4'!$A$3:$A$492,"=12",'Unos rashoda P4'!$S$3:$S$492,"=32")</f>
        <v>-25226.818158454</v>
      </c>
      <c r="F43" s="72">
        <f>SUMIFS('Unos rashoda i izdataka'!$K$3:$K$498,'Unos rashoda i izdataka'!$C$3:$C$498,"=31",'Unos rashoda i izdataka'!$P$3:$P$498,"=32")+SUMIFS('Unos rashoda P4'!$I$3:$I$492,'Unos rashoda P4'!$A$3:$A$492,"=31",'Unos rashoda P4'!$S$3:$S$492,"=32")</f>
        <v>0</v>
      </c>
      <c r="G43" s="72">
        <f>SUMIFS('Unos rashoda i izdataka'!$K$3:$K$498,'Unos rashoda i izdataka'!$C$3:$C$498,"=41",'Unos rashoda i izdataka'!$P$3:$P$498,"=32")+SUMIFS('Unos rashoda P4'!$I$3:$I$492,'Unos rashoda P4'!$A$3:$A$492,"=41",'Unos rashoda P4'!$S$3:$S$492,"=32")</f>
        <v>0</v>
      </c>
      <c r="H43" s="72"/>
      <c r="I43" s="72"/>
      <c r="J43" s="72">
        <f>SUMIFS('Unos rashoda i izdataka'!$K$3:$K$498,'Unos rashoda i izdataka'!$C$3:$C$498,"=52",'Unos rashoda i izdataka'!$P$3:$P$498,"=32")+SUMIFS('Unos rashoda P4'!$I$3:$I$492,'Unos rashoda P4'!$A$3:$A$492,"=52",'Unos rashoda P4'!$S$3:$S$492,"=32")</f>
        <v>158742</v>
      </c>
      <c r="K43" s="72">
        <f>SUMIFS('Unos rashoda i izdataka'!$K$3:$K$498,'Unos rashoda i izdataka'!$C$3:$C$498,"=552",'Unos rashoda i izdataka'!$P$3:$P$498,"=32")+SUMIFS('Unos rashoda P4'!$I$3:$I$492,'Unos rashoda P4'!$A$3:$A$492,"=552",'Unos rashoda P4'!$S$3:$S$492,"=32")</f>
        <v>0</v>
      </c>
      <c r="L43" s="72">
        <f>SUMIFS('Unos rashoda i izdataka'!$K$3:$K$498,'Unos rashoda i izdataka'!$C$3:$C$498,"=559",'Unos rashoda i izdataka'!$P$3:$P$498,"=32")+SUMIFS('Unos rashoda P4'!$I$3:$I$492,'Unos rashoda P4'!$A$3:$A$492,"=559",'Unos rashoda P4'!$S$3:$S$492,"=32")</f>
        <v>0</v>
      </c>
      <c r="M43" s="72">
        <f>SUMIFS('Unos rashoda i izdataka'!$K$3:$K$498,'Unos rashoda i izdataka'!$C$3:$C$498,"=561",'Unos rashoda i izdataka'!$P$3:$P$498,"=32")+SUMIFS('Unos rashoda P4'!$I$3:$I$492,'Unos rashoda P4'!$A$3:$A$492,"=561",'Unos rashoda P4'!$S$3:$S$492,"=32")</f>
        <v>0</v>
      </c>
      <c r="N43" s="72">
        <f>SUMIFS('Unos rashoda i izdataka'!$K$3:$K$498,'Unos rashoda i izdataka'!$C$3:$C$498,"=563",'Unos rashoda i izdataka'!$P$3:$P$498,"=32")+SUMIFS('Unos rashoda P4'!$I$3:$I$492,'Unos rashoda P4'!$A$3:$A$492,"=563",'Unos rashoda P4'!$S$3:$S$492,"=32")</f>
        <v>-265432.31627639441</v>
      </c>
      <c r="O43" s="72">
        <f>SUMIFS('Unos rashoda i izdataka'!$K$3:$K$498,'Unos rashoda i izdataka'!$C$3:$C$498,"=573",'Unos rashoda i izdataka'!$P$3:$P$498,"=32")+SUMIFS('Unos rashoda P4'!$I$3:$I$492,'Unos rashoda P4'!$A$3:$A$492,"=573",'Unos rashoda P4'!$S$3:$S$492,"=32")</f>
        <v>0</v>
      </c>
      <c r="P43" s="72">
        <f>SUMIFS('Unos rashoda i izdataka'!$K$3:$K$498,'Unos rashoda i izdataka'!$C$3:$C$498,"=575",'Unos rashoda i izdataka'!$P$3:$P$498,"=32")+SUMIFS('Unos rashoda P4'!$I$3:$I$492,'Unos rashoda P4'!$A$3:$A$492,"=575",'Unos rashoda P4'!$S$3:$S$492,"=32")</f>
        <v>0</v>
      </c>
      <c r="Q43" s="72">
        <f>SUMIFS('Unos rashoda i izdataka'!$K$3:$K$498,'Unos rashoda i izdataka'!$Q$3:$Q$498,"=576",'Unos rashoda i izdataka'!$P$3:$P$498,"=32")+SUMIFS('Unos rashoda P4'!$I$3:$I$492,'Unos rashoda P4'!$A$3:$A$492,"=576",'Unos rashoda P4'!$S$3:$S$492,"=32")</f>
        <v>0</v>
      </c>
      <c r="R43" s="72">
        <f>SUMIFS('Unos rashoda i izdataka'!$K$3:$K$498,'Unos rashoda i izdataka'!$C$3:$C$498,"=581",'Unos rashoda i izdataka'!$P$3:$P$498,"=32")+SUMIFS('Unos rashoda P4'!$I$3:$I$492,'Unos rashoda P4'!$A$3:$A$492,"=581",'Unos rashoda P4'!$S$3:$S$492,"=32")</f>
        <v>0</v>
      </c>
      <c r="S43" s="72">
        <f>SUMIFS('Unos rashoda i izdataka'!$K$3:$K$498,'Unos rashoda i izdataka'!$C$3:$C$498,"=61",'Unos rashoda i izdataka'!$P$3:$P$498,"=32")+SUMIFS('Unos rashoda P4'!$I$3:$I$492,'Unos rashoda P4'!$A$3:$A$492,"=61",'Unos rashoda P4'!$S$3:$S$492,"=32")</f>
        <v>0</v>
      </c>
      <c r="T43" s="72">
        <f>SUMIFS('Unos rashoda i izdataka'!$K$3:$K$498,'Unos rashoda i izdataka'!$C$3:$C$498,"=63",'Unos rashoda i izdataka'!$P$3:$P$498,"=32")+SUMIFS('Unos rashoda P4'!$I$3:$I$492,'Unos rashoda P4'!$A$3:$A$492,"=63",'Unos rashoda P4'!$S$3:$S$492,"=32")</f>
        <v>0</v>
      </c>
      <c r="U43" s="72">
        <f>SUMIFS('Unos rashoda i izdataka'!$K$3:$K$498,'Unos rashoda i izdataka'!$C$3:$C$498,"=71",'Unos rashoda i izdataka'!$P$3:$P$498,"=32")+SUMIFS('Unos rashoda P4'!$I$3:$I$492,'Unos rashoda P4'!$A$3:$A$492,"=71",'Unos rashoda P4'!$S$3:$S$492,"=32")</f>
        <v>0</v>
      </c>
      <c r="V43" s="72">
        <f>SUMIFS('Unos rashoda i izdataka'!$K$3:$K$498,'Unos rashoda i izdataka'!$C$3:$C$498,"=81",'Unos rashoda i izdataka'!$P$3:$P$498,"=32")+SUMIFS('Unos rashoda P4'!$I$3:$I$492,'Unos rashoda P4'!$A$3:$A$492,"=81",'Unos rashoda P4'!$S$3:$S$492,"=32")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24">
        <v>34</v>
      </c>
      <c r="B44" s="10" t="s">
        <v>196</v>
      </c>
      <c r="C44" s="71">
        <f t="shared" si="5"/>
        <v>9000</v>
      </c>
      <c r="D44" s="72">
        <f>SUMIFS('Unos rashoda i izdataka'!$K$3:$K$498,'Unos rashoda i izdataka'!$C$3:$C$498,"=11",'Unos rashoda i izdataka'!$P$3:$P$498,"=34")+SUMIFS('Unos rashoda P4'!$I$3:$I$492,'Unos rashoda P4'!$A$3:$A$492,"=11",'Unos rashoda P4'!$S$3:$S$492,"=34")</f>
        <v>9000</v>
      </c>
      <c r="E44" s="72">
        <f>SUMIFS('Unos rashoda i izdataka'!$K$3:$K$498,'Unos rashoda i izdataka'!$C$3:$C$498,"=12",'Unos rashoda i izdataka'!$P$3:$P$498,"=34")+SUMIFS('Unos rashoda P4'!$I$3:$I$492,'Unos rashoda P4'!$A$3:$A$492,"=12",'Unos rashoda P4'!$S$3:$S$492,"=34")</f>
        <v>0</v>
      </c>
      <c r="F44" s="72">
        <f>SUMIFS('Unos rashoda i izdataka'!$K$3:$K$498,'Unos rashoda i izdataka'!$C$3:$C$498,"=31",'Unos rashoda i izdataka'!$P$3:$P$498,"=34")+SUMIFS('Unos rashoda P4'!$I$3:$I$492,'Unos rashoda P4'!$A$3:$A$492,"=31",'Unos rashoda P4'!$S$3:$S$492,"=34")</f>
        <v>0</v>
      </c>
      <c r="G44" s="72">
        <f>SUMIFS('Unos rashoda i izdataka'!$K$3:$K$498,'Unos rashoda i izdataka'!$C$3:$C$498,"=41",'Unos rashoda i izdataka'!$P$3:$P$498,"=34")+SUMIFS('Unos rashoda P4'!$I$3:$I$492,'Unos rashoda P4'!$A$3:$A$492,"=41",'Unos rashoda P4'!$S$3:$S$492,"=34")</f>
        <v>0</v>
      </c>
      <c r="H44" s="72">
        <f>SUMIFS('Unos rashoda i izdataka'!$K$3:$K$498,'Unos rashoda i izdataka'!$C$3:$C$498,"=43",'Unos rashoda i izdataka'!$P$3:$P$498,"=34")+SUMIFS('Unos rashoda P4'!$I$3:$I$492,'Unos rashoda P4'!$A$3:$A$492,"=43",'Unos rashoda P4'!$S$3:$S$492,"=34")</f>
        <v>0</v>
      </c>
      <c r="I44" s="72">
        <f>SUMIFS('Unos rashoda i izdataka'!$K$3:$K$498,'Unos rashoda i izdataka'!$C$3:$C$498,"=51",'Unos rashoda i izdataka'!$P$3:$P$498,"=34")+SUMIFS('Unos rashoda P4'!$I$3:$I$492,'Unos rashoda P4'!$A$3:$A$492,"=51",'Unos rashoda P4'!$S$3:$S$492,"=34")</f>
        <v>0</v>
      </c>
      <c r="J44" s="72">
        <f>SUMIFS('Unos rashoda i izdataka'!$K$3:$K$498,'Unos rashoda i izdataka'!$C$3:$C$498,"=52",'Unos rashoda i izdataka'!$P$3:$P$498,"=34")+SUMIFS('Unos rashoda P4'!$I$3:$I$492,'Unos rashoda P4'!$A$3:$A$492,"=52",'Unos rashoda P4'!$S$3:$S$492,"=34")</f>
        <v>0</v>
      </c>
      <c r="K44" s="72">
        <f>SUMIFS('Unos rashoda i izdataka'!$K$3:$K$498,'Unos rashoda i izdataka'!$C$3:$C$498,"=552",'Unos rashoda i izdataka'!$P$3:$P$498,"=34")+SUMIFS('Unos rashoda P4'!$I$3:$I$492,'Unos rashoda P4'!$A$3:$A$492,"=552",'Unos rashoda P4'!$S$3:$S$492,"=34")</f>
        <v>0</v>
      </c>
      <c r="L44" s="72">
        <f>SUMIFS('Unos rashoda i izdataka'!$K$3:$K$498,'Unos rashoda i izdataka'!$C$3:$C$498,"=559",'Unos rashoda i izdataka'!$P$3:$P$498,"=34")+SUMIFS('Unos rashoda P4'!$I$3:$I$492,'Unos rashoda P4'!$A$3:$A$492,"=559",'Unos rashoda P4'!$S$3:$S$492,"=34")</f>
        <v>0</v>
      </c>
      <c r="M44" s="72">
        <f>SUMIFS('Unos rashoda i izdataka'!$K$3:$K$498,'Unos rashoda i izdataka'!$C$3:$C$498,"=561",'Unos rashoda i izdataka'!$P$3:$P$498,"=34")+SUMIFS('Unos rashoda P4'!$I$3:$I$492,'Unos rashoda P4'!$A$3:$A$492,"=561",'Unos rashoda P4'!$S$3:$S$492,"=34")</f>
        <v>0</v>
      </c>
      <c r="N44" s="72">
        <f>SUMIFS('Unos rashoda i izdataka'!$K$3:$K$498,'Unos rashoda i izdataka'!$C$3:$C$498,"=563",'Unos rashoda i izdataka'!$P$3:$P$498,"=34")+SUMIFS('Unos rashoda P4'!$I$3:$I$492,'Unos rashoda P4'!$A$3:$A$492,"=563",'Unos rashoda P4'!$S$3:$S$492,"=34")</f>
        <v>0</v>
      </c>
      <c r="O44" s="72">
        <f>SUMIFS('Unos rashoda i izdataka'!$K$3:$K$498,'Unos rashoda i izdataka'!$C$3:$C$498,"=573",'Unos rashoda i izdataka'!$P$3:$P$498,"=34")+SUMIFS('Unos rashoda P4'!$I$3:$I$492,'Unos rashoda P4'!$A$3:$A$492,"=573",'Unos rashoda P4'!$S$3:$S$492,"=34")</f>
        <v>0</v>
      </c>
      <c r="P44" s="72">
        <f>SUMIFS('Unos rashoda i izdataka'!$K$3:$K$498,'Unos rashoda i izdataka'!$C$3:$C$498,"=575",'Unos rashoda i izdataka'!$P$3:$P$498,"=34")+SUMIFS('Unos rashoda P4'!$I$3:$I$492,'Unos rashoda P4'!$A$3:$A$492,"=575",'Unos rashoda P4'!$S$3:$S$492,"=34")</f>
        <v>0</v>
      </c>
      <c r="Q44" s="72">
        <f>SUMIFS('Unos rashoda i izdataka'!$K$3:$K$498,'Unos rashoda i izdataka'!$Q$3:$Q$498,"=576",'Unos rashoda i izdataka'!$P$3:$P$498,"=34")+SUMIFS('Unos rashoda P4'!$I$3:$I$492,'Unos rashoda P4'!$A$3:$A$492,"=576",'Unos rashoda P4'!$S$3:$S$492,"=34")</f>
        <v>0</v>
      </c>
      <c r="R44" s="72">
        <f>SUMIFS('Unos rashoda i izdataka'!$K$3:$K$498,'Unos rashoda i izdataka'!$C$3:$C$498,"=581",'Unos rashoda i izdataka'!$P$3:$P$498,"=34")+SUMIFS('Unos rashoda P4'!$I$3:$I$492,'Unos rashoda P4'!$A$3:$A$492,"=581",'Unos rashoda P4'!$S$3:$S$492,"=34")</f>
        <v>0</v>
      </c>
      <c r="S44" s="72">
        <f>SUMIFS('Unos rashoda i izdataka'!$K$3:$K$498,'Unos rashoda i izdataka'!$C$3:$C$498,"=61",'Unos rashoda i izdataka'!$P$3:$P$498,"=34")+SUMIFS('Unos rashoda P4'!$I$3:$I$492,'Unos rashoda P4'!$A$3:$A$492,"=61",'Unos rashoda P4'!$S$3:$S$492,"=34")</f>
        <v>0</v>
      </c>
      <c r="T44" s="72">
        <f>SUMIFS('Unos rashoda i izdataka'!$K$3:$K$498,'Unos rashoda i izdataka'!$C$3:$C$498,"=63",'Unos rashoda i izdataka'!$P$3:$P$498,"=34")+SUMIFS('Unos rashoda P4'!$I$3:$I$492,'Unos rashoda P4'!$A$3:$A$492,"=63",'Unos rashoda P4'!$S$3:$S$492,"=34")</f>
        <v>0</v>
      </c>
      <c r="U44" s="72">
        <f>SUMIFS('Unos rashoda i izdataka'!$K$3:$K$498,'Unos rashoda i izdataka'!$C$3:$C$498,"=71",'Unos rashoda i izdataka'!$P$3:$P$498,"=34")+SUMIFS('Unos rashoda P4'!$I$3:$I$492,'Unos rashoda P4'!$A$3:$A$492,"=71",'Unos rashoda P4'!$S$3:$S$492,"=34")</f>
        <v>0</v>
      </c>
      <c r="V44" s="72">
        <f>SUMIFS('Unos rashoda i izdataka'!$K$3:$K$498,'Unos rashoda i izdataka'!$C$3:$C$498,"=81",'Unos rashoda i izdataka'!$P$3:$P$498,"=34")+SUMIFS('Unos rashoda P4'!$I$3:$I$492,'Unos rashoda P4'!$A$3:$A$492,"=81",'Unos rashoda P4'!$S$3:$S$492,"=34")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24">
        <v>35</v>
      </c>
      <c r="B45" s="10" t="s">
        <v>248</v>
      </c>
      <c r="C45" s="71">
        <f t="shared" si="5"/>
        <v>0</v>
      </c>
      <c r="D45" s="72">
        <f>SUMIFS('Unos rashoda i izdataka'!$K$3:$K$498,'Unos rashoda i izdataka'!$C$3:$C$498,"=11",'Unos rashoda i izdataka'!$P$3:$P$498,"=35")+SUMIFS('Unos rashoda P4'!$I$3:$I$492,'Unos rashoda P4'!$A$3:$A$492,"=11",'Unos rashoda P4'!$S$3:$S$492,"=35")</f>
        <v>0</v>
      </c>
      <c r="E45" s="72">
        <f>SUMIFS('Unos rashoda i izdataka'!$K$3:$K$498,'Unos rashoda i izdataka'!$C$3:$C$498,"=12",'Unos rashoda i izdataka'!$P$3:$P$498,"=35")+SUMIFS('Unos rashoda P4'!$I$3:$I$492,'Unos rashoda P4'!$A$3:$A$492,"=12",'Unos rashoda P4'!$S$3:$S$492,"=35")</f>
        <v>0</v>
      </c>
      <c r="F45" s="72">
        <f>SUMIFS('Unos rashoda i izdataka'!$K$3:$K$498,'Unos rashoda i izdataka'!$C$3:$C$498,"=31",'Unos rashoda i izdataka'!$P$3:$P$498,"=35")+SUMIFS('Unos rashoda P4'!$I$3:$I$492,'Unos rashoda P4'!$A$3:$A$492,"=31",'Unos rashoda P4'!$S$3:$S$492,"=35")</f>
        <v>0</v>
      </c>
      <c r="G45" s="72">
        <f>SUMIFS('Unos rashoda i izdataka'!$K$3:$K$498,'Unos rashoda i izdataka'!$C$3:$C$498,"=41",'Unos rashoda i izdataka'!$P$3:$P$498,"=35")+SUMIFS('Unos rashoda P4'!$I$3:$I$492,'Unos rashoda P4'!$A$3:$A$492,"=41",'Unos rashoda P4'!$S$3:$S$492,"=35")</f>
        <v>0</v>
      </c>
      <c r="H45" s="72">
        <f>SUMIFS('Unos rashoda i izdataka'!$K$3:$K$498,'Unos rashoda i izdataka'!$C$3:$C$498,"=43",'Unos rashoda i izdataka'!$P$3:$P$498,"=35")+SUMIFS('Unos rashoda P4'!$I$3:$I$492,'Unos rashoda P4'!$A$3:$A$492,"=43",'Unos rashoda P4'!$S$3:$S$492,"=35")</f>
        <v>0</v>
      </c>
      <c r="I45" s="72">
        <f>SUMIFS('Unos rashoda i izdataka'!$K$3:$K$498,'Unos rashoda i izdataka'!$C$3:$C$498,"=51",'Unos rashoda i izdataka'!$P$3:$P$498,"=35")+SUMIFS('Unos rashoda P4'!$I$3:$I$492,'Unos rashoda P4'!$A$3:$A$492,"=51",'Unos rashoda P4'!$S$3:$S$492,"=35")</f>
        <v>0</v>
      </c>
      <c r="J45" s="72">
        <f>SUMIFS('Unos rashoda i izdataka'!$K$3:$K$498,'Unos rashoda i izdataka'!$C$3:$C$498,"=52",'Unos rashoda i izdataka'!$P$3:$P$498,"=35")+SUMIFS('Unos rashoda P4'!$I$3:$I$492,'Unos rashoda P4'!$A$3:$A$492,"=52",'Unos rashoda P4'!$S$3:$S$492,"=35")</f>
        <v>0</v>
      </c>
      <c r="K45" s="72">
        <f>SUMIFS('Unos rashoda i izdataka'!$K$3:$K$498,'Unos rashoda i izdataka'!$C$3:$C$498,"=552",'Unos rashoda i izdataka'!$P$3:$P$498,"=35")+SUMIFS('Unos rashoda P4'!$I$3:$I$492,'Unos rashoda P4'!$A$3:$A$492,"=552",'Unos rashoda P4'!$S$3:$S$492,"=35")</f>
        <v>0</v>
      </c>
      <c r="L45" s="72">
        <f>SUMIFS('Unos rashoda i izdataka'!$K$3:$K$498,'Unos rashoda i izdataka'!$C$3:$C$498,"=559",'Unos rashoda i izdataka'!$P$3:$P$498,"=35")+SUMIFS('Unos rashoda P4'!$I$3:$I$492,'Unos rashoda P4'!$A$3:$A$492,"=559",'Unos rashoda P4'!$S$3:$S$492,"=35")</f>
        <v>0</v>
      </c>
      <c r="M45" s="72">
        <f>SUMIFS('Unos rashoda i izdataka'!$K$3:$K$498,'Unos rashoda i izdataka'!$C$3:$C$498,"=561",'Unos rashoda i izdataka'!$P$3:$P$498,"=35")+SUMIFS('Unos rashoda P4'!$I$3:$I$492,'Unos rashoda P4'!$A$3:$A$492,"=561",'Unos rashoda P4'!$S$3:$S$492,"=35")</f>
        <v>0</v>
      </c>
      <c r="N45" s="72">
        <f>SUMIFS('Unos rashoda i izdataka'!$K$3:$K$498,'Unos rashoda i izdataka'!$C$3:$C$498,"=563",'Unos rashoda i izdataka'!$P$3:$P$498,"=35")+SUMIFS('Unos rashoda P4'!$I$3:$I$492,'Unos rashoda P4'!$A$3:$A$492,"=563",'Unos rashoda P4'!$S$3:$S$492,"=35")</f>
        <v>0</v>
      </c>
      <c r="O45" s="72">
        <f>SUMIFS('Unos rashoda i izdataka'!$K$3:$K$498,'Unos rashoda i izdataka'!$C$3:$C$498,"=573",'Unos rashoda i izdataka'!$P$3:$P$498,"=35")+SUMIFS('Unos rashoda P4'!$I$3:$I$492,'Unos rashoda P4'!$A$3:$A$492,"=573",'Unos rashoda P4'!$S$3:$S$492,"=35")</f>
        <v>0</v>
      </c>
      <c r="P45" s="72">
        <f>SUMIFS('Unos rashoda i izdataka'!$K$3:$K$498,'Unos rashoda i izdataka'!$C$3:$C$498,"=575",'Unos rashoda i izdataka'!$P$3:$P$498,"=35")+SUMIFS('Unos rashoda P4'!$I$3:$I$492,'Unos rashoda P4'!$A$3:$A$492,"=575",'Unos rashoda P4'!$S$3:$S$492,"=35")</f>
        <v>0</v>
      </c>
      <c r="Q45" s="72">
        <f>SUMIFS('Unos rashoda i izdataka'!$K$3:$K$498,'Unos rashoda i izdataka'!$Q$3:$Q$498,"=576",'Unos rashoda i izdataka'!$P$3:$P$498,"=35")+SUMIFS('Unos rashoda P4'!$I$3:$I$492,'Unos rashoda P4'!$A$3:$A$492,"=576",'Unos rashoda P4'!$S$3:$S$492,"=35")</f>
        <v>0</v>
      </c>
      <c r="R45" s="72">
        <f>SUMIFS('Unos rashoda i izdataka'!$K$3:$K$498,'Unos rashoda i izdataka'!$C$3:$C$498,"=581",'Unos rashoda i izdataka'!$P$3:$P$498,"=35")+SUMIFS('Unos rashoda P4'!$I$3:$I$492,'Unos rashoda P4'!$A$3:$A$492,"=581",'Unos rashoda P4'!$S$3:$S$492,"=35")</f>
        <v>0</v>
      </c>
      <c r="S45" s="72">
        <f>SUMIFS('Unos rashoda i izdataka'!$K$3:$K$498,'Unos rashoda i izdataka'!$C$3:$C$498,"=61",'Unos rashoda i izdataka'!$P$3:$P$498,"=35")+SUMIFS('Unos rashoda P4'!$I$3:$I$492,'Unos rashoda P4'!$A$3:$A$492,"=61",'Unos rashoda P4'!$S$3:$S$492,"=35")</f>
        <v>0</v>
      </c>
      <c r="T45" s="72">
        <f>SUMIFS('Unos rashoda i izdataka'!$K$3:$K$498,'Unos rashoda i izdataka'!$C$3:$C$498,"=63",'Unos rashoda i izdataka'!$P$3:$P$498,"=35")+SUMIFS('Unos rashoda P4'!$I$3:$I$492,'Unos rashoda P4'!$A$3:$A$492,"=63",'Unos rashoda P4'!$S$3:$S$492,"=35")</f>
        <v>0</v>
      </c>
      <c r="U45" s="72">
        <f>SUMIFS('Unos rashoda i izdataka'!$K$3:$K$498,'Unos rashoda i izdataka'!$C$3:$C$498,"=71",'Unos rashoda i izdataka'!$P$3:$P$498,"=35")+SUMIFS('Unos rashoda P4'!$I$3:$I$492,'Unos rashoda P4'!$A$3:$A$492,"=71",'Unos rashoda P4'!$S$3:$S$492,"=35")</f>
        <v>0</v>
      </c>
      <c r="V45" s="72">
        <f>SUMIFS('Unos rashoda i izdataka'!$K$3:$K$498,'Unos rashoda i izdataka'!$C$3:$C$498,"=81",'Unos rashoda i izdataka'!$P$3:$P$498,"=35")+SUMIFS('Unos rashoda P4'!$I$3:$I$492,'Unos rashoda P4'!$A$3:$A$492,"=81",'Unos rashoda P4'!$S$3:$S$492,"=35")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24">
        <v>36</v>
      </c>
      <c r="B46" s="12" t="s">
        <v>197</v>
      </c>
      <c r="C46" s="71">
        <f t="shared" si="5"/>
        <v>167098</v>
      </c>
      <c r="D46" s="72">
        <f>SUMIFS('Unos rashoda i izdataka'!$K$3:$K$498,'Unos rashoda i izdataka'!$C$3:$C$498,"=11",'Unos rashoda i izdataka'!$P$3:$P$498,"=36")+SUMIFS('Unos rashoda P4'!$I$3:$I$492,'Unos rashoda P4'!$A$3:$A$492,"=11",'Unos rashoda P4'!$S$3:$S$492,"=36")</f>
        <v>0</v>
      </c>
      <c r="E46" s="72">
        <f>SUMIFS('Unos rashoda i izdataka'!$K$3:$K$498,'Unos rashoda i izdataka'!$C$3:$C$498,"=12",'Unos rashoda i izdataka'!$P$3:$P$498,"=36")+SUMIFS('Unos rashoda P4'!$I$3:$I$492,'Unos rashoda P4'!$A$3:$A$492,"=12",'Unos rashoda P4'!$S$3:$S$492,"=36")</f>
        <v>0</v>
      </c>
      <c r="F46" s="72">
        <f>SUMIFS('Unos rashoda i izdataka'!$K$3:$K$498,'Unos rashoda i izdataka'!$C$3:$C$498,"=31",'Unos rashoda i izdataka'!$P$3:$P$498,"=36")+SUMIFS('Unos rashoda P4'!$I$3:$I$492,'Unos rashoda P4'!$A$3:$A$492,"=31",'Unos rashoda P4'!$S$3:$S$492,"=36")</f>
        <v>0</v>
      </c>
      <c r="G46" s="72">
        <f>SUMIFS('Unos rashoda i izdataka'!$K$3:$K$498,'Unos rashoda i izdataka'!$C$3:$C$498,"=41",'Unos rashoda i izdataka'!$P$3:$P$498,"=36")+SUMIFS('Unos rashoda P4'!$I$3:$I$492,'Unos rashoda P4'!$A$3:$A$492,"=41",'Unos rashoda P4'!$S$3:$S$492,"=36")</f>
        <v>0</v>
      </c>
      <c r="H46" s="72">
        <f>SUMIFS('Unos rashoda i izdataka'!$K$3:$K$498,'Unos rashoda i izdataka'!$C$3:$C$498,"=43",'Unos rashoda i izdataka'!$P$3:$P$498,"=36")+SUMIFS('Unos rashoda P4'!$I$3:$I$492,'Unos rashoda P4'!$A$3:$A$492,"=43",'Unos rashoda P4'!$S$3:$S$492,"=36")</f>
        <v>0</v>
      </c>
      <c r="I46" s="72">
        <f>SUMIFS('Unos rashoda i izdataka'!$K$3:$K$498,'Unos rashoda i izdataka'!$C$3:$C$498,"=51",'Unos rashoda i izdataka'!$P$3:$P$498,"=36")+SUMIFS('Unos rashoda P4'!$I$3:$I$492,'Unos rashoda P4'!$A$3:$A$492,"=51",'Unos rashoda P4'!$S$3:$S$492,"=36")</f>
        <v>0</v>
      </c>
      <c r="J46" s="72">
        <f>SUMIFS('Unos rashoda i izdataka'!$K$3:$K$498,'Unos rashoda i izdataka'!$C$3:$C$498,"=52",'Unos rashoda i izdataka'!$P$3:$P$498,"=36")+SUMIFS('Unos rashoda P4'!$I$3:$I$492,'Unos rashoda P4'!$A$3:$A$492,"=52",'Unos rashoda P4'!$S$3:$S$492,"=36")</f>
        <v>167098</v>
      </c>
      <c r="K46" s="72">
        <f>SUMIFS('Unos rashoda i izdataka'!$K$3:$K$498,'Unos rashoda i izdataka'!$C$3:$C$498,"=552",'Unos rashoda i izdataka'!$P$3:$P$498,"=36")+SUMIFS('Unos rashoda P4'!$I$3:$I$492,'Unos rashoda P4'!$A$3:$A$492,"=552",'Unos rashoda P4'!$S$3:$S$492,"=36")</f>
        <v>0</v>
      </c>
      <c r="L46" s="72">
        <f>SUMIFS('Unos rashoda i izdataka'!$K$3:$K$498,'Unos rashoda i izdataka'!$C$3:$C$498,"=559",'Unos rashoda i izdataka'!$P$3:$P$498,"=36")+SUMIFS('Unos rashoda P4'!$I$3:$I$492,'Unos rashoda P4'!$A$3:$A$492,"=559",'Unos rashoda P4'!$S$3:$S$492,"=36")</f>
        <v>0</v>
      </c>
      <c r="M46" s="72">
        <f>SUMIFS('Unos rashoda i izdataka'!$K$3:$K$498,'Unos rashoda i izdataka'!$C$3:$C$498,"=561",'Unos rashoda i izdataka'!$P$3:$P$498,"=36")+SUMIFS('Unos rashoda P4'!$I$3:$I$492,'Unos rashoda P4'!$A$3:$A$492,"=561",'Unos rashoda P4'!$S$3:$S$492,"=36")</f>
        <v>0</v>
      </c>
      <c r="N46" s="72">
        <f>SUMIFS('Unos rashoda i izdataka'!$K$3:$K$498,'Unos rashoda i izdataka'!$C$3:$C$498,"=563",'Unos rashoda i izdataka'!$P$3:$P$498,"=36")+SUMIFS('Unos rashoda P4'!$I$3:$I$492,'Unos rashoda P4'!$A$3:$A$492,"=563",'Unos rashoda P4'!$S$3:$S$492,"=36")</f>
        <v>0</v>
      </c>
      <c r="O46" s="72">
        <f>SUMIFS('Unos rashoda i izdataka'!$K$3:$K$498,'Unos rashoda i izdataka'!$C$3:$C$498,"=573",'Unos rashoda i izdataka'!$P$3:$P$498,"=36")+SUMIFS('Unos rashoda P4'!$I$3:$I$492,'Unos rashoda P4'!$A$3:$A$492,"=573",'Unos rashoda P4'!$S$3:$S$492,"=36")</f>
        <v>0</v>
      </c>
      <c r="P46" s="72">
        <f>SUMIFS('Unos rashoda i izdataka'!$K$3:$K$498,'Unos rashoda i izdataka'!$C$3:$C$498,"=575",'Unos rashoda i izdataka'!$P$3:$P$498,"=36")+SUMIFS('Unos rashoda P4'!$I$3:$I$492,'Unos rashoda P4'!$A$3:$A$492,"=575",'Unos rashoda P4'!$S$3:$S$492,"=36")</f>
        <v>0</v>
      </c>
      <c r="Q46" s="72">
        <f>SUMIFS('Unos rashoda i izdataka'!$K$3:$K$498,'Unos rashoda i izdataka'!$Q$3:$Q$498,"=576",'Unos rashoda i izdataka'!$P$3:$P$498,"=36")+SUMIFS('Unos rashoda P4'!$I$3:$I$492,'Unos rashoda P4'!$A$3:$A$492,"=576",'Unos rashoda P4'!$S$3:$S$492,"=36")</f>
        <v>0</v>
      </c>
      <c r="R46" s="72">
        <f>SUMIFS('Unos rashoda i izdataka'!$K$3:$K$498,'Unos rashoda i izdataka'!$C$3:$C$498,"=581",'Unos rashoda i izdataka'!$P$3:$P$498,"=36")+SUMIFS('Unos rashoda P4'!$I$3:$I$492,'Unos rashoda P4'!$A$3:$A$492,"=581",'Unos rashoda P4'!$S$3:$S$492,"=36")</f>
        <v>0</v>
      </c>
      <c r="S46" s="72">
        <f>SUMIFS('Unos rashoda i izdataka'!$K$3:$K$498,'Unos rashoda i izdataka'!$C$3:$C$498,"=61",'Unos rashoda i izdataka'!$P$3:$P$498,"=36")+SUMIFS('Unos rashoda P4'!$I$3:$I$492,'Unos rashoda P4'!$A$3:$A$492,"=61",'Unos rashoda P4'!$S$3:$S$492,"=36")</f>
        <v>0</v>
      </c>
      <c r="T46" s="72">
        <f>SUMIFS('Unos rashoda i izdataka'!$K$3:$K$498,'Unos rashoda i izdataka'!$C$3:$C$498,"=63",'Unos rashoda i izdataka'!$P$3:$P$498,"=36")+SUMIFS('Unos rashoda P4'!$I$3:$I$492,'Unos rashoda P4'!$A$3:$A$492,"=63",'Unos rashoda P4'!$S$3:$S$492,"=36")</f>
        <v>0</v>
      </c>
      <c r="U46" s="72">
        <f>SUMIFS('Unos rashoda i izdataka'!$K$3:$K$498,'Unos rashoda i izdataka'!$C$3:$C$498,"=71",'Unos rashoda i izdataka'!$P$3:$P$498,"=36")+SUMIFS('Unos rashoda P4'!$I$3:$I$492,'Unos rashoda P4'!$A$3:$A$492,"=71",'Unos rashoda P4'!$S$3:$S$492,"=36")</f>
        <v>0</v>
      </c>
      <c r="V46" s="72">
        <f>SUMIFS('Unos rashoda i izdataka'!$K$3:$K$498,'Unos rashoda i izdataka'!$C$3:$C$498,"=81",'Unos rashoda i izdataka'!$P$3:$P$498,"=36")+SUMIFS('Unos rashoda P4'!$I$3:$I$492,'Unos rashoda P4'!$A$3:$A$492,"=81",'Unos rashoda P4'!$S$3:$S$492,"=36")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24">
        <v>37</v>
      </c>
      <c r="B47" s="10" t="s">
        <v>249</v>
      </c>
      <c r="C47" s="71">
        <f t="shared" si="5"/>
        <v>-18995</v>
      </c>
      <c r="D47" s="72">
        <f>SUMIFS('Unos rashoda i izdataka'!$K$3:$K$498,'Unos rashoda i izdataka'!$C$3:$C$498,"=11",'Unos rashoda i izdataka'!$P$3:$P$498,"=37")+SUMIFS('Unos rashoda P4'!$I$3:$I$492,'Unos rashoda P4'!$A$3:$A$492,"=11",'Unos rashoda P4'!$S$3:$S$492,"=37")</f>
        <v>0</v>
      </c>
      <c r="E47" s="72">
        <f>SUMIFS('Unos rashoda i izdataka'!$K$3:$K$498,'Unos rashoda i izdataka'!$C$3:$C$498,"=12",'Unos rashoda i izdataka'!$P$3:$P$498,"=37")+SUMIFS('Unos rashoda P4'!$I$3:$I$492,'Unos rashoda P4'!$A$3:$A$492,"=12",'Unos rashoda P4'!$S$3:$S$492,"=37")</f>
        <v>0</v>
      </c>
      <c r="F47" s="72">
        <f>SUMIFS('Unos rashoda i izdataka'!$K$3:$K$498,'Unos rashoda i izdataka'!$C$3:$C$498,"=31",'Unos rashoda i izdataka'!$P$3:$P$498,"=37")+SUMIFS('Unos rashoda P4'!$I$3:$I$492,'Unos rashoda P4'!$A$3:$A$492,"=31",'Unos rashoda P4'!$S$3:$S$492,"=37")</f>
        <v>0</v>
      </c>
      <c r="G47" s="72">
        <f>SUMIFS('Unos rashoda i izdataka'!$K$3:$K$498,'Unos rashoda i izdataka'!$C$3:$C$498,"=41",'Unos rashoda i izdataka'!$P$3:$P$498,"=37")+SUMIFS('Unos rashoda P4'!$I$3:$I$492,'Unos rashoda P4'!$A$3:$A$492,"=41",'Unos rashoda P4'!$S$3:$S$492,"=37")</f>
        <v>0</v>
      </c>
      <c r="H47" s="72">
        <f>SUMIFS('Unos rashoda i izdataka'!$K$3:$K$498,'Unos rashoda i izdataka'!$C$3:$C$498,"=43",'Unos rashoda i izdataka'!$P$3:$P$498,"=37")+SUMIFS('Unos rashoda P4'!$I$3:$I$492,'Unos rashoda P4'!$A$3:$A$492,"=43",'Unos rashoda P4'!$S$3:$S$492,"=37")</f>
        <v>0</v>
      </c>
      <c r="I47" s="72">
        <f>SUMIFS('Unos rashoda i izdataka'!$K$3:$K$498,'Unos rashoda i izdataka'!$C$3:$C$498,"=51",'Unos rashoda i izdataka'!$P$3:$P$498,"=37")+SUMIFS('Unos rashoda P4'!$I$3:$I$492,'Unos rashoda P4'!$A$3:$A$492,"=51",'Unos rashoda P4'!$S$3:$S$492,"=37")</f>
        <v>0</v>
      </c>
      <c r="J47" s="72">
        <f>SUMIFS('Unos rashoda i izdataka'!$K$3:$K$498,'Unos rashoda i izdataka'!$C$3:$C$498,"=52",'Unos rashoda i izdataka'!$P$3:$P$498,"=37")+SUMIFS('Unos rashoda P4'!$I$3:$I$492,'Unos rashoda P4'!$A$3:$A$492,"=52",'Unos rashoda P4'!$S$3:$S$492,"=37")</f>
        <v>-18995</v>
      </c>
      <c r="K47" s="72">
        <f>SUMIFS('Unos rashoda i izdataka'!$K$3:$K$498,'Unos rashoda i izdataka'!$C$3:$C$498,"=552",'Unos rashoda i izdataka'!$P$3:$P$498,"=37")+SUMIFS('Unos rashoda P4'!$I$3:$I$492,'Unos rashoda P4'!$A$3:$A$492,"=552",'Unos rashoda P4'!$S$3:$S$492,"=37")</f>
        <v>0</v>
      </c>
      <c r="L47" s="72">
        <f>SUMIFS('Unos rashoda i izdataka'!$K$3:$K$498,'Unos rashoda i izdataka'!$C$3:$C$498,"=559",'Unos rashoda i izdataka'!$P$3:$P$498,"=37")+SUMIFS('Unos rashoda P4'!$I$3:$I$492,'Unos rashoda P4'!$A$3:$A$492,"=559",'Unos rashoda P4'!$S$3:$S$492,"=37")</f>
        <v>0</v>
      </c>
      <c r="M47" s="72">
        <f>SUMIFS('Unos rashoda i izdataka'!$K$3:$K$498,'Unos rashoda i izdataka'!$C$3:$C$498,"=561",'Unos rashoda i izdataka'!$P$3:$P$498,"=37")+SUMIFS('Unos rashoda P4'!$I$3:$I$492,'Unos rashoda P4'!$A$3:$A$492,"=561",'Unos rashoda P4'!$S$3:$S$492,"=37")</f>
        <v>0</v>
      </c>
      <c r="N47" s="72">
        <f>SUMIFS('Unos rashoda i izdataka'!$K$3:$K$498,'Unos rashoda i izdataka'!$C$3:$C$498,"=563",'Unos rashoda i izdataka'!$P$3:$P$498,"=37")+SUMIFS('Unos rashoda P4'!$I$3:$I$492,'Unos rashoda P4'!$A$3:$A$492,"=563",'Unos rashoda P4'!$S$3:$S$492,"=37")</f>
        <v>0</v>
      </c>
      <c r="O47" s="72">
        <f>SUMIFS('Unos rashoda i izdataka'!$K$3:$K$498,'Unos rashoda i izdataka'!$C$3:$C$498,"=573",'Unos rashoda i izdataka'!$P$3:$P$498,"=37")+SUMIFS('Unos rashoda P4'!$I$3:$I$492,'Unos rashoda P4'!$A$3:$A$492,"=573",'Unos rashoda P4'!$S$3:$S$492,"=37")</f>
        <v>0</v>
      </c>
      <c r="P47" s="72">
        <f>SUMIFS('Unos rashoda i izdataka'!$K$3:$K$498,'Unos rashoda i izdataka'!$C$3:$C$498,"=575",'Unos rashoda i izdataka'!$P$3:$P$498,"=37")+SUMIFS('Unos rashoda P4'!$I$3:$I$492,'Unos rashoda P4'!$A$3:$A$492,"=575",'Unos rashoda P4'!$S$3:$S$492,"=37")</f>
        <v>0</v>
      </c>
      <c r="Q47" s="72">
        <f>SUMIFS('Unos rashoda i izdataka'!$K$3:$K$498,'Unos rashoda i izdataka'!$Q$3:$Q$498,"=576",'Unos rashoda i izdataka'!$P$3:$P$498,"=37")+SUMIFS('Unos rashoda P4'!$I$3:$I$492,'Unos rashoda P4'!$A$3:$A$492,"=576",'Unos rashoda P4'!$S$3:$S$492,"=37")</f>
        <v>0</v>
      </c>
      <c r="R47" s="72">
        <f>SUMIFS('Unos rashoda i izdataka'!$K$3:$K$498,'Unos rashoda i izdataka'!$C$3:$C$498,"=581",'Unos rashoda i izdataka'!$P$3:$P$498,"=37")+SUMIFS('Unos rashoda P4'!$I$3:$I$492,'Unos rashoda P4'!$A$3:$A$492,"=581",'Unos rashoda P4'!$S$3:$S$492,"=37")</f>
        <v>0</v>
      </c>
      <c r="S47" s="72">
        <f>SUMIFS('Unos rashoda i izdataka'!$K$3:$K$498,'Unos rashoda i izdataka'!$C$3:$C$498,"=61",'Unos rashoda i izdataka'!$P$3:$P$498,"=37")+SUMIFS('Unos rashoda P4'!$I$3:$I$492,'Unos rashoda P4'!$A$3:$A$492,"=61",'Unos rashoda P4'!$S$3:$S$492,"=37")</f>
        <v>0</v>
      </c>
      <c r="T47" s="72">
        <f>SUMIFS('Unos rashoda i izdataka'!$K$3:$K$498,'Unos rashoda i izdataka'!$C$3:$C$498,"=63",'Unos rashoda i izdataka'!$P$3:$P$498,"=37")+SUMIFS('Unos rashoda P4'!$I$3:$I$492,'Unos rashoda P4'!$A$3:$A$492,"=63",'Unos rashoda P4'!$S$3:$S$492,"=37")</f>
        <v>0</v>
      </c>
      <c r="U47" s="72">
        <f>SUMIFS('Unos rashoda i izdataka'!$K$3:$K$498,'Unos rashoda i izdataka'!$C$3:$C$498,"=71",'Unos rashoda i izdataka'!$P$3:$P$498,"=37")+SUMIFS('Unos rashoda P4'!$I$3:$I$492,'Unos rashoda P4'!$A$3:$A$492,"=71",'Unos rashoda P4'!$S$3:$S$492,"=37")</f>
        <v>0</v>
      </c>
      <c r="V47" s="72">
        <f>SUMIFS('Unos rashoda i izdataka'!$K$3:$K$498,'Unos rashoda i izdataka'!$C$3:$C$498,"=81",'Unos rashoda i izdataka'!$P$3:$P$498,"=37")+SUMIFS('Unos rashoda P4'!$I$3:$I$492,'Unos rashoda P4'!$A$3:$A$492,"=81",'Unos rashoda P4'!$S$3:$S$492,"=37")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24">
        <v>38</v>
      </c>
      <c r="B48" s="10" t="s">
        <v>198</v>
      </c>
      <c r="C48" s="71">
        <f t="shared" si="5"/>
        <v>0</v>
      </c>
      <c r="D48" s="72">
        <f>SUMIFS('Unos rashoda i izdataka'!$K$3:$K$498,'Unos rashoda i izdataka'!$C$3:$C$498,"=11",'Unos rashoda i izdataka'!$P$3:$P$498,"=38")+SUMIFS('Unos rashoda P4'!$I$3:$I$492,'Unos rashoda P4'!$A$3:$A$492,"=11",'Unos rashoda P4'!$S$3:$S$492,"=38")</f>
        <v>0</v>
      </c>
      <c r="E48" s="72">
        <f>SUMIFS('Unos rashoda i izdataka'!$K$3:$K$498,'Unos rashoda i izdataka'!$C$3:$C$498,"=12",'Unos rashoda i izdataka'!$P$3:$P$498,"=38")+SUMIFS('Unos rashoda P4'!$I$3:$I$492,'Unos rashoda P4'!$A$3:$A$492,"=12",'Unos rashoda P4'!$S$3:$S$492,"=38")</f>
        <v>0</v>
      </c>
      <c r="F48" s="72">
        <f>SUMIFS('Unos rashoda i izdataka'!$K$3:$K$498,'Unos rashoda i izdataka'!$C$3:$C$498,"=31",'Unos rashoda i izdataka'!$P$3:$P$498,"=38")+SUMIFS('Unos rashoda P4'!$I$3:$I$492,'Unos rashoda P4'!$A$3:$A$492,"=31",'Unos rashoda P4'!$S$3:$S$492,"=38")</f>
        <v>0</v>
      </c>
      <c r="G48" s="72">
        <f>SUMIFS('Unos rashoda i izdataka'!$K$3:$K$498,'Unos rashoda i izdataka'!$C$3:$C$498,"=41",'Unos rashoda i izdataka'!$P$3:$P$498,"=38")+SUMIFS('Unos rashoda P4'!$I$3:$I$492,'Unos rashoda P4'!$A$3:$A$492,"=41",'Unos rashoda P4'!$S$3:$S$492,"=38")</f>
        <v>0</v>
      </c>
      <c r="H48" s="72">
        <f>SUMIFS('Unos rashoda i izdataka'!$K$3:$K$498,'Unos rashoda i izdataka'!$C$3:$C$498,"=43",'Unos rashoda i izdataka'!$P$3:$P$498,"=38")+SUMIFS('Unos rashoda P4'!$I$3:$I$492,'Unos rashoda P4'!$A$3:$A$492,"=43",'Unos rashoda P4'!$S$3:$S$492,"=38")</f>
        <v>0</v>
      </c>
      <c r="I48" s="72">
        <f>SUMIFS('Unos rashoda i izdataka'!$K$3:$K$498,'Unos rashoda i izdataka'!$C$3:$C$498,"=51",'Unos rashoda i izdataka'!$P$3:$P$498,"=38")+SUMIFS('Unos rashoda P4'!$I$3:$I$492,'Unos rashoda P4'!$A$3:$A$492,"=51",'Unos rashoda P4'!$S$3:$S$492,"=38")</f>
        <v>0</v>
      </c>
      <c r="J48" s="72">
        <f>SUMIFS('Unos rashoda i izdataka'!$K$3:$K$498,'Unos rashoda i izdataka'!$C$3:$C$498,"=52",'Unos rashoda i izdataka'!$P$3:$P$498,"=38")+SUMIFS('Unos rashoda P4'!$I$3:$I$492,'Unos rashoda P4'!$A$3:$A$492,"=52",'Unos rashoda P4'!$S$3:$S$492,"=38")</f>
        <v>0</v>
      </c>
      <c r="K48" s="72">
        <f>SUMIFS('Unos rashoda i izdataka'!$K$3:$K$498,'Unos rashoda i izdataka'!$C$3:$C$498,"=552",'Unos rashoda i izdataka'!$P$3:$P$498,"=38")+SUMIFS('Unos rashoda P4'!$I$3:$I$492,'Unos rashoda P4'!$A$3:$A$492,"=552",'Unos rashoda P4'!$S$3:$S$492,"=38")</f>
        <v>0</v>
      </c>
      <c r="L48" s="72">
        <f>SUMIFS('Unos rashoda i izdataka'!$K$3:$K$498,'Unos rashoda i izdataka'!$C$3:$C$498,"=559",'Unos rashoda i izdataka'!$P$3:$P$498,"=38")+SUMIFS('Unos rashoda P4'!$I$3:$I$492,'Unos rashoda P4'!$A$3:$A$492,"=559",'Unos rashoda P4'!$S$3:$S$492,"=38")</f>
        <v>0</v>
      </c>
      <c r="M48" s="72">
        <f>SUMIFS('Unos rashoda i izdataka'!$K$3:$K$498,'Unos rashoda i izdataka'!$C$3:$C$498,"=561",'Unos rashoda i izdataka'!$P$3:$P$498,"=38")+SUMIFS('Unos rashoda P4'!$I$3:$I$492,'Unos rashoda P4'!$A$3:$A$492,"=561",'Unos rashoda P4'!$S$3:$S$492,"=38")</f>
        <v>0</v>
      </c>
      <c r="N48" s="72">
        <f>SUMIFS('Unos rashoda i izdataka'!$K$3:$K$498,'Unos rashoda i izdataka'!$C$3:$C$498,"=563",'Unos rashoda i izdataka'!$P$3:$P$498,"=38")+SUMIFS('Unos rashoda P4'!$I$3:$I$492,'Unos rashoda P4'!$A$3:$A$492,"=563",'Unos rashoda P4'!$S$3:$S$492,"=38")</f>
        <v>0</v>
      </c>
      <c r="O48" s="72">
        <f>SUMIFS('Unos rashoda i izdataka'!$K$3:$K$498,'Unos rashoda i izdataka'!$C$3:$C$498,"=573",'Unos rashoda i izdataka'!$P$3:$P$498,"=38")+SUMIFS('Unos rashoda P4'!$I$3:$I$492,'Unos rashoda P4'!$A$3:$A$492,"=573",'Unos rashoda P4'!$S$3:$S$492,"=38")</f>
        <v>0</v>
      </c>
      <c r="P48" s="72">
        <f>SUMIFS('Unos rashoda i izdataka'!$K$3:$K$498,'Unos rashoda i izdataka'!$C$3:$C$498,"=575",'Unos rashoda i izdataka'!$P$3:$P$498,"=38")+SUMIFS('Unos rashoda P4'!$I$3:$I$492,'Unos rashoda P4'!$A$3:$A$492,"=575",'Unos rashoda P4'!$S$3:$S$492,"=38")</f>
        <v>0</v>
      </c>
      <c r="Q48" s="72">
        <f>SUMIFS('Unos rashoda i izdataka'!$K$3:$K$498,'Unos rashoda i izdataka'!$Q$3:$Q$498,"=576",'Unos rashoda i izdataka'!$P$3:$P$498,"=38")+SUMIFS('Unos rashoda P4'!$I$3:$I$492,'Unos rashoda P4'!$A$3:$A$492,"=576",'Unos rashoda P4'!$S$3:$S$492,"=38")</f>
        <v>0</v>
      </c>
      <c r="R48" s="72">
        <f>SUMIFS('Unos rashoda i izdataka'!$K$3:$K$498,'Unos rashoda i izdataka'!$C$3:$C$498,"=581",'Unos rashoda i izdataka'!$P$3:$P$498,"=38")+SUMIFS('Unos rashoda P4'!$I$3:$I$492,'Unos rashoda P4'!$A$3:$A$492,"=581",'Unos rashoda P4'!$S$3:$S$492,"=38")</f>
        <v>0</v>
      </c>
      <c r="S48" s="72">
        <f>SUMIFS('Unos rashoda i izdataka'!$K$3:$K$498,'Unos rashoda i izdataka'!$C$3:$C$498,"=61",'Unos rashoda i izdataka'!$P$3:$P$498,"=38")+SUMIFS('Unos rashoda P4'!$I$3:$I$492,'Unos rashoda P4'!$A$3:$A$492,"=61",'Unos rashoda P4'!$S$3:$S$492,"=38")</f>
        <v>0</v>
      </c>
      <c r="T48" s="72">
        <f>SUMIFS('Unos rashoda i izdataka'!$K$3:$K$498,'Unos rashoda i izdataka'!$C$3:$C$498,"=63",'Unos rashoda i izdataka'!$P$3:$P$498,"=38")+SUMIFS('Unos rashoda P4'!$I$3:$I$492,'Unos rashoda P4'!$A$3:$A$492,"=63",'Unos rashoda P4'!$S$3:$S$492,"=38")</f>
        <v>0</v>
      </c>
      <c r="U48" s="72">
        <f>SUMIFS('Unos rashoda i izdataka'!$K$3:$K$498,'Unos rashoda i izdataka'!$C$3:$C$498,"=71",'Unos rashoda i izdataka'!$P$3:$P$498,"=38")+SUMIFS('Unos rashoda P4'!$I$3:$I$492,'Unos rashoda P4'!$A$3:$A$492,"=71",'Unos rashoda P4'!$S$3:$S$492,"=38")</f>
        <v>0</v>
      </c>
      <c r="V48" s="72">
        <f>SUMIFS('Unos rashoda i izdataka'!$K$3:$K$498,'Unos rashoda i izdataka'!$C$3:$C$498,"=81",'Unos rashoda i izdataka'!$P$3:$P$498,"=38")+SUMIFS('Unos rashoda P4'!$I$3:$I$492,'Unos rashoda P4'!$A$3:$A$492,"=81",'Unos rashoda P4'!$S$3:$S$492,"=38")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25">
        <v>4</v>
      </c>
      <c r="B49" s="67" t="s">
        <v>199</v>
      </c>
      <c r="C49" s="66">
        <f t="shared" si="5"/>
        <v>-50000</v>
      </c>
      <c r="D49" s="69">
        <f>+D50+D51+D52+D53+D54</f>
        <v>-50000</v>
      </c>
      <c r="E49" s="69">
        <f t="shared" ref="E49" si="8">+E50+E51+E52+E53+E54</f>
        <v>0</v>
      </c>
      <c r="F49" s="69">
        <f t="shared" ref="F49" si="9">+F50+F51+F52+F53+F54</f>
        <v>0</v>
      </c>
      <c r="G49" s="69">
        <f t="shared" ref="G49" si="10">+G50+G51+G52+G53+G54</f>
        <v>0</v>
      </c>
      <c r="H49" s="69">
        <f t="shared" ref="H49" si="11">+H50+H51+H52+H53+H54</f>
        <v>0</v>
      </c>
      <c r="I49" s="69">
        <f t="shared" ref="I49" si="12">+I50+I51+I52+I53+I54</f>
        <v>0</v>
      </c>
      <c r="J49" s="69">
        <f t="shared" ref="J49" si="13">+J50+J51+J52+J53+J54</f>
        <v>0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23">
        <v>41</v>
      </c>
      <c r="B50" s="8" t="s">
        <v>250</v>
      </c>
      <c r="C50" s="71">
        <f t="shared" si="5"/>
        <v>0</v>
      </c>
      <c r="D50" s="72">
        <f>SUMIFS('Unos rashoda i izdataka'!$K$3:$K$498,'Unos rashoda i izdataka'!$C$3:$C$498,"=11",'Unos rashoda i izdataka'!$P$3:$P$498,"=41")+SUMIFS('Unos rashoda P4'!$I$3:$I$492,'Unos rashoda P4'!$A$3:$A$492,"=11",'Unos rashoda P4'!$S$3:$S$492,"=41")</f>
        <v>0</v>
      </c>
      <c r="E50" s="72">
        <f>SUMIFS('Unos rashoda i izdataka'!$K$3:$K$498,'Unos rashoda i izdataka'!$C$3:$C$498,"=12",'Unos rashoda i izdataka'!$P$3:$P$498,"=41")+SUMIFS('Unos rashoda P4'!$I$3:$I$492,'Unos rashoda P4'!$A$3:$A$492,"=12",'Unos rashoda P4'!$S$3:$S$492,"=41")</f>
        <v>0</v>
      </c>
      <c r="F50" s="72">
        <f>SUMIFS('Unos rashoda i izdataka'!$K$3:$K$498,'Unos rashoda i izdataka'!$C$3:$C$498,"=31",'Unos rashoda i izdataka'!$P$3:$P$498,"=41")+SUMIFS('Unos rashoda P4'!$I$3:$I$492,'Unos rashoda P4'!$A$3:$A$492,"=31",'Unos rashoda P4'!$S$3:$S$492,"=41")</f>
        <v>0</v>
      </c>
      <c r="G50" s="72">
        <f>SUMIFS('Unos rashoda i izdataka'!$K$3:$K$498,'Unos rashoda i izdataka'!$C$3:$C$498,"=41",'Unos rashoda i izdataka'!$P$3:$P$498,"=41")+SUMIFS('Unos rashoda P4'!$I$3:$I$492,'Unos rashoda P4'!$A$3:$A$492,"=41",'Unos rashoda P4'!$S$3:$S$492,"=41")</f>
        <v>0</v>
      </c>
      <c r="H50" s="72">
        <f>SUMIFS('Unos rashoda i izdataka'!$K$3:$K$498,'Unos rashoda i izdataka'!$C$3:$C$498,"=43",'Unos rashoda i izdataka'!$P$3:$P$498,"=41")+SUMIFS('Unos rashoda P4'!$I$3:$I$492,'Unos rashoda P4'!$A$3:$A$492,"=43",'Unos rashoda P4'!$S$3:$S$492,"=41")</f>
        <v>0</v>
      </c>
      <c r="I50" s="72">
        <f>SUMIFS('Unos rashoda i izdataka'!$K$3:$K$498,'Unos rashoda i izdataka'!$C$3:$C$498,"=51",'Unos rashoda i izdataka'!$P$3:$P$498,"=41")+SUMIFS('Unos rashoda P4'!$I$3:$I$492,'Unos rashoda P4'!$A$3:$A$492,"=51",'Unos rashoda P4'!$S$3:$S$492,"=41")</f>
        <v>0</v>
      </c>
      <c r="J50" s="72">
        <f>SUMIFS('Unos rashoda i izdataka'!$K$3:$K$498,'Unos rashoda i izdataka'!$C$3:$C$498,"=52",'Unos rashoda i izdataka'!$P$3:$P$498,"=41")+SUMIFS('Unos rashoda P4'!$I$3:$I$492,'Unos rashoda P4'!$A$3:$A$492,"=52",'Unos rashoda P4'!$S$3:$S$492,"=41")</f>
        <v>0</v>
      </c>
      <c r="K50" s="72">
        <f>SUMIFS('Unos rashoda i izdataka'!$K$3:$K$498,'Unos rashoda i izdataka'!$C$3:$C$498,"=552",'Unos rashoda i izdataka'!$P$3:$P$498,"=41")+SUMIFS('Unos rashoda P4'!$I$3:$I$492,'Unos rashoda P4'!$A$3:$A$492,"=552",'Unos rashoda P4'!$S$3:$S$492,"=41")</f>
        <v>0</v>
      </c>
      <c r="L50" s="72">
        <f>SUMIFS('Unos rashoda i izdataka'!$K$3:$K$498,'Unos rashoda i izdataka'!$C$3:$C$498,"=559",'Unos rashoda i izdataka'!$P$3:$P$498,"=41")+SUMIFS('Unos rashoda P4'!$I$3:$I$492,'Unos rashoda P4'!$A$3:$A$492,"=559",'Unos rashoda P4'!$S$3:$S$492,"=41")</f>
        <v>0</v>
      </c>
      <c r="M50" s="72">
        <f>SUMIFS('Unos rashoda i izdataka'!$K$3:$K$498,'Unos rashoda i izdataka'!$C$3:$C$498,"=561",'Unos rashoda i izdataka'!$P$3:$P$498,"=41")+SUMIFS('Unos rashoda P4'!$I$3:$I$492,'Unos rashoda P4'!$A$3:$A$492,"=561",'Unos rashoda P4'!$S$3:$S$492,"=41")</f>
        <v>0</v>
      </c>
      <c r="N50" s="72">
        <f>SUMIFS('Unos rashoda i izdataka'!$K$3:$K$498,'Unos rashoda i izdataka'!$C$3:$C$498,"=563",'Unos rashoda i izdataka'!$P$3:$P$498,"=41")+SUMIFS('Unos rashoda P4'!$I$3:$I$492,'Unos rashoda P4'!$A$3:$A$492,"=563",'Unos rashoda P4'!$S$3:$S$492,"=41")</f>
        <v>0</v>
      </c>
      <c r="O50" s="72">
        <f>SUMIFS('Unos rashoda i izdataka'!$K$3:$K$498,'Unos rashoda i izdataka'!$C$3:$C$498,"=573",'Unos rashoda i izdataka'!$P$3:$P$498,"=41")+SUMIFS('Unos rashoda P4'!$I$3:$I$492,'Unos rashoda P4'!$A$3:$A$492,"=573",'Unos rashoda P4'!$S$3:$S$492,"=41")</f>
        <v>0</v>
      </c>
      <c r="P50" s="72">
        <f>SUMIFS('Unos rashoda i izdataka'!$K$3:$K$498,'Unos rashoda i izdataka'!$C$3:$C$498,"=575",'Unos rashoda i izdataka'!$P$3:$P$498,"=41")+SUMIFS('Unos rashoda P4'!$I$3:$I$492,'Unos rashoda P4'!$A$3:$A$492,"=575",'Unos rashoda P4'!$S$3:$S$492,"=41")</f>
        <v>0</v>
      </c>
      <c r="Q50" s="72">
        <f>SUMIFS('Unos rashoda i izdataka'!$K$3:$K$498,'Unos rashoda i izdataka'!$Q$3:$Q$498,"=576",'Unos rashoda i izdataka'!$P$3:$P$498,"=41")+SUMIFS('Unos rashoda P4'!$I$3:$I$492,'Unos rashoda P4'!$A$3:$A$492,"=576",'Unos rashoda P4'!$S$3:$S$492,"=41")</f>
        <v>0</v>
      </c>
      <c r="R50" s="72">
        <f>SUMIFS('Unos rashoda i izdataka'!$K$3:$K$498,'Unos rashoda i izdataka'!$C$3:$C$498,"=581",'Unos rashoda i izdataka'!$P$3:$P$498,"=41")+SUMIFS('Unos rashoda P4'!$I$3:$I$492,'Unos rashoda P4'!$A$3:$A$492,"=581",'Unos rashoda P4'!$S$3:$S$492,"=41")</f>
        <v>0</v>
      </c>
      <c r="S50" s="72">
        <f>SUMIFS('Unos rashoda i izdataka'!$K$3:$K$498,'Unos rashoda i izdataka'!$C$3:$C$498,"=61",'Unos rashoda i izdataka'!$P$3:$P$498,"=41")+SUMIFS('Unos rashoda P4'!$I$3:$I$492,'Unos rashoda P4'!$A$3:$A$492,"=61",'Unos rashoda P4'!$S$3:$S$492,"=41")</f>
        <v>0</v>
      </c>
      <c r="T50" s="72">
        <f>SUMIFS('Unos rashoda i izdataka'!$K$3:$K$498,'Unos rashoda i izdataka'!$C$3:$C$498,"=63",'Unos rashoda i izdataka'!$P$3:$P$498,"=41")+SUMIFS('Unos rashoda P4'!$I$3:$I$492,'Unos rashoda P4'!$A$3:$A$492,"=63",'Unos rashoda P4'!$S$3:$S$492,"=41")</f>
        <v>0</v>
      </c>
      <c r="U50" s="72">
        <f>SUMIFS('Unos rashoda i izdataka'!$K$3:$K$498,'Unos rashoda i izdataka'!$C$3:$C$498,"=71",'Unos rashoda i izdataka'!$P$3:$P$498,"=41")+SUMIFS('Unos rashoda P4'!$I$3:$I$492,'Unos rashoda P4'!$A$3:$A$492,"=71",'Unos rashoda P4'!$S$3:$S$492,"=41")</f>
        <v>0</v>
      </c>
      <c r="V50" s="72">
        <f>SUMIFS('Unos rashoda i izdataka'!$K$3:$K$498,'Unos rashoda i izdataka'!$C$3:$C$498,"=81",'Unos rashoda i izdataka'!$P$3:$P$498,"=41")+SUMIFS('Unos rashoda P4'!$I$3:$I$492,'Unos rashoda P4'!$A$3:$A$492,"=81",'Unos rashoda P4'!$S$3:$S$492,"=41")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24">
        <v>42</v>
      </c>
      <c r="B51" s="10" t="s">
        <v>227</v>
      </c>
      <c r="C51" s="71">
        <f t="shared" si="5"/>
        <v>-50000</v>
      </c>
      <c r="D51" s="72">
        <f>SUMIFS('Unos rashoda i izdataka'!$K$3:$K$498,'Unos rashoda i izdataka'!$C$3:$C$498,"=11",'Unos rashoda i izdataka'!$P$3:$P$498,"=42")+SUMIFS('Unos rashoda P4'!$I$3:$I$492,'Unos rashoda P4'!$A$3:$A$492,"=11",'Unos rashoda P4'!$S$3:$S$492,"=42")</f>
        <v>-50000</v>
      </c>
      <c r="E51" s="72">
        <f>SUMIFS('Unos rashoda i izdataka'!$K$3:$K$498,'Unos rashoda i izdataka'!$C$3:$C$498,"=12",'Unos rashoda i izdataka'!$P$3:$P$498,"=42")+SUMIFS('Unos rashoda P4'!$I$3:$I$492,'Unos rashoda P4'!$A$3:$A$492,"=12",'Unos rashoda P4'!$S$3:$S$492,"=42")</f>
        <v>0</v>
      </c>
      <c r="F51" s="72">
        <f>SUMIFS('Unos rashoda i izdataka'!$K$3:$K$498,'Unos rashoda i izdataka'!$C$3:$C$498,"=31",'Unos rashoda i izdataka'!$P$3:$P$498,"=42")+SUMIFS('Unos rashoda P4'!$I$3:$I$492,'Unos rashoda P4'!$A$3:$A$492,"=31",'Unos rashoda P4'!$S$3:$S$492,"=42")</f>
        <v>0</v>
      </c>
      <c r="G51" s="72">
        <f>SUMIFS('Unos rashoda i izdataka'!$K$3:$K$498,'Unos rashoda i izdataka'!$C$3:$C$498,"=41",'Unos rashoda i izdataka'!$P$3:$P$498,"=42")+SUMIFS('Unos rashoda P4'!$I$3:$I$492,'Unos rashoda P4'!$A$3:$A$492,"=41",'Unos rashoda P4'!$S$3:$S$492,"=42")</f>
        <v>0</v>
      </c>
      <c r="H51" s="72">
        <f>SUMIFS('Unos rashoda i izdataka'!$K$3:$K$498,'Unos rashoda i izdataka'!$C$3:$C$498,"=43",'Unos rashoda i izdataka'!$P$3:$P$498,"=42")+SUMIFS('Unos rashoda P4'!$I$3:$I$492,'Unos rashoda P4'!$A$3:$A$492,"=43",'Unos rashoda P4'!$S$3:$S$492,"=42")</f>
        <v>0</v>
      </c>
      <c r="I51" s="72">
        <f>SUMIFS('Unos rashoda i izdataka'!$K$3:$K$498,'Unos rashoda i izdataka'!$C$3:$C$498,"=51",'Unos rashoda i izdataka'!$P$3:$P$498,"=42")+SUMIFS('Unos rashoda P4'!$I$3:$I$492,'Unos rashoda P4'!$A$3:$A$492,"=51",'Unos rashoda P4'!$S$3:$S$492,"=42")</f>
        <v>0</v>
      </c>
      <c r="J51" s="72">
        <f>SUMIFS('Unos rashoda i izdataka'!$K$3:$K$498,'Unos rashoda i izdataka'!$C$3:$C$498,"=52",'Unos rashoda i izdataka'!$P$3:$P$498,"=42")+SUMIFS('Unos rashoda P4'!$I$3:$I$492,'Unos rashoda P4'!$A$3:$A$492,"=52",'Unos rashoda P4'!$S$3:$S$492,"=42")</f>
        <v>0</v>
      </c>
      <c r="K51" s="72">
        <f>SUMIFS('Unos rashoda i izdataka'!$K$3:$K$498,'Unos rashoda i izdataka'!$C$3:$C$498,"=552",'Unos rashoda i izdataka'!$P$3:$P$498,"=42")+SUMIFS('Unos rashoda P4'!$I$3:$I$492,'Unos rashoda P4'!$A$3:$A$492,"=552",'Unos rashoda P4'!$S$3:$S$492,"=42")</f>
        <v>0</v>
      </c>
      <c r="L51" s="72">
        <f>SUMIFS('Unos rashoda i izdataka'!$K$3:$K$498,'Unos rashoda i izdataka'!$C$3:$C$498,"=559",'Unos rashoda i izdataka'!$P$3:$P$498,"=42")+SUMIFS('Unos rashoda P4'!$I$3:$I$492,'Unos rashoda P4'!$A$3:$A$492,"=559",'Unos rashoda P4'!$S$3:$S$492,"=42")</f>
        <v>0</v>
      </c>
      <c r="M51" s="72">
        <f>SUMIFS('Unos rashoda i izdataka'!$K$3:$K$498,'Unos rashoda i izdataka'!$C$3:$C$498,"=561",'Unos rashoda i izdataka'!$P$3:$P$498,"=42")+SUMIFS('Unos rashoda P4'!$I$3:$I$492,'Unos rashoda P4'!$A$3:$A$492,"=561",'Unos rashoda P4'!$S$3:$S$492,"=42")</f>
        <v>0</v>
      </c>
      <c r="N51" s="72">
        <f>SUMIFS('Unos rashoda i izdataka'!$K$3:$K$498,'Unos rashoda i izdataka'!$C$3:$C$498,"=563",'Unos rashoda i izdataka'!$P$3:$P$498,"=42")+SUMIFS('Unos rashoda P4'!$I$3:$I$492,'Unos rashoda P4'!$A$3:$A$492,"=563",'Unos rashoda P4'!$S$3:$S$492,"=42")</f>
        <v>0</v>
      </c>
      <c r="O51" s="72">
        <f>SUMIFS('Unos rashoda i izdataka'!$K$3:$K$498,'Unos rashoda i izdataka'!$C$3:$C$498,"=573",'Unos rashoda i izdataka'!$P$3:$P$498,"=42")+SUMIFS('Unos rashoda P4'!$I$3:$I$492,'Unos rashoda P4'!$A$3:$A$492,"=573",'Unos rashoda P4'!$S$3:$S$492,"=42")</f>
        <v>0</v>
      </c>
      <c r="P51" s="72">
        <f>SUMIFS('Unos rashoda i izdataka'!$K$3:$K$498,'Unos rashoda i izdataka'!$C$3:$C$498,"=575",'Unos rashoda i izdataka'!$P$3:$P$498,"=42")+SUMIFS('Unos rashoda P4'!$I$3:$I$492,'Unos rashoda P4'!$A$3:$A$492,"=575",'Unos rashoda P4'!$S$3:$S$492,"=42")</f>
        <v>0</v>
      </c>
      <c r="Q51" s="72">
        <f>SUMIFS('Unos rashoda i izdataka'!$K$3:$K$498,'Unos rashoda i izdataka'!$Q$3:$Q$498,"=576",'Unos rashoda i izdataka'!$P$3:$P$498,"=42")+SUMIFS('Unos rashoda P4'!$I$3:$I$492,'Unos rashoda P4'!$A$3:$A$492,"=576",'Unos rashoda P4'!$S$3:$S$492,"=42")</f>
        <v>0</v>
      </c>
      <c r="R51" s="72">
        <f>SUMIFS('Unos rashoda i izdataka'!$K$3:$K$498,'Unos rashoda i izdataka'!$C$3:$C$498,"=581",'Unos rashoda i izdataka'!$P$3:$P$498,"=42")+SUMIFS('Unos rashoda P4'!$I$3:$I$492,'Unos rashoda P4'!$A$3:$A$492,"=581",'Unos rashoda P4'!$S$3:$S$492,"=42")</f>
        <v>0</v>
      </c>
      <c r="S51" s="72">
        <f>SUMIFS('Unos rashoda i izdataka'!$K$3:$K$498,'Unos rashoda i izdataka'!$C$3:$C$498,"=61",'Unos rashoda i izdataka'!$P$3:$P$498,"=42")+SUMIFS('Unos rashoda P4'!$I$3:$I$492,'Unos rashoda P4'!$A$3:$A$492,"=61",'Unos rashoda P4'!$S$3:$S$492,"=42")</f>
        <v>0</v>
      </c>
      <c r="T51" s="72">
        <f>SUMIFS('Unos rashoda i izdataka'!$K$3:$K$498,'Unos rashoda i izdataka'!$C$3:$C$498,"=63",'Unos rashoda i izdataka'!$P$3:$P$498,"=42")+SUMIFS('Unos rashoda P4'!$I$3:$I$492,'Unos rashoda P4'!$A$3:$A$492,"=63",'Unos rashoda P4'!$S$3:$S$492,"=42")</f>
        <v>0</v>
      </c>
      <c r="U51" s="72">
        <f>SUMIFS('Unos rashoda i izdataka'!$K$3:$K$498,'Unos rashoda i izdataka'!$C$3:$C$498,"=71",'Unos rashoda i izdataka'!$P$3:$P$498,"=42")+SUMIFS('Unos rashoda P4'!$I$3:$I$492,'Unos rashoda P4'!$A$3:$A$492,"=71",'Unos rashoda P4'!$S$3:$S$492,"=42")</f>
        <v>0</v>
      </c>
      <c r="V51" s="72">
        <f>SUMIFS('Unos rashoda i izdataka'!$K$3:$K$498,'Unos rashoda i izdataka'!$C$3:$C$498,"=81",'Unos rashoda i izdataka'!$P$3:$P$498,"=42")+SUMIFS('Unos rashoda P4'!$I$3:$I$492,'Unos rashoda P4'!$A$3:$A$492,"=81",'Unos rashoda P4'!$S$3:$S$492,"=42")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23">
        <v>43</v>
      </c>
      <c r="B52" s="8" t="s">
        <v>251</v>
      </c>
      <c r="C52" s="71">
        <f t="shared" si="5"/>
        <v>0</v>
      </c>
      <c r="D52" s="72">
        <f>SUMIFS('Unos rashoda i izdataka'!$K$3:$K$498,'Unos rashoda i izdataka'!$C$3:$C$498,"=11",'Unos rashoda i izdataka'!$P$3:$P$498,"=43")+SUMIFS('Unos rashoda P4'!$I$3:$I$492,'Unos rashoda P4'!$A$3:$A$492,"=11",'Unos rashoda P4'!$S$3:$S$492,"=43")</f>
        <v>0</v>
      </c>
      <c r="E52" s="72">
        <f>SUMIFS('Unos rashoda i izdataka'!$K$3:$K$498,'Unos rashoda i izdataka'!$C$3:$C$498,"=12",'Unos rashoda i izdataka'!$P$3:$P$498,"=43")+SUMIFS('Unos rashoda P4'!$I$3:$I$492,'Unos rashoda P4'!$A$3:$A$492,"=12",'Unos rashoda P4'!$S$3:$S$492,"=43")</f>
        <v>0</v>
      </c>
      <c r="F52" s="72">
        <f>SUMIFS('Unos rashoda i izdataka'!$K$3:$K$498,'Unos rashoda i izdataka'!$C$3:$C$498,"=31",'Unos rashoda i izdataka'!$P$3:$P$498,"=43")+SUMIFS('Unos rashoda P4'!$I$3:$I$492,'Unos rashoda P4'!$A$3:$A$492,"=31",'Unos rashoda P4'!$S$3:$S$492,"=43")</f>
        <v>0</v>
      </c>
      <c r="G52" s="72">
        <f>SUMIFS('Unos rashoda i izdataka'!$K$3:$K$498,'Unos rashoda i izdataka'!$C$3:$C$498,"=41",'Unos rashoda i izdataka'!$P$3:$P$498,"=43")+SUMIFS('Unos rashoda P4'!$I$3:$I$492,'Unos rashoda P4'!$A$3:$A$492,"=41",'Unos rashoda P4'!$S$3:$S$492,"=43")</f>
        <v>0</v>
      </c>
      <c r="H52" s="72">
        <f>SUMIFS('Unos rashoda i izdataka'!$K$3:$K$498,'Unos rashoda i izdataka'!$C$3:$C$498,"=43",'Unos rashoda i izdataka'!$P$3:$P$498,"=43")+SUMIFS('Unos rashoda P4'!$I$3:$I$492,'Unos rashoda P4'!$A$3:$A$492,"=43",'Unos rashoda P4'!$S$3:$S$492,"=43")</f>
        <v>0</v>
      </c>
      <c r="I52" s="72">
        <f>SUMIFS('Unos rashoda i izdataka'!$K$3:$K$498,'Unos rashoda i izdataka'!$C$3:$C$498,"=51",'Unos rashoda i izdataka'!$P$3:$P$498,"=43")+SUMIFS('Unos rashoda P4'!$I$3:$I$492,'Unos rashoda P4'!$A$3:$A$492,"=51",'Unos rashoda P4'!$S$3:$S$492,"=43")</f>
        <v>0</v>
      </c>
      <c r="J52" s="72">
        <f>SUMIFS('Unos rashoda i izdataka'!$K$3:$K$498,'Unos rashoda i izdataka'!$C$3:$C$498,"=52",'Unos rashoda i izdataka'!$P$3:$P$498,"=43")+SUMIFS('Unos rashoda P4'!$I$3:$I$492,'Unos rashoda P4'!$A$3:$A$492,"=52",'Unos rashoda P4'!$S$3:$S$492,"=43")</f>
        <v>0</v>
      </c>
      <c r="K52" s="72">
        <f>SUMIFS('Unos rashoda i izdataka'!$K$3:$K$498,'Unos rashoda i izdataka'!$C$3:$C$498,"=552",'Unos rashoda i izdataka'!$P$3:$P$498,"=43")+SUMIFS('Unos rashoda P4'!$I$3:$I$492,'Unos rashoda P4'!$A$3:$A$492,"=552",'Unos rashoda P4'!$S$3:$S$492,"=43")</f>
        <v>0</v>
      </c>
      <c r="L52" s="72">
        <f>SUMIFS('Unos rashoda i izdataka'!$K$3:$K$498,'Unos rashoda i izdataka'!$C$3:$C$498,"=559",'Unos rashoda i izdataka'!$P$3:$P$498,"=43")+SUMIFS('Unos rashoda P4'!$I$3:$I$492,'Unos rashoda P4'!$A$3:$A$492,"=559",'Unos rashoda P4'!$S$3:$S$492,"=43")</f>
        <v>0</v>
      </c>
      <c r="M52" s="72">
        <f>SUMIFS('Unos rashoda i izdataka'!$K$3:$K$498,'Unos rashoda i izdataka'!$C$3:$C$498,"=561",'Unos rashoda i izdataka'!$P$3:$P$498,"=43")+SUMIFS('Unos rashoda P4'!$I$3:$I$492,'Unos rashoda P4'!$A$3:$A$492,"=561",'Unos rashoda P4'!$S$3:$S$492,"=43")</f>
        <v>0</v>
      </c>
      <c r="N52" s="72">
        <f>SUMIFS('Unos rashoda i izdataka'!$K$3:$K$498,'Unos rashoda i izdataka'!$C$3:$C$498,"=563",'Unos rashoda i izdataka'!$P$3:$P$498,"=43")+SUMIFS('Unos rashoda P4'!$I$3:$I$492,'Unos rashoda P4'!$A$3:$A$492,"=563",'Unos rashoda P4'!$S$3:$S$492,"=43")</f>
        <v>0</v>
      </c>
      <c r="O52" s="72">
        <f>SUMIFS('Unos rashoda i izdataka'!$K$3:$K$498,'Unos rashoda i izdataka'!$C$3:$C$498,"=573",'Unos rashoda i izdataka'!$P$3:$P$498,"=43")+SUMIFS('Unos rashoda P4'!$I$3:$I$492,'Unos rashoda P4'!$A$3:$A$492,"=573",'Unos rashoda P4'!$S$3:$S$492,"=43")</f>
        <v>0</v>
      </c>
      <c r="P52" s="72">
        <f>SUMIFS('Unos rashoda i izdataka'!$K$3:$K$498,'Unos rashoda i izdataka'!$C$3:$C$498,"=575",'Unos rashoda i izdataka'!$P$3:$P$498,"=43")+SUMIFS('Unos rashoda P4'!$I$3:$I$492,'Unos rashoda P4'!$A$3:$A$492,"=575",'Unos rashoda P4'!$S$3:$S$492,"=43")</f>
        <v>0</v>
      </c>
      <c r="Q52" s="72">
        <f>SUMIFS('Unos rashoda i izdataka'!$K$3:$K$498,'Unos rashoda i izdataka'!$Q$3:$Q$498,"=576",'Unos rashoda i izdataka'!$P$3:$P$498,"=43")+SUMIFS('Unos rashoda P4'!$I$3:$I$492,'Unos rashoda P4'!$A$3:$A$492,"=576",'Unos rashoda P4'!$S$3:$S$492,"=43")</f>
        <v>0</v>
      </c>
      <c r="R52" s="72">
        <f>SUMIFS('Unos rashoda i izdataka'!$K$3:$K$498,'Unos rashoda i izdataka'!$C$3:$C$498,"=581",'Unos rashoda i izdataka'!$P$3:$P$498,"=43")+SUMIFS('Unos rashoda P4'!$I$3:$I$492,'Unos rashoda P4'!$A$3:$A$492,"=581",'Unos rashoda P4'!$S$3:$S$492,"=43")</f>
        <v>0</v>
      </c>
      <c r="S52" s="72">
        <f>SUMIFS('Unos rashoda i izdataka'!$K$3:$K$498,'Unos rashoda i izdataka'!$C$3:$C$498,"=61",'Unos rashoda i izdataka'!$P$3:$P$498,"=43")+SUMIFS('Unos rashoda P4'!$I$3:$I$492,'Unos rashoda P4'!$A$3:$A$492,"=61",'Unos rashoda P4'!$S$3:$S$492,"=43")</f>
        <v>0</v>
      </c>
      <c r="T52" s="72">
        <f>SUMIFS('Unos rashoda i izdataka'!$K$3:$K$498,'Unos rashoda i izdataka'!$C$3:$C$498,"=63",'Unos rashoda i izdataka'!$P$3:$P$498,"=43")+SUMIFS('Unos rashoda P4'!$I$3:$I$492,'Unos rashoda P4'!$A$3:$A$492,"=63",'Unos rashoda P4'!$S$3:$S$492,"=43")</f>
        <v>0</v>
      </c>
      <c r="U52" s="72">
        <f>SUMIFS('Unos rashoda i izdataka'!$K$3:$K$498,'Unos rashoda i izdataka'!$C$3:$C$498,"=71",'Unos rashoda i izdataka'!$P$3:$P$498,"=43")+SUMIFS('Unos rashoda P4'!$I$3:$I$492,'Unos rashoda P4'!$A$3:$A$492,"=71",'Unos rashoda P4'!$S$3:$S$492,"=43")</f>
        <v>0</v>
      </c>
      <c r="V52" s="72">
        <f>SUMIFS('Unos rashoda i izdataka'!$K$3:$K$498,'Unos rashoda i izdataka'!$C$3:$C$498,"=81",'Unos rashoda i izdataka'!$P$3:$P$498,"=43")+SUMIFS('Unos rashoda P4'!$I$3:$I$492,'Unos rashoda P4'!$A$3:$A$492,"=81",'Unos rashoda P4'!$S$3:$S$492,"=43")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23">
        <v>44</v>
      </c>
      <c r="B53" s="8" t="s">
        <v>252</v>
      </c>
      <c r="C53" s="71">
        <f t="shared" si="5"/>
        <v>0</v>
      </c>
      <c r="D53" s="72">
        <f>SUMIFS('Unos rashoda i izdataka'!$K$3:$K$498,'Unos rashoda i izdataka'!$C$3:$C$498,"=11",'Unos rashoda i izdataka'!$P$3:$P$498,"=44")+SUMIFS('Unos rashoda P4'!$I$3:$I$492,'Unos rashoda P4'!$A$3:$A$492,"=11",'Unos rashoda P4'!$S$3:$S$492,"=44")</f>
        <v>0</v>
      </c>
      <c r="E53" s="72">
        <f>SUMIFS('Unos rashoda i izdataka'!$K$3:$K$498,'Unos rashoda i izdataka'!$C$3:$C$498,"=12",'Unos rashoda i izdataka'!$P$3:$P$498,"=44")+SUMIFS('Unos rashoda P4'!$I$3:$I$492,'Unos rashoda P4'!$A$3:$A$492,"=12",'Unos rashoda P4'!$S$3:$S$492,"=44")</f>
        <v>0</v>
      </c>
      <c r="F53" s="72">
        <f>SUMIFS('Unos rashoda i izdataka'!$K$3:$K$498,'Unos rashoda i izdataka'!$C$3:$C$498,"=31",'Unos rashoda i izdataka'!$P$3:$P$498,"=44")+SUMIFS('Unos rashoda P4'!$I$3:$I$492,'Unos rashoda P4'!$A$3:$A$492,"=31",'Unos rashoda P4'!$S$3:$S$492,"=44")</f>
        <v>0</v>
      </c>
      <c r="G53" s="72">
        <f>SUMIFS('Unos rashoda i izdataka'!$K$3:$K$498,'Unos rashoda i izdataka'!$C$3:$C$498,"=41",'Unos rashoda i izdataka'!$P$3:$P$498,"=44")+SUMIFS('Unos rashoda P4'!$I$3:$I$492,'Unos rashoda P4'!$A$3:$A$492,"=41",'Unos rashoda P4'!$S$3:$S$492,"=44")</f>
        <v>0</v>
      </c>
      <c r="H53" s="72">
        <f>SUMIFS('Unos rashoda i izdataka'!$K$3:$K$498,'Unos rashoda i izdataka'!$C$3:$C$498,"=43",'Unos rashoda i izdataka'!$P$3:$P$498,"=44")+SUMIFS('Unos rashoda P4'!$I$3:$I$492,'Unos rashoda P4'!$A$3:$A$492,"=43",'Unos rashoda P4'!$S$3:$S$492,"=44")</f>
        <v>0</v>
      </c>
      <c r="I53" s="72">
        <f>SUMIFS('Unos rashoda i izdataka'!$K$3:$K$498,'Unos rashoda i izdataka'!$C$3:$C$498,"=51",'Unos rashoda i izdataka'!$P$3:$P$498,"=44")+SUMIFS('Unos rashoda P4'!$I$3:$I$492,'Unos rashoda P4'!$A$3:$A$492,"=51",'Unos rashoda P4'!$S$3:$S$492,"=44")</f>
        <v>0</v>
      </c>
      <c r="J53" s="72">
        <f>SUMIFS('Unos rashoda i izdataka'!$K$3:$K$498,'Unos rashoda i izdataka'!$C$3:$C$498,"=52",'Unos rashoda i izdataka'!$P$3:$P$498,"=44")+SUMIFS('Unos rashoda P4'!$I$3:$I$492,'Unos rashoda P4'!$A$3:$A$492,"=52",'Unos rashoda P4'!$S$3:$S$492,"=44")</f>
        <v>0</v>
      </c>
      <c r="K53" s="72">
        <f>SUMIFS('Unos rashoda i izdataka'!$K$3:$K$498,'Unos rashoda i izdataka'!$C$3:$C$498,"=552",'Unos rashoda i izdataka'!$P$3:$P$498,"=44")+SUMIFS('Unos rashoda P4'!$I$3:$I$492,'Unos rashoda P4'!$A$3:$A$492,"=552",'Unos rashoda P4'!$S$3:$S$492,"=44")</f>
        <v>0</v>
      </c>
      <c r="L53" s="72">
        <f>SUMIFS('Unos rashoda i izdataka'!$K$3:$K$498,'Unos rashoda i izdataka'!$C$3:$C$498,"=559",'Unos rashoda i izdataka'!$P$3:$P$498,"=44")+SUMIFS('Unos rashoda P4'!$I$3:$I$492,'Unos rashoda P4'!$A$3:$A$492,"=559",'Unos rashoda P4'!$S$3:$S$492,"=44")</f>
        <v>0</v>
      </c>
      <c r="M53" s="72">
        <f>SUMIFS('Unos rashoda i izdataka'!$K$3:$K$498,'Unos rashoda i izdataka'!$C$3:$C$498,"=561",'Unos rashoda i izdataka'!$P$3:$P$498,"=44")+SUMIFS('Unos rashoda P4'!$I$3:$I$492,'Unos rashoda P4'!$A$3:$A$492,"=561",'Unos rashoda P4'!$S$3:$S$492,"=44")</f>
        <v>0</v>
      </c>
      <c r="N53" s="72">
        <f>SUMIFS('Unos rashoda i izdataka'!$K$3:$K$498,'Unos rashoda i izdataka'!$C$3:$C$498,"=563",'Unos rashoda i izdataka'!$P$3:$P$498,"=44")+SUMIFS('Unos rashoda P4'!$I$3:$I$492,'Unos rashoda P4'!$A$3:$A$492,"=563",'Unos rashoda P4'!$S$3:$S$492,"=44")</f>
        <v>0</v>
      </c>
      <c r="O53" s="72">
        <f>SUMIFS('Unos rashoda i izdataka'!$K$3:$K$498,'Unos rashoda i izdataka'!$C$3:$C$498,"=573",'Unos rashoda i izdataka'!$P$3:$P$498,"=44")+SUMIFS('Unos rashoda P4'!$I$3:$I$492,'Unos rashoda P4'!$A$3:$A$492,"=573",'Unos rashoda P4'!$S$3:$S$492,"=44")</f>
        <v>0</v>
      </c>
      <c r="P53" s="72">
        <f>SUMIFS('Unos rashoda i izdataka'!$K$3:$K$498,'Unos rashoda i izdataka'!$C$3:$C$498,"=575",'Unos rashoda i izdataka'!$P$3:$P$498,"=44")+SUMIFS('Unos rashoda P4'!$I$3:$I$492,'Unos rashoda P4'!$A$3:$A$492,"=575",'Unos rashoda P4'!$S$3:$S$492,"=44")</f>
        <v>0</v>
      </c>
      <c r="Q53" s="72">
        <f>SUMIFS('Unos rashoda i izdataka'!$K$3:$K$498,'Unos rashoda i izdataka'!$Q$3:$Q$498,"=576",'Unos rashoda i izdataka'!$P$3:$P$498,"=44")+SUMIFS('Unos rashoda P4'!$I$3:$I$492,'Unos rashoda P4'!$A$3:$A$492,"=576",'Unos rashoda P4'!$S$3:$S$492,"=44")</f>
        <v>0</v>
      </c>
      <c r="R53" s="72">
        <f>SUMIFS('Unos rashoda i izdataka'!$K$3:$K$498,'Unos rashoda i izdataka'!$C$3:$C$498,"=581",'Unos rashoda i izdataka'!$P$3:$P$498,"=44")+SUMIFS('Unos rashoda P4'!$I$3:$I$492,'Unos rashoda P4'!$A$3:$A$492,"=581",'Unos rashoda P4'!$S$3:$S$492,"=44")</f>
        <v>0</v>
      </c>
      <c r="S53" s="72">
        <f>SUMIFS('Unos rashoda i izdataka'!$K$3:$K$498,'Unos rashoda i izdataka'!$C$3:$C$498,"=61",'Unos rashoda i izdataka'!$P$3:$P$498,"=44")+SUMIFS('Unos rashoda P4'!$I$3:$I$492,'Unos rashoda P4'!$A$3:$A$492,"=61",'Unos rashoda P4'!$S$3:$S$492,"=44")</f>
        <v>0</v>
      </c>
      <c r="T53" s="72">
        <f>SUMIFS('Unos rashoda i izdataka'!$K$3:$K$498,'Unos rashoda i izdataka'!$C$3:$C$498,"=63",'Unos rashoda i izdataka'!$P$3:$P$498,"=44")+SUMIFS('Unos rashoda P4'!$I$3:$I$492,'Unos rashoda P4'!$A$3:$A$492,"=63",'Unos rashoda P4'!$S$3:$S$492,"=44")</f>
        <v>0</v>
      </c>
      <c r="U53" s="72">
        <f>SUMIFS('Unos rashoda i izdataka'!$K$3:$K$498,'Unos rashoda i izdataka'!$C$3:$C$498,"=71",'Unos rashoda i izdataka'!$P$3:$P$498,"=44")+SUMIFS('Unos rashoda P4'!$I$3:$I$492,'Unos rashoda P4'!$A$3:$A$492,"=71",'Unos rashoda P4'!$S$3:$S$492,"=44")</f>
        <v>0</v>
      </c>
      <c r="V53" s="72">
        <f>SUMIFS('Unos rashoda i izdataka'!$K$3:$K$498,'Unos rashoda i izdataka'!$C$3:$C$498,"=81",'Unos rashoda i izdataka'!$P$3:$P$498,"=44")+SUMIFS('Unos rashoda P4'!$I$3:$I$492,'Unos rashoda P4'!$A$3:$A$492,"=81",'Unos rashoda P4'!$S$3:$S$492,"=44")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24">
        <v>45</v>
      </c>
      <c r="B54" s="10" t="s">
        <v>200</v>
      </c>
      <c r="C54" s="71">
        <f t="shared" si="5"/>
        <v>0</v>
      </c>
      <c r="D54" s="72">
        <f>SUMIFS('Unos rashoda i izdataka'!$K$3:$K$498,'Unos rashoda i izdataka'!$C$3:$C$498,"=11",'Unos rashoda i izdataka'!$P$3:$P$498,"=45")+SUMIFS('Unos rashoda P4'!$I$3:$I$492,'Unos rashoda P4'!$A$3:$A$492,"=11",'Unos rashoda P4'!$S$3:$S$492,"=45")</f>
        <v>0</v>
      </c>
      <c r="E54" s="72">
        <f>SUMIFS('Unos rashoda i izdataka'!$K$3:$K$498,'Unos rashoda i izdataka'!$C$3:$C$498,"=12",'Unos rashoda i izdataka'!$P$3:$P$498,"=45")+SUMIFS('Unos rashoda P4'!$I$3:$I$492,'Unos rashoda P4'!$A$3:$A$492,"=12",'Unos rashoda P4'!$S$3:$S$492,"=45")</f>
        <v>0</v>
      </c>
      <c r="F54" s="72">
        <f>SUMIFS('Unos rashoda i izdataka'!$K$3:$K$498,'Unos rashoda i izdataka'!$C$3:$C$498,"=31",'Unos rashoda i izdataka'!$P$3:$P$498,"=45")+SUMIFS('Unos rashoda P4'!$I$3:$I$492,'Unos rashoda P4'!$A$3:$A$492,"=31",'Unos rashoda P4'!$S$3:$S$492,"=45")</f>
        <v>0</v>
      </c>
      <c r="G54" s="72">
        <f>SUMIFS('Unos rashoda i izdataka'!$K$3:$K$498,'Unos rashoda i izdataka'!$C$3:$C$498,"=41",'Unos rashoda i izdataka'!$P$3:$P$498,"=45")+SUMIFS('Unos rashoda P4'!$I$3:$I$492,'Unos rashoda P4'!$A$3:$A$492,"=41",'Unos rashoda P4'!$S$3:$S$492,"=45")</f>
        <v>0</v>
      </c>
      <c r="H54" s="72">
        <f>SUMIFS('Unos rashoda i izdataka'!$K$3:$K$498,'Unos rashoda i izdataka'!$C$3:$C$498,"=43",'Unos rashoda i izdataka'!$P$3:$P$498,"=45")+SUMIFS('Unos rashoda P4'!$I$3:$I$492,'Unos rashoda P4'!$A$3:$A$492,"=43",'Unos rashoda P4'!$S$3:$S$492,"=45")</f>
        <v>0</v>
      </c>
      <c r="I54" s="72">
        <f>SUMIFS('Unos rashoda i izdataka'!$K$3:$K$498,'Unos rashoda i izdataka'!$C$3:$C$498,"=51",'Unos rashoda i izdataka'!$P$3:$P$498,"=45")+SUMIFS('Unos rashoda P4'!$I$3:$I$492,'Unos rashoda P4'!$A$3:$A$492,"=51",'Unos rashoda P4'!$S$3:$S$492,"=45")</f>
        <v>0</v>
      </c>
      <c r="J54" s="72">
        <f>SUMIFS('Unos rashoda i izdataka'!$K$3:$K$498,'Unos rashoda i izdataka'!$C$3:$C$498,"=52",'Unos rashoda i izdataka'!$P$3:$P$498,"=45")+SUMIFS('Unos rashoda P4'!$I$3:$I$492,'Unos rashoda P4'!$A$3:$A$492,"=52",'Unos rashoda P4'!$S$3:$S$492,"=45")</f>
        <v>0</v>
      </c>
      <c r="K54" s="72">
        <f>SUMIFS('Unos rashoda i izdataka'!$K$3:$K$498,'Unos rashoda i izdataka'!$C$3:$C$498,"=552",'Unos rashoda i izdataka'!$P$3:$P$498,"=45")+SUMIFS('Unos rashoda P4'!$I$3:$I$492,'Unos rashoda P4'!$A$3:$A$492,"=552",'Unos rashoda P4'!$S$3:$S$492,"=45")</f>
        <v>0</v>
      </c>
      <c r="L54" s="72">
        <f>SUMIFS('Unos rashoda i izdataka'!$K$3:$K$498,'Unos rashoda i izdataka'!$C$3:$C$498,"=559",'Unos rashoda i izdataka'!$P$3:$P$498,"=45")+SUMIFS('Unos rashoda P4'!$I$3:$I$492,'Unos rashoda P4'!$A$3:$A$492,"=559",'Unos rashoda P4'!$S$3:$S$492,"=45")</f>
        <v>0</v>
      </c>
      <c r="M54" s="72">
        <f>SUMIFS('Unos rashoda i izdataka'!$K$3:$K$498,'Unos rashoda i izdataka'!$C$3:$C$498,"=561",'Unos rashoda i izdataka'!$P$3:$P$498,"=45")+SUMIFS('Unos rashoda P4'!$I$3:$I$492,'Unos rashoda P4'!$A$3:$A$492,"=561",'Unos rashoda P4'!$S$3:$S$492,"=45")</f>
        <v>0</v>
      </c>
      <c r="N54" s="72">
        <f>SUMIFS('Unos rashoda i izdataka'!$K$3:$K$498,'Unos rashoda i izdataka'!$C$3:$C$498,"=563",'Unos rashoda i izdataka'!$P$3:$P$498,"=45")+SUMIFS('Unos rashoda P4'!$I$3:$I$492,'Unos rashoda P4'!$A$3:$A$492,"=563",'Unos rashoda P4'!$S$3:$S$492,"=45")</f>
        <v>0</v>
      </c>
      <c r="O54" s="72">
        <f>SUMIFS('Unos rashoda i izdataka'!$K$3:$K$498,'Unos rashoda i izdataka'!$C$3:$C$498,"=573",'Unos rashoda i izdataka'!$P$3:$P$498,"=45")+SUMIFS('Unos rashoda P4'!$I$3:$I$492,'Unos rashoda P4'!$A$3:$A$492,"=573",'Unos rashoda P4'!$S$3:$S$492,"=45")</f>
        <v>0</v>
      </c>
      <c r="P54" s="72">
        <f>SUMIFS('Unos rashoda i izdataka'!$K$3:$K$498,'Unos rashoda i izdataka'!$C$3:$C$498,"=575",'Unos rashoda i izdataka'!$P$3:$P$498,"=45")+SUMIFS('Unos rashoda P4'!$I$3:$I$492,'Unos rashoda P4'!$A$3:$A$492,"=575",'Unos rashoda P4'!$S$3:$S$492,"=45")</f>
        <v>0</v>
      </c>
      <c r="Q54" s="72">
        <f>SUMIFS('Unos rashoda i izdataka'!$K$3:$K$498,'Unos rashoda i izdataka'!$Q$3:$Q$498,"=576",'Unos rashoda i izdataka'!$P$3:$P$498,"=45")+SUMIFS('Unos rashoda P4'!$I$3:$I$492,'Unos rashoda P4'!$A$3:$A$492,"=576",'Unos rashoda P4'!$S$3:$S$492,"=45")</f>
        <v>0</v>
      </c>
      <c r="R54" s="72">
        <f>SUMIFS('Unos rashoda i izdataka'!$K$3:$K$498,'Unos rashoda i izdataka'!$C$3:$C$498,"=581",'Unos rashoda i izdataka'!$P$3:$P$498,"=45")+SUMIFS('Unos rashoda P4'!$I$3:$I$492,'Unos rashoda P4'!$A$3:$A$492,"=581",'Unos rashoda P4'!$S$3:$S$492,"=45")</f>
        <v>0</v>
      </c>
      <c r="S54" s="72">
        <f>SUMIFS('Unos rashoda i izdataka'!$K$3:$K$498,'Unos rashoda i izdataka'!$C$3:$C$498,"=61",'Unos rashoda i izdataka'!$P$3:$P$498,"=45")+SUMIFS('Unos rashoda P4'!$I$3:$I$492,'Unos rashoda P4'!$A$3:$A$492,"=61",'Unos rashoda P4'!$S$3:$S$492,"=45")</f>
        <v>0</v>
      </c>
      <c r="T54" s="72">
        <f>SUMIFS('Unos rashoda i izdataka'!$K$3:$K$498,'Unos rashoda i izdataka'!$C$3:$C$498,"=63",'Unos rashoda i izdataka'!$P$3:$P$498,"=45")+SUMIFS('Unos rashoda P4'!$I$3:$I$492,'Unos rashoda P4'!$A$3:$A$492,"=63",'Unos rashoda P4'!$S$3:$S$492,"=45")</f>
        <v>0</v>
      </c>
      <c r="U54" s="72">
        <f>SUMIFS('Unos rashoda i izdataka'!$K$3:$K$498,'Unos rashoda i izdataka'!$C$3:$C$498,"=71",'Unos rashoda i izdataka'!$P$3:$P$498,"=45")+SUMIFS('Unos rashoda P4'!$I$3:$I$492,'Unos rashoda P4'!$A$3:$A$492,"=71",'Unos rashoda P4'!$S$3:$S$492,"=45")</f>
        <v>0</v>
      </c>
      <c r="V54" s="72">
        <f>SUMIFS('Unos rashoda i izdataka'!$K$3:$K$498,'Unos rashoda i izdataka'!$C$3:$C$498,"=81",'Unos rashoda i izdataka'!$P$3:$P$498,"=45")+SUMIFS('Unos rashoda P4'!$I$3:$I$492,'Unos rashoda P4'!$A$3:$A$492,"=81",'Unos rashoda P4'!$S$3:$S$492,"=45")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26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76" t="s">
        <v>191</v>
      </c>
      <c r="B56" s="41" t="s">
        <v>192</v>
      </c>
      <c r="C56" s="2" t="s">
        <v>3014</v>
      </c>
      <c r="D56" s="2" t="s">
        <v>37</v>
      </c>
      <c r="E56" s="2" t="s">
        <v>247</v>
      </c>
      <c r="F56" s="41" t="s">
        <v>16</v>
      </c>
      <c r="G56" s="41" t="s">
        <v>5106</v>
      </c>
      <c r="H56" s="41" t="s">
        <v>17</v>
      </c>
      <c r="I56" s="41" t="s">
        <v>236</v>
      </c>
      <c r="J56" s="41" t="s">
        <v>237</v>
      </c>
      <c r="K56" s="41" t="s">
        <v>1225</v>
      </c>
      <c r="L56" s="41" t="s">
        <v>238</v>
      </c>
      <c r="M56" s="41" t="s">
        <v>239</v>
      </c>
      <c r="N56" s="41" t="s">
        <v>240</v>
      </c>
      <c r="O56" s="41" t="s">
        <v>1226</v>
      </c>
      <c r="P56" s="41" t="s">
        <v>5112</v>
      </c>
      <c r="Q56" s="41" t="s">
        <v>5113</v>
      </c>
      <c r="R56" s="41" t="s">
        <v>3011</v>
      </c>
      <c r="S56" s="41" t="s">
        <v>241</v>
      </c>
      <c r="T56" s="41" t="s">
        <v>242</v>
      </c>
      <c r="U56" s="41" t="s">
        <v>1202</v>
      </c>
      <c r="V56" s="41" t="s">
        <v>1201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27">
        <v>2024</v>
      </c>
      <c r="B57" s="327" t="s">
        <v>5261</v>
      </c>
      <c r="C57" s="60">
        <f>SUM(D57:V57)</f>
        <v>6476280.9351819744</v>
      </c>
      <c r="D57" s="61">
        <f>D58+D74</f>
        <v>3731694</v>
      </c>
      <c r="E57" s="61">
        <f t="shared" ref="E57:V57" si="26">E58+E74</f>
        <v>114793.94228406961</v>
      </c>
      <c r="F57" s="61">
        <f t="shared" si="26"/>
        <v>118510</v>
      </c>
      <c r="G57" s="61">
        <f t="shared" si="26"/>
        <v>0</v>
      </c>
      <c r="H57" s="61">
        <f t="shared" si="26"/>
        <v>765800</v>
      </c>
      <c r="I57" s="61">
        <f t="shared" si="26"/>
        <v>0</v>
      </c>
      <c r="J57" s="61">
        <f t="shared" si="26"/>
        <v>934131</v>
      </c>
      <c r="K57" s="61">
        <f t="shared" si="26"/>
        <v>0</v>
      </c>
      <c r="L57" s="61">
        <f t="shared" si="26"/>
        <v>0</v>
      </c>
      <c r="M57" s="61">
        <f t="shared" si="26"/>
        <v>0</v>
      </c>
      <c r="N57" s="61">
        <f t="shared" si="26"/>
        <v>811351.99289790425</v>
      </c>
      <c r="O57" s="61">
        <f t="shared" si="26"/>
        <v>0</v>
      </c>
      <c r="P57" s="61">
        <f t="shared" si="26"/>
        <v>0</v>
      </c>
      <c r="Q57" s="61">
        <f t="shared" si="26"/>
        <v>0</v>
      </c>
      <c r="R57" s="61">
        <f t="shared" si="26"/>
        <v>0</v>
      </c>
      <c r="S57" s="61">
        <f t="shared" si="26"/>
        <v>0</v>
      </c>
      <c r="T57" s="61">
        <f t="shared" si="26"/>
        <v>0</v>
      </c>
      <c r="U57" s="61">
        <f t="shared" si="26"/>
        <v>0</v>
      </c>
      <c r="V57" s="61">
        <f t="shared" si="26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25">
        <v>3</v>
      </c>
      <c r="B58" s="63" t="s">
        <v>193</v>
      </c>
      <c r="C58" s="64">
        <f>SUM(D58:V58)</f>
        <v>6199154.9351819744</v>
      </c>
      <c r="D58" s="68">
        <f>+D59+D64+D69+D70+D71+D72+D73</f>
        <v>3540568</v>
      </c>
      <c r="E58" s="68">
        <f t="shared" ref="E58:V58" si="27">+E59+E64+E69+E70+E71+E72+E73</f>
        <v>114793.94228406961</v>
      </c>
      <c r="F58" s="68">
        <f t="shared" si="27"/>
        <v>118510</v>
      </c>
      <c r="G58" s="68">
        <f t="shared" si="27"/>
        <v>0</v>
      </c>
      <c r="H58" s="68">
        <f t="shared" si="27"/>
        <v>679800</v>
      </c>
      <c r="I58" s="68">
        <f t="shared" si="27"/>
        <v>0</v>
      </c>
      <c r="J58" s="68">
        <f t="shared" si="27"/>
        <v>934131</v>
      </c>
      <c r="K58" s="68">
        <f t="shared" si="27"/>
        <v>0</v>
      </c>
      <c r="L58" s="68">
        <f t="shared" si="27"/>
        <v>0</v>
      </c>
      <c r="M58" s="68">
        <f t="shared" si="27"/>
        <v>0</v>
      </c>
      <c r="N58" s="68">
        <f t="shared" si="27"/>
        <v>811351.99289790425</v>
      </c>
      <c r="O58" s="68">
        <f t="shared" si="27"/>
        <v>0</v>
      </c>
      <c r="P58" s="68">
        <f t="shared" si="27"/>
        <v>0</v>
      </c>
      <c r="Q58" s="68">
        <f t="shared" si="27"/>
        <v>0</v>
      </c>
      <c r="R58" s="68">
        <f t="shared" si="27"/>
        <v>0</v>
      </c>
      <c r="S58" s="68">
        <f t="shared" si="27"/>
        <v>0</v>
      </c>
      <c r="T58" s="68">
        <f t="shared" si="27"/>
        <v>0</v>
      </c>
      <c r="U58" s="68">
        <f t="shared" si="27"/>
        <v>0</v>
      </c>
      <c r="V58" s="68">
        <f t="shared" si="27"/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23">
        <v>31</v>
      </c>
      <c r="B59" s="8" t="s">
        <v>194</v>
      </c>
      <c r="C59" s="70">
        <f>SUM(D59:V59)</f>
        <v>2545401</v>
      </c>
      <c r="D59" s="72">
        <f>SUMIFS('Unos rashoda i izdataka'!$L$3:$L$498,'Unos rashoda i izdataka'!$C$3:$C$498,"=11",'Unos rashoda i izdataka'!$P$3:$P$498,"=31")+SUMIFS('Unos rashoda P4'!$J$3:$J$492,'Unos rashoda P4'!$A$3:$A$492,"=11",'Unos rashoda P4'!$S$3:$S$492,"=31")</f>
        <v>2391731</v>
      </c>
      <c r="E59" s="72">
        <f>SUMIFS('Unos rashoda i izdataka'!$L$3:$L$498,'Unos rashoda i izdataka'!$C$3:$C$498,"=12",'Unos rashoda i izdataka'!$P$3:$P$498,"=31")+SUMIFS('Unos rashoda P4'!$J$3:$J$492,'Unos rashoda P4'!$A$3:$A$492,"=12",'Unos rashoda P4'!$S$3:$S$492,"=31")</f>
        <v>0</v>
      </c>
      <c r="F59" s="72">
        <f>SUMIFS('Unos rashoda i izdataka'!$L$3:$L$498,'Unos rashoda i izdataka'!$C$3:$C$498,"=31",'Unos rashoda i izdataka'!$P$3:$P$498,"=31")+SUMIFS('Unos rashoda P4'!$J$3:$J$492,'Unos rashoda P4'!$A$3:$A$492,"=31",'Unos rashoda P4'!$S$3:$S$492,"=31")</f>
        <v>115510</v>
      </c>
      <c r="G59" s="72">
        <f>SUMIFS('Unos rashoda i izdataka'!$L$3:$L$498,'Unos rashoda i izdataka'!$C$3:$C$498,"=41",'Unos rashoda i izdataka'!$P$3:$P$498,"=31")+SUMIFS('Unos rashoda P4'!$J$3:$J$492,'Unos rashoda P4'!$A$3:$A$492,"=41",'Unos rashoda P4'!$S$3:$S$492,"=31")</f>
        <v>0</v>
      </c>
      <c r="H59" s="72">
        <f>SUMIFS('Unos rashoda i izdataka'!$L$3:$L$498,'Unos rashoda i izdataka'!$C$3:$C$498,"=43",'Unos rashoda i izdataka'!$P$3:$P$498,"=31")+SUMIFS('Unos rashoda P4'!$J$3:$J$492,'Unos rashoda P4'!$A$3:$A$492,"=43",'Unos rashoda P4'!$S$3:$S$492,"=31")</f>
        <v>0</v>
      </c>
      <c r="I59" s="72">
        <f>SUMIFS('Unos rashoda i izdataka'!$L$3:$L$498,'Unos rashoda i izdataka'!$C$3:$C$498,"=51",'Unos rashoda i izdataka'!$P$3:$P$498,"=31")+SUMIFS('Unos rashoda P4'!$J$3:$J$492,'Unos rashoda P4'!$A$3:$A$492,"=51",'Unos rashoda P4'!$S$3:$S$492,"=31")</f>
        <v>0</v>
      </c>
      <c r="J59" s="72">
        <f>SUMIFS('Unos rashoda i izdataka'!$L$3:$L$498,'Unos rashoda i izdataka'!$C$3:$C$498,"=52",'Unos rashoda i izdataka'!$P$3:$P$498,"=31")+SUMIFS('Unos rashoda P4'!$J$3:$J$492,'Unos rashoda P4'!$A$3:$A$492,"=52",'Unos rashoda P4'!$S$3:$S$492,"=31")</f>
        <v>38160</v>
      </c>
      <c r="K59" s="72">
        <f>SUMIFS('Unos rashoda i izdataka'!$L$3:$L$498,'Unos rashoda i izdataka'!$C$3:$C$498,"=552",'Unos rashoda i izdataka'!$P$3:$P$498,"=31")+SUMIFS('Unos rashoda P4'!$J$3:$J$492,'Unos rashoda P4'!$A$3:$A$492,"=552",'Unos rashoda P4'!$S$3:$S$492,"=31")</f>
        <v>0</v>
      </c>
      <c r="L59" s="72">
        <f>SUMIFS('Unos rashoda i izdataka'!$L$3:$L$498,'Unos rashoda i izdataka'!$C$3:$C$498,"=559",'Unos rashoda i izdataka'!$P$3:$P$498,"=31")+SUMIFS('Unos rashoda P4'!$J$3:$J$492,'Unos rashoda P4'!$A$3:$A$492,"=559",'Unos rashoda P4'!$S$3:$S$492,"=31")</f>
        <v>0</v>
      </c>
      <c r="M59" s="72">
        <f>SUMIFS('Unos rashoda i izdataka'!$L$3:$L$498,'Unos rashoda i izdataka'!$C$3:$C$498,"=561",'Unos rashoda i izdataka'!$P$3:$P$498,"=31")+SUMIFS('Unos rashoda P4'!$J$3:$J$492,'Unos rashoda P4'!$A$3:$A$492,"=561",'Unos rashoda P4'!$S$3:$S$492,"=31")</f>
        <v>0</v>
      </c>
      <c r="N59" s="72">
        <f>SUMIFS('Unos rashoda i izdataka'!$L$3:$L$498,'Unos rashoda i izdataka'!$C$3:$C$498,"=563",'Unos rashoda i izdataka'!$P$3:$P$498,"=31")+SUMIFS('Unos rashoda P4'!$J$3:$J$492,'Unos rashoda P4'!$A$3:$A$492,"=563",'Unos rashoda P4'!$S$3:$S$492,"=31")</f>
        <v>0</v>
      </c>
      <c r="O59" s="72">
        <f>SUMIFS('Unos rashoda i izdataka'!$L$3:$L$498,'Unos rashoda i izdataka'!$C$3:$C$498,"=573",'Unos rashoda i izdataka'!$P$3:$P$498,"=31")+SUMIFS('Unos rashoda P4'!$J$3:$J$492,'Unos rashoda P4'!$A$3:$A$492,"=573",'Unos rashoda P4'!$S$3:$S$492,"=31")</f>
        <v>0</v>
      </c>
      <c r="P59" s="72">
        <f>SUMIFS('Unos rashoda i izdataka'!$L$3:$L$498,'Unos rashoda i izdataka'!$C$3:$C$498,"=575",'Unos rashoda i izdataka'!$P$3:$P$498,"=31")+SUMIFS('Unos rashoda P4'!$J$3:$J$492,'Unos rashoda P4'!$A$3:$A$492,"=575",'Unos rashoda P4'!$S$3:$S$492,"=31")</f>
        <v>0</v>
      </c>
      <c r="Q59" s="72">
        <f>SUMIFS('Unos rashoda i izdataka'!$L$3:$L$498,'Unos rashoda i izdataka'!$Q$3:$Q$498,"=576",'Unos rashoda i izdataka'!$P$3:$P$498,"=31")+SUMIFS('Unos rashoda P4'!$J$3:$J$492,'Unos rashoda P4'!$A$3:$A$492,"=576",'Unos rashoda P4'!$S$3:$S$492,"=31")</f>
        <v>0</v>
      </c>
      <c r="R59" s="72">
        <f>SUMIFS('Unos rashoda i izdataka'!$L$3:$L$498,'Unos rashoda i izdataka'!$C$3:$C$498,"=581",'Unos rashoda i izdataka'!$P$3:$P$498,"=31")+SUMIFS('Unos rashoda P4'!$J$3:$J$492,'Unos rashoda P4'!$A$3:$A$492,"=581",'Unos rashoda P4'!$S$3:$S$492,"=31")</f>
        <v>0</v>
      </c>
      <c r="S59" s="72">
        <f>SUMIFS('Unos rashoda i izdataka'!$L$3:$L$498,'Unos rashoda i izdataka'!$C$3:$C$498,"=61",'Unos rashoda i izdataka'!$P$3:$P$498,"=31")+SUMIFS('Unos rashoda P4'!$J$3:$J$492,'Unos rashoda P4'!$A$3:$A$492,"=61",'Unos rashoda P4'!$S$3:$S$492,"=31")</f>
        <v>0</v>
      </c>
      <c r="T59" s="72">
        <f>SUMIFS('Unos rashoda i izdataka'!$L$3:$L$498,'Unos rashoda i izdataka'!$C$3:$C$498,"=63",'Unos rashoda i izdataka'!$P$3:$P$498,"=31")+SUMIFS('Unos rashoda P4'!$J$3:$J$492,'Unos rashoda P4'!$A$3:$A$492,"=63",'Unos rashoda P4'!$S$3:$S$492,"=31")</f>
        <v>0</v>
      </c>
      <c r="U59" s="72">
        <f>SUMIFS('Unos rashoda i izdataka'!$L$3:$L$498,'Unos rashoda i izdataka'!$C$3:$C$498,"=71",'Unos rashoda i izdataka'!$P$3:$P$498,"=31")+SUMIFS('Unos rashoda P4'!$J$3:$J$492,'Unos rashoda P4'!$A$3:$A$492,"=71",'Unos rashoda P4'!$S$3:$S$492,"=31")</f>
        <v>0</v>
      </c>
      <c r="V59" s="72">
        <f>SUMIFS('Unos rashoda i izdataka'!$L$3:$L$498,'Unos rashoda i izdataka'!$C$3:$C$498,"=81",'Unos rashoda i izdataka'!$P$3:$P$498,"=31")+SUMIFS('Unos rashoda P4'!$J$3:$J$492,'Unos rashoda P4'!$A$3:$A$492,"=81",'Unos rashoda P4'!$S$3:$S$492,"=31")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23">
        <v>311</v>
      </c>
      <c r="B60" s="8" t="s">
        <v>5256</v>
      </c>
      <c r="C60" s="70">
        <f t="shared" ref="C60:C73" si="28">SUM(D60:V60)</f>
        <v>0</v>
      </c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23">
        <v>3111</v>
      </c>
      <c r="B61" s="8" t="s">
        <v>47</v>
      </c>
      <c r="C61" s="70">
        <f t="shared" si="28"/>
        <v>0</v>
      </c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23">
        <v>313</v>
      </c>
      <c r="B62" s="8" t="s">
        <v>5257</v>
      </c>
      <c r="C62" s="70">
        <f t="shared" si="28"/>
        <v>0</v>
      </c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23">
        <v>3132</v>
      </c>
      <c r="B63" s="8" t="s">
        <v>51</v>
      </c>
      <c r="C63" s="70">
        <f t="shared" si="28"/>
        <v>0</v>
      </c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24">
        <v>32</v>
      </c>
      <c r="B64" s="10" t="s">
        <v>195</v>
      </c>
      <c r="C64" s="70">
        <f t="shared" si="28"/>
        <v>2824388.9351819735</v>
      </c>
      <c r="D64" s="72">
        <f>SUMIFS('Unos rashoda i izdataka'!$L$3:$L$498,'Unos rashoda i izdataka'!$C$3:$C$498,"=11",'Unos rashoda i izdataka'!$P$3:$P$498,"=32")+SUMIFS('Unos rashoda P4'!$J$3:$J$492,'Unos rashoda P4'!$A$3:$A$492,"=11",'Unos rashoda P4'!$S$3:$S$492,"=32")</f>
        <v>905675</v>
      </c>
      <c r="E64" s="72">
        <f>SUMIFS('Unos rashoda i izdataka'!$L$3:$L$498,'Unos rashoda i izdataka'!$C$3:$C$498,"=12",'Unos rashoda i izdataka'!$P$3:$P$498,"=32")+SUMIFS('Unos rashoda P4'!$J$3:$J$492,'Unos rashoda P4'!$A$3:$A$492,"=12",'Unos rashoda P4'!$S$3:$S$492,"=32")</f>
        <v>114793.94228406961</v>
      </c>
      <c r="F64" s="72">
        <f>SUMIFS('Unos rashoda i izdataka'!$L$3:$L$498,'Unos rashoda i izdataka'!$C$3:$C$498,"=31",'Unos rashoda i izdataka'!$P$3:$P$498,"=32")+SUMIFS('Unos rashoda P4'!$J$3:$J$492,'Unos rashoda P4'!$A$3:$A$492,"=31",'Unos rashoda P4'!$S$3:$S$492,"=32")</f>
        <v>0</v>
      </c>
      <c r="G64" s="72">
        <f>SUMIFS('Unos rashoda i izdataka'!$L$3:$L$498,'Unos rashoda i izdataka'!$C$3:$C$498,"=41",'Unos rashoda i izdataka'!$P$3:$P$498,"=32")+SUMIFS('Unos rashoda P4'!$J$3:$J$492,'Unos rashoda P4'!$A$3:$A$492,"=41",'Unos rashoda P4'!$S$3:$S$492,"=32")</f>
        <v>0</v>
      </c>
      <c r="H64" s="72">
        <v>663700</v>
      </c>
      <c r="I64" s="72">
        <f>SUMIFS('Unos rashoda i izdataka'!$L$3:$L$498,'Unos rashoda i izdataka'!$C$3:$C$498,"=51",'Unos rashoda i izdataka'!$P$3:$P$498,"=32")+SUMIFS('Unos rashoda P4'!$J$3:$J$492,'Unos rashoda P4'!$A$3:$A$492,"=51",'Unos rashoda P4'!$S$3:$S$492,"=32")</f>
        <v>0</v>
      </c>
      <c r="J64" s="72">
        <f>SUMIFS('Unos rashoda i izdataka'!$L$3:$L$498,'Unos rashoda i izdataka'!$C$3:$C$498,"=52",'Unos rashoda i izdataka'!$P$3:$P$498,"=32")+SUMIFS('Unos rashoda P4'!$J$3:$J$492,'Unos rashoda P4'!$A$3:$A$492,"=52",'Unos rashoda P4'!$S$3:$S$492,"=32")</f>
        <v>328868</v>
      </c>
      <c r="K64" s="72">
        <f>SUMIFS('Unos rashoda i izdataka'!$L$3:$L$498,'Unos rashoda i izdataka'!$C$3:$C$498,"=552",'Unos rashoda i izdataka'!$P$3:$P$498,"=32")+SUMIFS('Unos rashoda P4'!$J$3:$J$492,'Unos rashoda P4'!$A$3:$A$492,"=552",'Unos rashoda P4'!$S$3:$S$492,"=32")</f>
        <v>0</v>
      </c>
      <c r="L64" s="72">
        <f>SUMIFS('Unos rashoda i izdataka'!$L$3:$L$498,'Unos rashoda i izdataka'!$C$3:$C$498,"=559",'Unos rashoda i izdataka'!$P$3:$P$498,"=32")+SUMIFS('Unos rashoda P4'!$J$3:$J$492,'Unos rashoda P4'!$A$3:$A$492,"=559",'Unos rashoda P4'!$S$3:$S$492,"=32")</f>
        <v>0</v>
      </c>
      <c r="M64" s="72">
        <f>SUMIFS('Unos rashoda i izdataka'!$L$3:$L$498,'Unos rashoda i izdataka'!$C$3:$C$498,"=561",'Unos rashoda i izdataka'!$P$3:$P$498,"=32")+SUMIFS('Unos rashoda P4'!$J$3:$J$492,'Unos rashoda P4'!$A$3:$A$492,"=561",'Unos rashoda P4'!$S$3:$S$492,"=32")</f>
        <v>0</v>
      </c>
      <c r="N64" s="72">
        <f>SUMIFS('Unos rashoda i izdataka'!$L$3:$L$498,'Unos rashoda i izdataka'!$C$3:$C$498,"=563",'Unos rashoda i izdataka'!$P$3:$P$498,"=32")+SUMIFS('Unos rashoda P4'!$J$3:$J$492,'Unos rashoda P4'!$A$3:$A$492,"=563",'Unos rashoda P4'!$S$3:$S$492,"=32")</f>
        <v>811351.99289790425</v>
      </c>
      <c r="O64" s="72">
        <f>SUMIFS('Unos rashoda i izdataka'!$L$3:$L$498,'Unos rashoda i izdataka'!$C$3:$C$498,"=573",'Unos rashoda i izdataka'!$P$3:$P$498,"=32")+SUMIFS('Unos rashoda P4'!$J$3:$J$492,'Unos rashoda P4'!$A$3:$A$492,"=573",'Unos rashoda P4'!$S$3:$S$492,"=32")</f>
        <v>0</v>
      </c>
      <c r="P64" s="72">
        <f>SUMIFS('Unos rashoda i izdataka'!$L$3:$L$498,'Unos rashoda i izdataka'!$C$3:$C$498,"=575",'Unos rashoda i izdataka'!$P$3:$P$498,"=32")+SUMIFS('Unos rashoda P4'!$J$3:$J$492,'Unos rashoda P4'!$A$3:$A$492,"=575",'Unos rashoda P4'!$S$3:$S$492,"=32")</f>
        <v>0</v>
      </c>
      <c r="Q64" s="72">
        <f>SUMIFS('Unos rashoda i izdataka'!$L$3:$L$498,'Unos rashoda i izdataka'!$Q$3:$Q$498,"=576",'Unos rashoda i izdataka'!$P$3:$P$498,"=32")+SUMIFS('Unos rashoda P4'!$J$3:$J$492,'Unos rashoda P4'!$A$3:$A$492,"=576",'Unos rashoda P4'!$S$3:$S$492,"=32")</f>
        <v>0</v>
      </c>
      <c r="R64" s="72">
        <f>SUMIFS('Unos rashoda i izdataka'!$L$3:$L$498,'Unos rashoda i izdataka'!$C$3:$C$498,"=581",'Unos rashoda i izdataka'!$P$3:$P$498,"=32")+SUMIFS('Unos rashoda P4'!$J$3:$J$492,'Unos rashoda P4'!$A$3:$A$492,"=581",'Unos rashoda P4'!$S$3:$S$492,"=32")</f>
        <v>0</v>
      </c>
      <c r="S64" s="72">
        <f>SUMIFS('Unos rashoda i izdataka'!$L$3:$L$498,'Unos rashoda i izdataka'!$C$3:$C$498,"=61",'Unos rashoda i izdataka'!$P$3:$P$498,"=32")+SUMIFS('Unos rashoda P4'!$J$3:$J$492,'Unos rashoda P4'!$A$3:$A$492,"=61",'Unos rashoda P4'!$S$3:$S$492,"=32")</f>
        <v>0</v>
      </c>
      <c r="T64" s="72">
        <f>SUMIFS('Unos rashoda i izdataka'!$L$3:$L$498,'Unos rashoda i izdataka'!$C$3:$C$498,"=63",'Unos rashoda i izdataka'!$P$3:$P$498,"=32")+SUMIFS('Unos rashoda P4'!$J$3:$J$492,'Unos rashoda P4'!$A$3:$A$492,"=63",'Unos rashoda P4'!$S$3:$S$492,"=32")</f>
        <v>0</v>
      </c>
      <c r="U64" s="72">
        <f>SUMIFS('Unos rashoda i izdataka'!$L$3:$L$498,'Unos rashoda i izdataka'!$C$3:$C$498,"=71",'Unos rashoda i izdataka'!$P$3:$P$498,"=32")+SUMIFS('Unos rashoda P4'!$J$3:$J$492,'Unos rashoda P4'!$A$3:$A$492,"=71",'Unos rashoda P4'!$S$3:$S$492,"=32")</f>
        <v>0</v>
      </c>
      <c r="V64" s="72">
        <f>SUMIFS('Unos rashoda i izdataka'!$L$3:$L$498,'Unos rashoda i izdataka'!$C$3:$C$498,"=81",'Unos rashoda i izdataka'!$P$3:$P$498,"=32")+SUMIFS('Unos rashoda P4'!$J$3:$J$492,'Unos rashoda P4'!$A$3:$A$492,"=81",'Unos rashoda P4'!$S$3:$S$492,"=32")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24"/>
      <c r="B65" s="10"/>
      <c r="C65" s="70">
        <f t="shared" si="28"/>
        <v>0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24"/>
      <c r="B66" s="10"/>
      <c r="C66" s="70">
        <f t="shared" si="28"/>
        <v>0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24"/>
      <c r="B67" s="10"/>
      <c r="C67" s="70">
        <f t="shared" si="28"/>
        <v>0</v>
      </c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24"/>
      <c r="B68" s="10"/>
      <c r="C68" s="70">
        <f t="shared" si="28"/>
        <v>0</v>
      </c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24">
        <v>34</v>
      </c>
      <c r="B69" s="10" t="s">
        <v>196</v>
      </c>
      <c r="C69" s="70">
        <f t="shared" si="28"/>
        <v>18250</v>
      </c>
      <c r="D69" s="72">
        <f>SUMIFS('Unos rashoda i izdataka'!$L$3:$L$498,'Unos rashoda i izdataka'!$C$3:$C$498,"=11",'Unos rashoda i izdataka'!$P$3:$P$498,"=34")+SUMIFS('Unos rashoda P4'!$J$3:$J$492,'Unos rashoda P4'!$A$3:$A$492,"=11",'Unos rashoda P4'!$S$3:$S$492,"=34")</f>
        <v>18150</v>
      </c>
      <c r="E69" s="72">
        <f>SUMIFS('Unos rashoda i izdataka'!$L$3:$L$498,'Unos rashoda i izdataka'!$C$3:$C$498,"=12",'Unos rashoda i izdataka'!$P$3:$P$498,"=34")+SUMIFS('Unos rashoda P4'!$J$3:$J$492,'Unos rashoda P4'!$A$3:$A$492,"=12",'Unos rashoda P4'!$S$3:$S$492,"=34")</f>
        <v>0</v>
      </c>
      <c r="F69" s="72">
        <f>SUMIFS('Unos rashoda i izdataka'!$L$3:$L$498,'Unos rashoda i izdataka'!$C$3:$C$498,"=31",'Unos rashoda i izdataka'!$P$3:$P$498,"=34")+SUMIFS('Unos rashoda P4'!$J$3:$J$492,'Unos rashoda P4'!$A$3:$A$492,"=31",'Unos rashoda P4'!$S$3:$S$492,"=34")</f>
        <v>0</v>
      </c>
      <c r="G69" s="72">
        <f>SUMIFS('Unos rashoda i izdataka'!$L$3:$L$498,'Unos rashoda i izdataka'!$C$3:$C$498,"=41",'Unos rashoda i izdataka'!$P$3:$P$498,"=34")+SUMIFS('Unos rashoda P4'!$J$3:$J$492,'Unos rashoda P4'!$A$3:$A$492,"=41",'Unos rashoda P4'!$S$3:$S$492,"=34")</f>
        <v>0</v>
      </c>
      <c r="H69" s="72">
        <f>SUMIFS('Unos rashoda i izdataka'!$L$3:$L$498,'Unos rashoda i izdataka'!$C$3:$C$498,"=43",'Unos rashoda i izdataka'!$P$3:$P$498,"=34")+SUMIFS('Unos rashoda P4'!$J$3:$J$492,'Unos rashoda P4'!$A$3:$A$492,"=43",'Unos rashoda P4'!$S$3:$S$492,"=34")</f>
        <v>100</v>
      </c>
      <c r="I69" s="72">
        <f>SUMIFS('Unos rashoda i izdataka'!$L$3:$L$498,'Unos rashoda i izdataka'!$C$3:$C$498,"=51",'Unos rashoda i izdataka'!$P$3:$P$498,"=34")+SUMIFS('Unos rashoda P4'!$J$3:$J$492,'Unos rashoda P4'!$A$3:$A$492,"=51",'Unos rashoda P4'!$S$3:$S$492,"=34")</f>
        <v>0</v>
      </c>
      <c r="J69" s="72">
        <f>SUMIFS('Unos rashoda i izdataka'!$L$3:$L$498,'Unos rashoda i izdataka'!$C$3:$C$498,"=52",'Unos rashoda i izdataka'!$P$3:$P$498,"=34")+SUMIFS('Unos rashoda P4'!$J$3:$J$492,'Unos rashoda P4'!$A$3:$A$492,"=52",'Unos rashoda P4'!$S$3:$S$492,"=34")</f>
        <v>0</v>
      </c>
      <c r="K69" s="72">
        <f>SUMIFS('Unos rashoda i izdataka'!$L$3:$L$498,'Unos rashoda i izdataka'!$C$3:$C$498,"=552",'Unos rashoda i izdataka'!$P$3:$P$498,"=34")+SUMIFS('Unos rashoda P4'!$J$3:$J$492,'Unos rashoda P4'!$A$3:$A$492,"=552",'Unos rashoda P4'!$S$3:$S$492,"=34")</f>
        <v>0</v>
      </c>
      <c r="L69" s="72">
        <f>SUMIFS('Unos rashoda i izdataka'!$L$3:$L$498,'Unos rashoda i izdataka'!$C$3:$C$498,"=559",'Unos rashoda i izdataka'!$P$3:$P$498,"=34")+SUMIFS('Unos rashoda P4'!$J$3:$J$492,'Unos rashoda P4'!$A$3:$A$492,"=559",'Unos rashoda P4'!$S$3:$S$492,"=34")</f>
        <v>0</v>
      </c>
      <c r="M69" s="72">
        <f>SUMIFS('Unos rashoda i izdataka'!$L$3:$L$498,'Unos rashoda i izdataka'!$C$3:$C$498,"=561",'Unos rashoda i izdataka'!$P$3:$P$498,"=34")+SUMIFS('Unos rashoda P4'!$J$3:$J$492,'Unos rashoda P4'!$A$3:$A$492,"=561",'Unos rashoda P4'!$S$3:$S$492,"=34")</f>
        <v>0</v>
      </c>
      <c r="N69" s="72">
        <f>SUMIFS('Unos rashoda i izdataka'!$L$3:$L$498,'Unos rashoda i izdataka'!$C$3:$C$498,"=563",'Unos rashoda i izdataka'!$P$3:$P$498,"=34")+SUMIFS('Unos rashoda P4'!$J$3:$J$492,'Unos rashoda P4'!$A$3:$A$492,"=563",'Unos rashoda P4'!$S$3:$S$492,"=34")</f>
        <v>0</v>
      </c>
      <c r="O69" s="72">
        <f>SUMIFS('Unos rashoda i izdataka'!$L$3:$L$498,'Unos rashoda i izdataka'!$C$3:$C$498,"=573",'Unos rashoda i izdataka'!$P$3:$P$498,"=34")+SUMIFS('Unos rashoda P4'!$J$3:$J$492,'Unos rashoda P4'!$A$3:$A$492,"=573",'Unos rashoda P4'!$S$3:$S$492,"=34")</f>
        <v>0</v>
      </c>
      <c r="P69" s="72">
        <f>SUMIFS('Unos rashoda i izdataka'!$L$3:$L$498,'Unos rashoda i izdataka'!$C$3:$C$498,"=575",'Unos rashoda i izdataka'!$P$3:$P$498,"=34")+SUMIFS('Unos rashoda P4'!$J$3:$J$492,'Unos rashoda P4'!$A$3:$A$492,"=575",'Unos rashoda P4'!$S$3:$S$492,"=34")</f>
        <v>0</v>
      </c>
      <c r="Q69" s="72">
        <f>SUMIFS('Unos rashoda i izdataka'!$L$3:$L$498,'Unos rashoda i izdataka'!$Q$3:$Q$498,"=576",'Unos rashoda i izdataka'!$P$3:$P$498,"=34")+SUMIFS('Unos rashoda P4'!$J$3:$J$492,'Unos rashoda P4'!$A$3:$A$492,"=576",'Unos rashoda P4'!$S$3:$S$492,"=34")</f>
        <v>0</v>
      </c>
      <c r="R69" s="72">
        <f>SUMIFS('Unos rashoda i izdataka'!$L$3:$L$498,'Unos rashoda i izdataka'!$C$3:$C$498,"=581",'Unos rashoda i izdataka'!$P$3:$P$498,"=34")+SUMIFS('Unos rashoda P4'!$J$3:$J$492,'Unos rashoda P4'!$A$3:$A$492,"=581",'Unos rashoda P4'!$S$3:$S$492,"=34")</f>
        <v>0</v>
      </c>
      <c r="S69" s="72">
        <f>SUMIFS('Unos rashoda i izdataka'!$L$3:$L$498,'Unos rashoda i izdataka'!$C$3:$C$498,"=61",'Unos rashoda i izdataka'!$P$3:$P$498,"=34")+SUMIFS('Unos rashoda P4'!$J$3:$J$492,'Unos rashoda P4'!$A$3:$A$492,"=61",'Unos rashoda P4'!$S$3:$S$492,"=34")</f>
        <v>0</v>
      </c>
      <c r="T69" s="72">
        <f>SUMIFS('Unos rashoda i izdataka'!$L$3:$L$498,'Unos rashoda i izdataka'!$C$3:$C$498,"=63",'Unos rashoda i izdataka'!$P$3:$P$498,"=34")+SUMIFS('Unos rashoda P4'!$J$3:$J$492,'Unos rashoda P4'!$A$3:$A$492,"=63",'Unos rashoda P4'!$S$3:$S$492,"=34")</f>
        <v>0</v>
      </c>
      <c r="U69" s="72">
        <f>SUMIFS('Unos rashoda i izdataka'!$L$3:$L$498,'Unos rashoda i izdataka'!$C$3:$C$498,"=71",'Unos rashoda i izdataka'!$P$3:$P$498,"=34")+SUMIFS('Unos rashoda P4'!$J$3:$J$492,'Unos rashoda P4'!$A$3:$A$492,"=71",'Unos rashoda P4'!$S$3:$S$492,"=34")</f>
        <v>0</v>
      </c>
      <c r="V69" s="72">
        <f>SUMIFS('Unos rashoda i izdataka'!$L$3:$L$498,'Unos rashoda i izdataka'!$C$3:$C$498,"=81",'Unos rashoda i izdataka'!$P$3:$P$498,"=34")+SUMIFS('Unos rashoda P4'!$J$3:$J$492,'Unos rashoda P4'!$A$3:$A$492,"=81",'Unos rashoda P4'!$S$3:$S$492,"=34")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24">
        <v>35</v>
      </c>
      <c r="B70" s="10" t="s">
        <v>248</v>
      </c>
      <c r="C70" s="70">
        <f t="shared" si="28"/>
        <v>0</v>
      </c>
      <c r="D70" s="72">
        <f>SUMIFS('Unos rashoda i izdataka'!$L$3:$L$498,'Unos rashoda i izdataka'!$C$3:$C$498,"=11",'Unos rashoda i izdataka'!$P$3:$P$498,"=35")+SUMIFS('Unos rashoda P4'!$J$3:$J$492,'Unos rashoda P4'!$A$3:$A$492,"=11",'Unos rashoda P4'!$S$3:$S$492,"=35")</f>
        <v>0</v>
      </c>
      <c r="E70" s="72">
        <f>SUMIFS('Unos rashoda i izdataka'!$L$3:$L$498,'Unos rashoda i izdataka'!$C$3:$C$498,"=12",'Unos rashoda i izdataka'!$P$3:$P$498,"=35")+SUMIFS('Unos rashoda P4'!$J$3:$J$492,'Unos rashoda P4'!$A$3:$A$492,"=12",'Unos rashoda P4'!$S$3:$S$492,"=35")</f>
        <v>0</v>
      </c>
      <c r="F70" s="72">
        <f>SUMIFS('Unos rashoda i izdataka'!$L$3:$L$498,'Unos rashoda i izdataka'!$C$3:$C$498,"=31",'Unos rashoda i izdataka'!$P$3:$P$498,"=35")+SUMIFS('Unos rashoda P4'!$J$3:$J$492,'Unos rashoda P4'!$A$3:$A$492,"=31",'Unos rashoda P4'!$S$3:$S$492,"=35")</f>
        <v>0</v>
      </c>
      <c r="G70" s="72">
        <f>SUMIFS('Unos rashoda i izdataka'!$L$3:$L$498,'Unos rashoda i izdataka'!$C$3:$C$498,"=41",'Unos rashoda i izdataka'!$P$3:$P$498,"=35")+SUMIFS('Unos rashoda P4'!$J$3:$J$492,'Unos rashoda P4'!$A$3:$A$492,"=41",'Unos rashoda P4'!$S$3:$S$492,"=35")</f>
        <v>0</v>
      </c>
      <c r="H70" s="72">
        <f>SUMIFS('Unos rashoda i izdataka'!$L$3:$L$498,'Unos rashoda i izdataka'!$C$3:$C$498,"=43",'Unos rashoda i izdataka'!$P$3:$P$498,"=35")+SUMIFS('Unos rashoda P4'!$J$3:$J$492,'Unos rashoda P4'!$A$3:$A$492,"=43",'Unos rashoda P4'!$S$3:$S$492,"=35")</f>
        <v>0</v>
      </c>
      <c r="I70" s="72">
        <f>SUMIFS('Unos rashoda i izdataka'!$L$3:$L$498,'Unos rashoda i izdataka'!$C$3:$C$498,"=51",'Unos rashoda i izdataka'!$P$3:$P$498,"=35")+SUMIFS('Unos rashoda P4'!$J$3:$J$492,'Unos rashoda P4'!$A$3:$A$492,"=51",'Unos rashoda P4'!$S$3:$S$492,"=35")</f>
        <v>0</v>
      </c>
      <c r="J70" s="72">
        <f>SUMIFS('Unos rashoda i izdataka'!$L$3:$L$498,'Unos rashoda i izdataka'!$C$3:$C$498,"=52",'Unos rashoda i izdataka'!$P$3:$P$498,"=35")+SUMIFS('Unos rashoda P4'!$J$3:$J$492,'Unos rashoda P4'!$A$3:$A$492,"=52",'Unos rashoda P4'!$S$3:$S$492,"=35")</f>
        <v>0</v>
      </c>
      <c r="K70" s="72">
        <f>SUMIFS('Unos rashoda i izdataka'!$L$3:$L$498,'Unos rashoda i izdataka'!$C$3:$C$498,"=552",'Unos rashoda i izdataka'!$P$3:$P$498,"=35")+SUMIFS('Unos rashoda P4'!$J$3:$J$492,'Unos rashoda P4'!$A$3:$A$492,"=552",'Unos rashoda P4'!$S$3:$S$492,"=35")</f>
        <v>0</v>
      </c>
      <c r="L70" s="72">
        <f>SUMIFS('Unos rashoda i izdataka'!$L$3:$L$498,'Unos rashoda i izdataka'!$C$3:$C$498,"=559",'Unos rashoda i izdataka'!$P$3:$P$498,"=35")+SUMIFS('Unos rashoda P4'!$J$3:$J$492,'Unos rashoda P4'!$A$3:$A$492,"=559",'Unos rashoda P4'!$S$3:$S$492,"=35")</f>
        <v>0</v>
      </c>
      <c r="M70" s="72">
        <f>SUMIFS('Unos rashoda i izdataka'!$L$3:$L$498,'Unos rashoda i izdataka'!$C$3:$C$498,"=561",'Unos rashoda i izdataka'!$P$3:$P$498,"=35")+SUMIFS('Unos rashoda P4'!$J$3:$J$492,'Unos rashoda P4'!$A$3:$A$492,"=561",'Unos rashoda P4'!$S$3:$S$492,"=35")</f>
        <v>0</v>
      </c>
      <c r="N70" s="72">
        <f>SUMIFS('Unos rashoda i izdataka'!$L$3:$L$498,'Unos rashoda i izdataka'!$C$3:$C$498,"=563",'Unos rashoda i izdataka'!$P$3:$P$498,"=35")+SUMIFS('Unos rashoda P4'!$J$3:$J$492,'Unos rashoda P4'!$A$3:$A$492,"=563",'Unos rashoda P4'!$S$3:$S$492,"=35")</f>
        <v>0</v>
      </c>
      <c r="O70" s="72">
        <f>SUMIFS('Unos rashoda i izdataka'!$L$3:$L$498,'Unos rashoda i izdataka'!$C$3:$C$498,"=573",'Unos rashoda i izdataka'!$P$3:$P$498,"=35")+SUMIFS('Unos rashoda P4'!$J$3:$J$492,'Unos rashoda P4'!$A$3:$A$492,"=573",'Unos rashoda P4'!$S$3:$S$492,"=35")</f>
        <v>0</v>
      </c>
      <c r="P70" s="72">
        <f>SUMIFS('Unos rashoda i izdataka'!$L$3:$L$498,'Unos rashoda i izdataka'!$C$3:$C$498,"=575",'Unos rashoda i izdataka'!$P$3:$P$498,"=35")+SUMIFS('Unos rashoda P4'!$J$3:$J$492,'Unos rashoda P4'!$A$3:$A$492,"=575",'Unos rashoda P4'!$S$3:$S$492,"=35")</f>
        <v>0</v>
      </c>
      <c r="Q70" s="72">
        <f>SUMIFS('Unos rashoda i izdataka'!$L$3:$L$498,'Unos rashoda i izdataka'!$Q$3:$Q$498,"=576",'Unos rashoda i izdataka'!$P$3:$P$498,"=35")+SUMIFS('Unos rashoda P4'!$J$3:$J$492,'Unos rashoda P4'!$A$3:$A$492,"=576",'Unos rashoda P4'!$S$3:$S$492,"=35")</f>
        <v>0</v>
      </c>
      <c r="R70" s="72">
        <f>SUMIFS('Unos rashoda i izdataka'!$L$3:$L$498,'Unos rashoda i izdataka'!$C$3:$C$498,"=581",'Unos rashoda i izdataka'!$P$3:$P$498,"=35")+SUMIFS('Unos rashoda P4'!$J$3:$J$492,'Unos rashoda P4'!$A$3:$A$492,"=581",'Unos rashoda P4'!$S$3:$S$492,"=35")</f>
        <v>0</v>
      </c>
      <c r="S70" s="72">
        <f>SUMIFS('Unos rashoda i izdataka'!$L$3:$L$498,'Unos rashoda i izdataka'!$C$3:$C$498,"=61",'Unos rashoda i izdataka'!$P$3:$P$498,"=35")+SUMIFS('Unos rashoda P4'!$J$3:$J$492,'Unos rashoda P4'!$A$3:$A$492,"=61",'Unos rashoda P4'!$S$3:$S$492,"=35")</f>
        <v>0</v>
      </c>
      <c r="T70" s="72">
        <f>SUMIFS('Unos rashoda i izdataka'!$L$3:$L$498,'Unos rashoda i izdataka'!$C$3:$C$498,"=63",'Unos rashoda i izdataka'!$P$3:$P$498,"=35")+SUMIFS('Unos rashoda P4'!$J$3:$J$492,'Unos rashoda P4'!$A$3:$A$492,"=63",'Unos rashoda P4'!$S$3:$S$492,"=35")</f>
        <v>0</v>
      </c>
      <c r="U70" s="72">
        <f>SUMIFS('Unos rashoda i izdataka'!$L$3:$L$498,'Unos rashoda i izdataka'!$C$3:$C$498,"=71",'Unos rashoda i izdataka'!$P$3:$P$498,"=35")+SUMIFS('Unos rashoda P4'!$J$3:$J$492,'Unos rashoda P4'!$A$3:$A$492,"=71",'Unos rashoda P4'!$S$3:$S$492,"=35")</f>
        <v>0</v>
      </c>
      <c r="V70" s="72">
        <f>SUMIFS('Unos rashoda i izdataka'!$L$3:$L$498,'Unos rashoda i izdataka'!$C$3:$C$498,"=81",'Unos rashoda i izdataka'!$P$3:$P$498,"=35")+SUMIFS('Unos rashoda P4'!$J$3:$J$492,'Unos rashoda P4'!$A$3:$A$492,"=81",'Unos rashoda P4'!$S$3:$S$492,"=35")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24">
        <v>36</v>
      </c>
      <c r="B71" s="12" t="s">
        <v>197</v>
      </c>
      <c r="C71" s="70">
        <f t="shared" si="28"/>
        <v>167098</v>
      </c>
      <c r="D71" s="72">
        <f>SUMIFS('Unos rashoda i izdataka'!$L$3:$L$498,'Unos rashoda i izdataka'!$C$3:$C$498,"=11",'Unos rashoda i izdataka'!$P$3:$P$498,"=36")+SUMIFS('Unos rashoda P4'!$J$3:$J$492,'Unos rashoda P4'!$A$3:$A$492,"=11",'Unos rashoda P4'!$S$3:$S$492,"=36")</f>
        <v>0</v>
      </c>
      <c r="E71" s="72">
        <f>SUMIFS('Unos rashoda i izdataka'!$L$3:$L$498,'Unos rashoda i izdataka'!$C$3:$C$498,"=12",'Unos rashoda i izdataka'!$P$3:$P$498,"=36")+SUMIFS('Unos rashoda P4'!$J$3:$J$492,'Unos rashoda P4'!$A$3:$A$492,"=12",'Unos rashoda P4'!$S$3:$S$492,"=36")</f>
        <v>0</v>
      </c>
      <c r="F71" s="72">
        <f>SUMIFS('Unos rashoda i izdataka'!$L$3:$L$498,'Unos rashoda i izdataka'!$C$3:$C$498,"=31",'Unos rashoda i izdataka'!$P$3:$P$498,"=36")+SUMIFS('Unos rashoda P4'!$J$3:$J$492,'Unos rashoda P4'!$A$3:$A$492,"=31",'Unos rashoda P4'!$S$3:$S$492,"=36")</f>
        <v>0</v>
      </c>
      <c r="G71" s="72">
        <f>SUMIFS('Unos rashoda i izdataka'!$L$3:$L$498,'Unos rashoda i izdataka'!$C$3:$C$498,"=41",'Unos rashoda i izdataka'!$P$3:$P$498,"=36")+SUMIFS('Unos rashoda P4'!$J$3:$J$492,'Unos rashoda P4'!$A$3:$A$492,"=41",'Unos rashoda P4'!$S$3:$S$492,"=36")</f>
        <v>0</v>
      </c>
      <c r="H71" s="72">
        <f>SUMIFS('Unos rashoda i izdataka'!$L$3:$L$498,'Unos rashoda i izdataka'!$C$3:$C$498,"=43",'Unos rashoda i izdataka'!$P$3:$P$498,"=36")+SUMIFS('Unos rashoda P4'!$J$3:$J$492,'Unos rashoda P4'!$A$3:$A$492,"=43",'Unos rashoda P4'!$S$3:$S$492,"=36")</f>
        <v>0</v>
      </c>
      <c r="I71" s="72">
        <f>SUMIFS('Unos rashoda i izdataka'!$L$3:$L$498,'Unos rashoda i izdataka'!$C$3:$C$498,"=51",'Unos rashoda i izdataka'!$P$3:$P$498,"=36")+SUMIFS('Unos rashoda P4'!$J$3:$J$492,'Unos rashoda P4'!$A$3:$A$492,"=51",'Unos rashoda P4'!$S$3:$S$492,"=36")</f>
        <v>0</v>
      </c>
      <c r="J71" s="72">
        <f>SUMIFS('Unos rashoda i izdataka'!$L$3:$L$498,'Unos rashoda i izdataka'!$C$3:$C$498,"=52",'Unos rashoda i izdataka'!$P$3:$P$498,"=36")+SUMIFS('Unos rashoda P4'!$J$3:$J$492,'Unos rashoda P4'!$A$3:$A$492,"=52",'Unos rashoda P4'!$S$3:$S$492,"=36")</f>
        <v>167098</v>
      </c>
      <c r="K71" s="72">
        <f>SUMIFS('Unos rashoda i izdataka'!$L$3:$L$498,'Unos rashoda i izdataka'!$C$3:$C$498,"=552",'Unos rashoda i izdataka'!$P$3:$P$498,"=36")+SUMIFS('Unos rashoda P4'!$J$3:$J$492,'Unos rashoda P4'!$A$3:$A$492,"=552",'Unos rashoda P4'!$S$3:$S$492,"=36")</f>
        <v>0</v>
      </c>
      <c r="L71" s="72">
        <f>SUMIFS('Unos rashoda i izdataka'!$L$3:$L$498,'Unos rashoda i izdataka'!$C$3:$C$498,"=559",'Unos rashoda i izdataka'!$P$3:$P$498,"=36")+SUMIFS('Unos rashoda P4'!$J$3:$J$492,'Unos rashoda P4'!$A$3:$A$492,"=559",'Unos rashoda P4'!$S$3:$S$492,"=36")</f>
        <v>0</v>
      </c>
      <c r="M71" s="72">
        <f>SUMIFS('Unos rashoda i izdataka'!$L$3:$L$498,'Unos rashoda i izdataka'!$C$3:$C$498,"=561",'Unos rashoda i izdataka'!$P$3:$P$498,"=36")+SUMIFS('Unos rashoda P4'!$J$3:$J$492,'Unos rashoda P4'!$A$3:$A$492,"=561",'Unos rashoda P4'!$S$3:$S$492,"=36")</f>
        <v>0</v>
      </c>
      <c r="N71" s="72">
        <f>SUMIFS('Unos rashoda i izdataka'!$L$3:$L$498,'Unos rashoda i izdataka'!$C$3:$C$498,"=563",'Unos rashoda i izdataka'!$P$3:$P$498,"=36")+SUMIFS('Unos rashoda P4'!$J$3:$J$492,'Unos rashoda P4'!$A$3:$A$492,"=563",'Unos rashoda P4'!$S$3:$S$492,"=36")</f>
        <v>0</v>
      </c>
      <c r="O71" s="72">
        <f>SUMIFS('Unos rashoda i izdataka'!$L$3:$L$498,'Unos rashoda i izdataka'!$C$3:$C$498,"=573",'Unos rashoda i izdataka'!$P$3:$P$498,"=36")+SUMIFS('Unos rashoda P4'!$J$3:$J$492,'Unos rashoda P4'!$A$3:$A$492,"=573",'Unos rashoda P4'!$S$3:$S$492,"=36")</f>
        <v>0</v>
      </c>
      <c r="P71" s="72">
        <f>SUMIFS('Unos rashoda i izdataka'!$L$3:$L$498,'Unos rashoda i izdataka'!$C$3:$C$498,"=575",'Unos rashoda i izdataka'!$P$3:$P$498,"=36")+SUMIFS('Unos rashoda P4'!$J$3:$J$492,'Unos rashoda P4'!$A$3:$A$492,"=575",'Unos rashoda P4'!$S$3:$S$492,"=36")</f>
        <v>0</v>
      </c>
      <c r="Q71" s="72">
        <f>SUMIFS('Unos rashoda i izdataka'!$L$3:$L$498,'Unos rashoda i izdataka'!$Q$3:$Q$498,"=576",'Unos rashoda i izdataka'!$P$3:$P$498,"=36")+SUMIFS('Unos rashoda P4'!$J$3:$J$492,'Unos rashoda P4'!$A$3:$A$492,"=576",'Unos rashoda P4'!$S$3:$S$492,"=36")</f>
        <v>0</v>
      </c>
      <c r="R71" s="72">
        <f>SUMIFS('Unos rashoda i izdataka'!$L$3:$L$498,'Unos rashoda i izdataka'!$C$3:$C$498,"=581",'Unos rashoda i izdataka'!$P$3:$P$498,"=36")+SUMIFS('Unos rashoda P4'!$J$3:$J$492,'Unos rashoda P4'!$A$3:$A$492,"=581",'Unos rashoda P4'!$S$3:$S$492,"=36")</f>
        <v>0</v>
      </c>
      <c r="S71" s="72">
        <f>SUMIFS('Unos rashoda i izdataka'!$L$3:$L$498,'Unos rashoda i izdataka'!$C$3:$C$498,"=61",'Unos rashoda i izdataka'!$P$3:$P$498,"=36")+SUMIFS('Unos rashoda P4'!$J$3:$J$492,'Unos rashoda P4'!$A$3:$A$492,"=61",'Unos rashoda P4'!$S$3:$S$492,"=36")</f>
        <v>0</v>
      </c>
      <c r="T71" s="72">
        <f>SUMIFS('Unos rashoda i izdataka'!$L$3:$L$498,'Unos rashoda i izdataka'!$C$3:$C$498,"=63",'Unos rashoda i izdataka'!$P$3:$P$498,"=36")+SUMIFS('Unos rashoda P4'!$J$3:$J$492,'Unos rashoda P4'!$A$3:$A$492,"=63",'Unos rashoda P4'!$S$3:$S$492,"=36")</f>
        <v>0</v>
      </c>
      <c r="U71" s="72">
        <f>SUMIFS('Unos rashoda i izdataka'!$L$3:$L$498,'Unos rashoda i izdataka'!$C$3:$C$498,"=71",'Unos rashoda i izdataka'!$P$3:$P$498,"=36")+SUMIFS('Unos rashoda P4'!$J$3:$J$492,'Unos rashoda P4'!$A$3:$A$492,"=71",'Unos rashoda P4'!$S$3:$S$492,"=36")</f>
        <v>0</v>
      </c>
      <c r="V71" s="72">
        <f>SUMIFS('Unos rashoda i izdataka'!$L$3:$L$498,'Unos rashoda i izdataka'!$C$3:$C$498,"=81",'Unos rashoda i izdataka'!$P$3:$P$498,"=36")+SUMIFS('Unos rashoda P4'!$J$3:$J$492,'Unos rashoda P4'!$A$3:$A$492,"=81",'Unos rashoda P4'!$S$3:$S$492,"=36")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24">
        <v>37</v>
      </c>
      <c r="B72" s="10" t="s">
        <v>249</v>
      </c>
      <c r="C72" s="70">
        <f t="shared" si="28"/>
        <v>565005</v>
      </c>
      <c r="D72" s="72">
        <f>SUMIFS('Unos rashoda i izdataka'!$L$3:$L$498,'Unos rashoda i izdataka'!$C$3:$C$498,"=11",'Unos rashoda i izdataka'!$P$3:$P$498,"=37")+SUMIFS('Unos rashoda P4'!$J$3:$J$492,'Unos rashoda P4'!$A$3:$A$492,"=11",'Unos rashoda P4'!$S$3:$S$492,"=37")</f>
        <v>150000</v>
      </c>
      <c r="E72" s="72">
        <f>SUMIFS('Unos rashoda i izdataka'!$L$3:$L$498,'Unos rashoda i izdataka'!$C$3:$C$498,"=12",'Unos rashoda i izdataka'!$P$3:$P$498,"=37")+SUMIFS('Unos rashoda P4'!$J$3:$J$492,'Unos rashoda P4'!$A$3:$A$492,"=12",'Unos rashoda P4'!$S$3:$S$492,"=37")</f>
        <v>0</v>
      </c>
      <c r="F72" s="72">
        <f>SUMIFS('Unos rashoda i izdataka'!$L$3:$L$498,'Unos rashoda i izdataka'!$C$3:$C$498,"=31",'Unos rashoda i izdataka'!$P$3:$P$498,"=37")+SUMIFS('Unos rashoda P4'!$J$3:$J$492,'Unos rashoda P4'!$A$3:$A$492,"=31",'Unos rashoda P4'!$S$3:$S$492,"=37")</f>
        <v>0</v>
      </c>
      <c r="G72" s="72">
        <f>SUMIFS('Unos rashoda i izdataka'!$L$3:$L$498,'Unos rashoda i izdataka'!$C$3:$C$498,"=41",'Unos rashoda i izdataka'!$P$3:$P$498,"=37")+SUMIFS('Unos rashoda P4'!$J$3:$J$492,'Unos rashoda P4'!$A$3:$A$492,"=41",'Unos rashoda P4'!$S$3:$S$492,"=37")</f>
        <v>0</v>
      </c>
      <c r="H72" s="72">
        <f>SUMIFS('Unos rashoda i izdataka'!$L$3:$L$498,'Unos rashoda i izdataka'!$C$3:$C$498,"=43",'Unos rashoda i izdataka'!$P$3:$P$498,"=37")+SUMIFS('Unos rashoda P4'!$J$3:$J$492,'Unos rashoda P4'!$A$3:$A$492,"=43",'Unos rashoda P4'!$S$3:$S$492,"=37")</f>
        <v>15000</v>
      </c>
      <c r="I72" s="72">
        <f>SUMIFS('Unos rashoda i izdataka'!$L$3:$L$498,'Unos rashoda i izdataka'!$C$3:$C$498,"=51",'Unos rashoda i izdataka'!$P$3:$P$498,"=37")+SUMIFS('Unos rashoda P4'!$J$3:$J$492,'Unos rashoda P4'!$A$3:$A$492,"=51",'Unos rashoda P4'!$S$3:$S$492,"=37")</f>
        <v>0</v>
      </c>
      <c r="J72" s="72">
        <f>SUMIFS('Unos rashoda i izdataka'!$L$3:$L$498,'Unos rashoda i izdataka'!$C$3:$C$498,"=52",'Unos rashoda i izdataka'!$P$3:$P$498,"=37")+SUMIFS('Unos rashoda P4'!$J$3:$J$492,'Unos rashoda P4'!$A$3:$A$492,"=52",'Unos rashoda P4'!$S$3:$S$492,"=37")</f>
        <v>400005</v>
      </c>
      <c r="K72" s="72">
        <f>SUMIFS('Unos rashoda i izdataka'!$L$3:$L$498,'Unos rashoda i izdataka'!$C$3:$C$498,"=552",'Unos rashoda i izdataka'!$P$3:$P$498,"=37")+SUMIFS('Unos rashoda P4'!$J$3:$J$492,'Unos rashoda P4'!$A$3:$A$492,"=552",'Unos rashoda P4'!$S$3:$S$492,"=37")</f>
        <v>0</v>
      </c>
      <c r="L72" s="72">
        <f>SUMIFS('Unos rashoda i izdataka'!$L$3:$L$498,'Unos rashoda i izdataka'!$C$3:$C$498,"=559",'Unos rashoda i izdataka'!$P$3:$P$498,"=37")+SUMIFS('Unos rashoda P4'!$J$3:$J$492,'Unos rashoda P4'!$A$3:$A$492,"=559",'Unos rashoda P4'!$S$3:$S$492,"=37")</f>
        <v>0</v>
      </c>
      <c r="M72" s="72">
        <f>SUMIFS('Unos rashoda i izdataka'!$L$3:$L$498,'Unos rashoda i izdataka'!$C$3:$C$498,"=561",'Unos rashoda i izdataka'!$P$3:$P$498,"=37")+SUMIFS('Unos rashoda P4'!$J$3:$J$492,'Unos rashoda P4'!$A$3:$A$492,"=561",'Unos rashoda P4'!$S$3:$S$492,"=37")</f>
        <v>0</v>
      </c>
      <c r="N72" s="72">
        <f>SUMIFS('Unos rashoda i izdataka'!$L$3:$L$498,'Unos rashoda i izdataka'!$C$3:$C$498,"=563",'Unos rashoda i izdataka'!$P$3:$P$498,"=37")+SUMIFS('Unos rashoda P4'!$J$3:$J$492,'Unos rashoda P4'!$A$3:$A$492,"=563",'Unos rashoda P4'!$S$3:$S$492,"=37")</f>
        <v>0</v>
      </c>
      <c r="O72" s="72">
        <f>SUMIFS('Unos rashoda i izdataka'!$L$3:$L$498,'Unos rashoda i izdataka'!$C$3:$C$498,"=573",'Unos rashoda i izdataka'!$P$3:$P$498,"=37")+SUMIFS('Unos rashoda P4'!$J$3:$J$492,'Unos rashoda P4'!$A$3:$A$492,"=573",'Unos rashoda P4'!$S$3:$S$492,"=37")</f>
        <v>0</v>
      </c>
      <c r="P72" s="72">
        <f>SUMIFS('Unos rashoda i izdataka'!$L$3:$L$498,'Unos rashoda i izdataka'!$C$3:$C$498,"=575",'Unos rashoda i izdataka'!$P$3:$P$498,"=37")+SUMIFS('Unos rashoda P4'!$J$3:$J$492,'Unos rashoda P4'!$A$3:$A$492,"=575",'Unos rashoda P4'!$S$3:$S$492,"=37")</f>
        <v>0</v>
      </c>
      <c r="Q72" s="72">
        <f>SUMIFS('Unos rashoda i izdataka'!$L$3:$L$498,'Unos rashoda i izdataka'!$Q$3:$Q$498,"=576",'Unos rashoda i izdataka'!$P$3:$P$498,"=37")+SUMIFS('Unos rashoda P4'!$J$3:$J$492,'Unos rashoda P4'!$A$3:$A$492,"=576",'Unos rashoda P4'!$S$3:$S$492,"=37")</f>
        <v>0</v>
      </c>
      <c r="R72" s="72">
        <f>SUMIFS('Unos rashoda i izdataka'!$L$3:$L$498,'Unos rashoda i izdataka'!$C$3:$C$498,"=581",'Unos rashoda i izdataka'!$P$3:$P$498,"=37")+SUMIFS('Unos rashoda P4'!$J$3:$J$492,'Unos rashoda P4'!$A$3:$A$492,"=581",'Unos rashoda P4'!$S$3:$S$492,"=37")</f>
        <v>0</v>
      </c>
      <c r="S72" s="72">
        <f>SUMIFS('Unos rashoda i izdataka'!$L$3:$L$498,'Unos rashoda i izdataka'!$C$3:$C$498,"=61",'Unos rashoda i izdataka'!$P$3:$P$498,"=37")+SUMIFS('Unos rashoda P4'!$J$3:$J$492,'Unos rashoda P4'!$A$3:$A$492,"=61",'Unos rashoda P4'!$S$3:$S$492,"=37")</f>
        <v>0</v>
      </c>
      <c r="T72" s="72">
        <f>SUMIFS('Unos rashoda i izdataka'!$L$3:$L$498,'Unos rashoda i izdataka'!$C$3:$C$498,"=63",'Unos rashoda i izdataka'!$P$3:$P$498,"=37")+SUMIFS('Unos rashoda P4'!$J$3:$J$492,'Unos rashoda P4'!$A$3:$A$492,"=63",'Unos rashoda P4'!$S$3:$S$492,"=37")</f>
        <v>0</v>
      </c>
      <c r="U72" s="72">
        <f>SUMIFS('Unos rashoda i izdataka'!$L$3:$L$498,'Unos rashoda i izdataka'!$C$3:$C$498,"=71",'Unos rashoda i izdataka'!$P$3:$P$498,"=37")+SUMIFS('Unos rashoda P4'!$J$3:$J$492,'Unos rashoda P4'!$A$3:$A$492,"=71",'Unos rashoda P4'!$S$3:$S$492,"=37")</f>
        <v>0</v>
      </c>
      <c r="V72" s="72">
        <f>SUMIFS('Unos rashoda i izdataka'!$L$3:$L$498,'Unos rashoda i izdataka'!$C$3:$C$498,"=81",'Unos rashoda i izdataka'!$P$3:$P$498,"=37")+SUMIFS('Unos rashoda P4'!$J$3:$J$492,'Unos rashoda P4'!$A$3:$A$492,"=81",'Unos rashoda P4'!$S$3:$S$492,"=37")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24">
        <v>38</v>
      </c>
      <c r="B73" s="10" t="s">
        <v>198</v>
      </c>
      <c r="C73" s="70">
        <f t="shared" si="28"/>
        <v>79012</v>
      </c>
      <c r="D73" s="72">
        <f>SUMIFS('Unos rashoda i izdataka'!$L$3:$L$498,'Unos rashoda i izdataka'!$C$3:$C$498,"=11",'Unos rashoda i izdataka'!$P$3:$P$498,"=38")+SUMIFS('Unos rashoda P4'!$J$3:$J$492,'Unos rashoda P4'!$A$3:$A$492,"=11",'Unos rashoda P4'!$S$3:$S$492,"=38")</f>
        <v>75012</v>
      </c>
      <c r="E73" s="72">
        <f>SUMIFS('Unos rashoda i izdataka'!$L$3:$L$498,'Unos rashoda i izdataka'!$C$3:$C$498,"=12",'Unos rashoda i izdataka'!$P$3:$P$498,"=38")+SUMIFS('Unos rashoda P4'!$J$3:$J$492,'Unos rashoda P4'!$A$3:$A$492,"=12",'Unos rashoda P4'!$S$3:$S$492,"=38")</f>
        <v>0</v>
      </c>
      <c r="F73" s="72">
        <f>SUMIFS('Unos rashoda i izdataka'!$L$3:$L$498,'Unos rashoda i izdataka'!$C$3:$C$498,"=31",'Unos rashoda i izdataka'!$P$3:$P$498,"=38")+SUMIFS('Unos rashoda P4'!$J$3:$J$492,'Unos rashoda P4'!$A$3:$A$492,"=31",'Unos rashoda P4'!$S$3:$S$492,"=38")</f>
        <v>3000</v>
      </c>
      <c r="G73" s="72">
        <f>SUMIFS('Unos rashoda i izdataka'!$L$3:$L$498,'Unos rashoda i izdataka'!$C$3:$C$498,"=41",'Unos rashoda i izdataka'!$P$3:$P$498,"=38")+SUMIFS('Unos rashoda P4'!$J$3:$J$492,'Unos rashoda P4'!$A$3:$A$492,"=41",'Unos rashoda P4'!$S$3:$S$492,"=38")</f>
        <v>0</v>
      </c>
      <c r="H73" s="72">
        <f>SUMIFS('Unos rashoda i izdataka'!$L$3:$L$498,'Unos rashoda i izdataka'!$C$3:$C$498,"=43",'Unos rashoda i izdataka'!$P$3:$P$498,"=38")+SUMIFS('Unos rashoda P4'!$J$3:$J$492,'Unos rashoda P4'!$A$3:$A$492,"=43",'Unos rashoda P4'!$S$3:$S$492,"=38")</f>
        <v>1000</v>
      </c>
      <c r="I73" s="72">
        <f>SUMIFS('Unos rashoda i izdataka'!$L$3:$L$498,'Unos rashoda i izdataka'!$C$3:$C$498,"=51",'Unos rashoda i izdataka'!$P$3:$P$498,"=38")+SUMIFS('Unos rashoda P4'!$J$3:$J$492,'Unos rashoda P4'!$A$3:$A$492,"=51",'Unos rashoda P4'!$S$3:$S$492,"=38")</f>
        <v>0</v>
      </c>
      <c r="J73" s="72">
        <f>SUMIFS('Unos rashoda i izdataka'!$L$3:$L$498,'Unos rashoda i izdataka'!$C$3:$C$498,"=52",'Unos rashoda i izdataka'!$P$3:$P$498,"=38")+SUMIFS('Unos rashoda P4'!$J$3:$J$492,'Unos rashoda P4'!$A$3:$A$492,"=52",'Unos rashoda P4'!$S$3:$S$492,"=38")</f>
        <v>0</v>
      </c>
      <c r="K73" s="72">
        <f>SUMIFS('Unos rashoda i izdataka'!$L$3:$L$498,'Unos rashoda i izdataka'!$C$3:$C$498,"=552",'Unos rashoda i izdataka'!$P$3:$P$498,"=38")+SUMIFS('Unos rashoda P4'!$J$3:$J$492,'Unos rashoda P4'!$A$3:$A$492,"=552",'Unos rashoda P4'!$S$3:$S$492,"=38")</f>
        <v>0</v>
      </c>
      <c r="L73" s="72">
        <f>SUMIFS('Unos rashoda i izdataka'!$L$3:$L$498,'Unos rashoda i izdataka'!$C$3:$C$498,"=559",'Unos rashoda i izdataka'!$P$3:$P$498,"=38")+SUMIFS('Unos rashoda P4'!$J$3:$J$492,'Unos rashoda P4'!$A$3:$A$492,"=559",'Unos rashoda P4'!$S$3:$S$492,"=38")</f>
        <v>0</v>
      </c>
      <c r="M73" s="72">
        <f>SUMIFS('Unos rashoda i izdataka'!$L$3:$L$498,'Unos rashoda i izdataka'!$C$3:$C$498,"=561",'Unos rashoda i izdataka'!$P$3:$P$498,"=38")+SUMIFS('Unos rashoda P4'!$J$3:$J$492,'Unos rashoda P4'!$A$3:$A$492,"=561",'Unos rashoda P4'!$S$3:$S$492,"=38")</f>
        <v>0</v>
      </c>
      <c r="N73" s="72">
        <f>SUMIFS('Unos rashoda i izdataka'!$L$3:$L$498,'Unos rashoda i izdataka'!$C$3:$C$498,"=563",'Unos rashoda i izdataka'!$P$3:$P$498,"=38")+SUMIFS('Unos rashoda P4'!$J$3:$J$492,'Unos rashoda P4'!$A$3:$A$492,"=563",'Unos rashoda P4'!$S$3:$S$492,"=38")</f>
        <v>0</v>
      </c>
      <c r="O73" s="72">
        <f>SUMIFS('Unos rashoda i izdataka'!$L$3:$L$498,'Unos rashoda i izdataka'!$C$3:$C$498,"=573",'Unos rashoda i izdataka'!$P$3:$P$498,"=38")+SUMIFS('Unos rashoda P4'!$J$3:$J$492,'Unos rashoda P4'!$A$3:$A$492,"=573",'Unos rashoda P4'!$S$3:$S$492,"=38")</f>
        <v>0</v>
      </c>
      <c r="P73" s="72">
        <f>SUMIFS('Unos rashoda i izdataka'!$L$3:$L$498,'Unos rashoda i izdataka'!$C$3:$C$498,"=575",'Unos rashoda i izdataka'!$P$3:$P$498,"=38")+SUMIFS('Unos rashoda P4'!$J$3:$J$492,'Unos rashoda P4'!$A$3:$A$492,"=575",'Unos rashoda P4'!$S$3:$S$492,"=38")</f>
        <v>0</v>
      </c>
      <c r="Q73" s="72">
        <f>SUMIFS('Unos rashoda i izdataka'!$L$3:$L$498,'Unos rashoda i izdataka'!$Q$3:$Q$498,"=576",'Unos rashoda i izdataka'!$P$3:$P$498,"=38")+SUMIFS('Unos rashoda P4'!$J$3:$J$492,'Unos rashoda P4'!$A$3:$A$492,"=576",'Unos rashoda P4'!$S$3:$S$492,"=38")</f>
        <v>0</v>
      </c>
      <c r="R73" s="72">
        <f>SUMIFS('Unos rashoda i izdataka'!$L$3:$L$498,'Unos rashoda i izdataka'!$C$3:$C$498,"=581",'Unos rashoda i izdataka'!$P$3:$P$498,"=38")+SUMIFS('Unos rashoda P4'!$J$3:$J$492,'Unos rashoda P4'!$A$3:$A$492,"=581",'Unos rashoda P4'!$S$3:$S$492,"=38")</f>
        <v>0</v>
      </c>
      <c r="S73" s="72">
        <f>SUMIFS('Unos rashoda i izdataka'!$L$3:$L$498,'Unos rashoda i izdataka'!$C$3:$C$498,"=61",'Unos rashoda i izdataka'!$P$3:$P$498,"=38")+SUMIFS('Unos rashoda P4'!$J$3:$J$492,'Unos rashoda P4'!$A$3:$A$492,"=61",'Unos rashoda P4'!$S$3:$S$492,"=38")</f>
        <v>0</v>
      </c>
      <c r="T73" s="72">
        <f>SUMIFS('Unos rashoda i izdataka'!$L$3:$L$498,'Unos rashoda i izdataka'!$C$3:$C$498,"=63",'Unos rashoda i izdataka'!$P$3:$P$498,"=38")+SUMIFS('Unos rashoda P4'!$J$3:$J$492,'Unos rashoda P4'!$A$3:$A$492,"=63",'Unos rashoda P4'!$S$3:$S$492,"=38")</f>
        <v>0</v>
      </c>
      <c r="U73" s="72">
        <f>SUMIFS('Unos rashoda i izdataka'!$L$3:$L$498,'Unos rashoda i izdataka'!$C$3:$C$498,"=71",'Unos rashoda i izdataka'!$P$3:$P$498,"=38")+SUMIFS('Unos rashoda P4'!$J$3:$J$492,'Unos rashoda P4'!$A$3:$A$492,"=71",'Unos rashoda P4'!$S$3:$S$492,"=38")</f>
        <v>0</v>
      </c>
      <c r="V73" s="72">
        <f>SUMIFS('Unos rashoda i izdataka'!$L$3:$L$498,'Unos rashoda i izdataka'!$C$3:$C$498,"=81",'Unos rashoda i izdataka'!$P$3:$P$498,"=38")+SUMIFS('Unos rashoda P4'!$J$3:$J$492,'Unos rashoda P4'!$A$3:$A$492,"=81",'Unos rashoda P4'!$S$3:$S$492,"=38")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25">
        <v>4</v>
      </c>
      <c r="B74" s="67" t="s">
        <v>199</v>
      </c>
      <c r="C74" s="66">
        <f>SUM(D74:V74)</f>
        <v>277126</v>
      </c>
      <c r="D74" s="69">
        <f>+D75+D76+D77+D78+D79</f>
        <v>191126</v>
      </c>
      <c r="E74" s="69">
        <f t="shared" ref="E74:V74" si="29">+E75+E76+E77+E78+E79</f>
        <v>0</v>
      </c>
      <c r="F74" s="69">
        <f t="shared" si="29"/>
        <v>0</v>
      </c>
      <c r="G74" s="69">
        <f t="shared" si="29"/>
        <v>0</v>
      </c>
      <c r="H74" s="69">
        <f t="shared" si="29"/>
        <v>86000</v>
      </c>
      <c r="I74" s="69">
        <f t="shared" si="29"/>
        <v>0</v>
      </c>
      <c r="J74" s="69">
        <f t="shared" si="29"/>
        <v>0</v>
      </c>
      <c r="K74" s="69">
        <f t="shared" si="29"/>
        <v>0</v>
      </c>
      <c r="L74" s="69">
        <f t="shared" si="29"/>
        <v>0</v>
      </c>
      <c r="M74" s="69">
        <f t="shared" si="29"/>
        <v>0</v>
      </c>
      <c r="N74" s="69">
        <f t="shared" si="29"/>
        <v>0</v>
      </c>
      <c r="O74" s="69">
        <f t="shared" si="29"/>
        <v>0</v>
      </c>
      <c r="P74" s="69">
        <f t="shared" si="29"/>
        <v>0</v>
      </c>
      <c r="Q74" s="69">
        <f t="shared" si="29"/>
        <v>0</v>
      </c>
      <c r="R74" s="69">
        <f t="shared" si="29"/>
        <v>0</v>
      </c>
      <c r="S74" s="69">
        <f t="shared" si="29"/>
        <v>0</v>
      </c>
      <c r="T74" s="69">
        <f t="shared" si="29"/>
        <v>0</v>
      </c>
      <c r="U74" s="69">
        <f t="shared" si="29"/>
        <v>0</v>
      </c>
      <c r="V74" s="69">
        <f t="shared" si="29"/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23">
        <v>41</v>
      </c>
      <c r="B75" s="8" t="s">
        <v>250</v>
      </c>
      <c r="C75" s="71">
        <f>SUM(D75:V75)</f>
        <v>5000</v>
      </c>
      <c r="D75" s="72">
        <f>SUMIFS('Unos rashoda i izdataka'!$L$3:$L$498,'Unos rashoda i izdataka'!$C$3:$C$498,"=11",'Unos rashoda i izdataka'!$P$3:$P$498,"=41")+SUMIFS('Unos rashoda P4'!$J$3:$J$492,'Unos rashoda P4'!$A$3:$A$492,"=11",'Unos rashoda P4'!$S$3:$S$492,"=41")</f>
        <v>5000</v>
      </c>
      <c r="E75" s="72">
        <f>SUMIFS('Unos rashoda i izdataka'!$L$3:$L$498,'Unos rashoda i izdataka'!$C$3:$C$498,"=12",'Unos rashoda i izdataka'!$P$3:$P$498,"=41")+SUMIFS('Unos rashoda P4'!$J$3:$J$492,'Unos rashoda P4'!$A$3:$A$492,"=12",'Unos rashoda P4'!$S$3:$S$492,"=41")</f>
        <v>0</v>
      </c>
      <c r="F75" s="72">
        <f>SUMIFS('Unos rashoda i izdataka'!$L$3:$L$498,'Unos rashoda i izdataka'!$C$3:$C$498,"=31",'Unos rashoda i izdataka'!$P$3:$P$498,"=41")+SUMIFS('Unos rashoda P4'!$J$3:$J$492,'Unos rashoda P4'!$A$3:$A$492,"=31",'Unos rashoda P4'!$S$3:$S$492,"=41")</f>
        <v>0</v>
      </c>
      <c r="G75" s="72">
        <f>SUMIFS('Unos rashoda i izdataka'!$L$3:$L$498,'Unos rashoda i izdataka'!$C$3:$C$498,"=41",'Unos rashoda i izdataka'!$P$3:$P$498,"=41")+SUMIFS('Unos rashoda P4'!$J$3:$J$492,'Unos rashoda P4'!$A$3:$A$492,"=41",'Unos rashoda P4'!$S$3:$S$492,"=41")</f>
        <v>0</v>
      </c>
      <c r="H75" s="72">
        <f>SUMIFS('Unos rashoda i izdataka'!$L$3:$L$498,'Unos rashoda i izdataka'!$C$3:$C$498,"=43",'Unos rashoda i izdataka'!$P$3:$P$498,"=41")+SUMIFS('Unos rashoda P4'!$J$3:$J$492,'Unos rashoda P4'!$A$3:$A$492,"=43",'Unos rashoda P4'!$S$3:$S$492,"=41")</f>
        <v>0</v>
      </c>
      <c r="I75" s="72">
        <f>SUMIFS('Unos rashoda i izdataka'!$L$3:$L$498,'Unos rashoda i izdataka'!$C$3:$C$498,"=51",'Unos rashoda i izdataka'!$P$3:$P$498,"=41")+SUMIFS('Unos rashoda P4'!$J$3:$J$492,'Unos rashoda P4'!$A$3:$A$492,"=51",'Unos rashoda P4'!$S$3:$S$492,"=41")</f>
        <v>0</v>
      </c>
      <c r="J75" s="72">
        <f>SUMIFS('Unos rashoda i izdataka'!$L$3:$L$498,'Unos rashoda i izdataka'!$C$3:$C$498,"=52",'Unos rashoda i izdataka'!$P$3:$P$498,"=41")+SUMIFS('Unos rashoda P4'!$J$3:$J$492,'Unos rashoda P4'!$A$3:$A$492,"=52",'Unos rashoda P4'!$S$3:$S$492,"=41")</f>
        <v>0</v>
      </c>
      <c r="K75" s="72">
        <f>SUMIFS('Unos rashoda i izdataka'!$L$3:$L$498,'Unos rashoda i izdataka'!$C$3:$C$498,"=552",'Unos rashoda i izdataka'!$P$3:$P$498,"=41")+SUMIFS('Unos rashoda P4'!$J$3:$J$492,'Unos rashoda P4'!$A$3:$A$492,"=552",'Unos rashoda P4'!$S$3:$S$492,"=41")</f>
        <v>0</v>
      </c>
      <c r="L75" s="72">
        <f>SUMIFS('Unos rashoda i izdataka'!$L$3:$L$498,'Unos rashoda i izdataka'!$C$3:$C$498,"=559",'Unos rashoda i izdataka'!$P$3:$P$498,"=41")+SUMIFS('Unos rashoda P4'!$J$3:$J$492,'Unos rashoda P4'!$A$3:$A$492,"=559",'Unos rashoda P4'!$S$3:$S$492,"=41")</f>
        <v>0</v>
      </c>
      <c r="M75" s="72">
        <f>SUMIFS('Unos rashoda i izdataka'!$L$3:$L$498,'Unos rashoda i izdataka'!$C$3:$C$498,"=561",'Unos rashoda i izdataka'!$P$3:$P$498,"=41")+SUMIFS('Unos rashoda P4'!$J$3:$J$492,'Unos rashoda P4'!$A$3:$A$492,"=561",'Unos rashoda P4'!$S$3:$S$492,"=41")</f>
        <v>0</v>
      </c>
      <c r="N75" s="72">
        <f>SUMIFS('Unos rashoda i izdataka'!$L$3:$L$498,'Unos rashoda i izdataka'!$C$3:$C$498,"=563",'Unos rashoda i izdataka'!$P$3:$P$498,"=41")+SUMIFS('Unos rashoda P4'!$J$3:$J$492,'Unos rashoda P4'!$A$3:$A$492,"=563",'Unos rashoda P4'!$S$3:$S$492,"=41")</f>
        <v>0</v>
      </c>
      <c r="O75" s="72">
        <f>SUMIFS('Unos rashoda i izdataka'!$L$3:$L$498,'Unos rashoda i izdataka'!$C$3:$C$498,"=573",'Unos rashoda i izdataka'!$P$3:$P$498,"=41")+SUMIFS('Unos rashoda P4'!$J$3:$J$492,'Unos rashoda P4'!$A$3:$A$492,"=573",'Unos rashoda P4'!$S$3:$S$492,"=41")</f>
        <v>0</v>
      </c>
      <c r="P75" s="72">
        <f>SUMIFS('Unos rashoda i izdataka'!$L$3:$L$498,'Unos rashoda i izdataka'!$C$3:$C$498,"=575",'Unos rashoda i izdataka'!$P$3:$P$498,"=41")+SUMIFS('Unos rashoda P4'!$J$3:$J$492,'Unos rashoda P4'!$A$3:$A$492,"=575",'Unos rashoda P4'!$S$3:$S$492,"=41")</f>
        <v>0</v>
      </c>
      <c r="Q75" s="72">
        <f>SUMIFS('Unos rashoda i izdataka'!$L$3:$L$498,'Unos rashoda i izdataka'!$Q$3:$Q$498,"=576",'Unos rashoda i izdataka'!$P$3:$P$498,"=41")+SUMIFS('Unos rashoda P4'!$J$3:$J$492,'Unos rashoda P4'!$A$3:$A$492,"=576",'Unos rashoda P4'!$S$3:$S$492,"=41")</f>
        <v>0</v>
      </c>
      <c r="R75" s="72">
        <f>SUMIFS('Unos rashoda i izdataka'!$L$3:$L$498,'Unos rashoda i izdataka'!$C$3:$C$498,"=581",'Unos rashoda i izdataka'!$P$3:$P$498,"=41")+SUMIFS('Unos rashoda P4'!$J$3:$J$492,'Unos rashoda P4'!$A$3:$A$492,"=581",'Unos rashoda P4'!$S$3:$S$492,"=41")</f>
        <v>0</v>
      </c>
      <c r="S75" s="72">
        <f>SUMIFS('Unos rashoda i izdataka'!$L$3:$L$498,'Unos rashoda i izdataka'!$C$3:$C$498,"=61",'Unos rashoda i izdataka'!$P$3:$P$498,"=41")+SUMIFS('Unos rashoda P4'!$J$3:$J$492,'Unos rashoda P4'!$A$3:$A$492,"=61",'Unos rashoda P4'!$S$3:$S$492,"=41")</f>
        <v>0</v>
      </c>
      <c r="T75" s="72">
        <f>SUMIFS('Unos rashoda i izdataka'!$L$3:$L$498,'Unos rashoda i izdataka'!$C$3:$C$498,"=63",'Unos rashoda i izdataka'!$P$3:$P$498,"=41")+SUMIFS('Unos rashoda P4'!$J$3:$J$492,'Unos rashoda P4'!$A$3:$A$492,"=63",'Unos rashoda P4'!$S$3:$S$492,"=41")</f>
        <v>0</v>
      </c>
      <c r="U75" s="72">
        <f>SUMIFS('Unos rashoda i izdataka'!$L$3:$L$498,'Unos rashoda i izdataka'!$C$3:$C$498,"=71",'Unos rashoda i izdataka'!$P$3:$P$498,"=41")+SUMIFS('Unos rashoda P4'!$J$3:$J$492,'Unos rashoda P4'!$A$3:$A$492,"=71",'Unos rashoda P4'!$S$3:$S$492,"=41")</f>
        <v>0</v>
      </c>
      <c r="V75" s="72">
        <f>SUMIFS('Unos rashoda i izdataka'!$L$3:$L$498,'Unos rashoda i izdataka'!$C$3:$C$498,"=81",'Unos rashoda i izdataka'!$P$3:$P$498,"=41")+SUMIFS('Unos rashoda P4'!$J$3:$J$492,'Unos rashoda P4'!$A$3:$A$492,"=81",'Unos rashoda P4'!$S$3:$S$492,"=41")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24">
        <v>42</v>
      </c>
      <c r="B76" s="10" t="s">
        <v>227</v>
      </c>
      <c r="C76" s="71">
        <f t="shared" ref="C76:C79" si="30">SUM(D76:V76)</f>
        <v>267026</v>
      </c>
      <c r="D76" s="72">
        <f>SUMIFS('Unos rashoda i izdataka'!$L$3:$L$498,'Unos rashoda i izdataka'!$C$3:$C$498,"=11",'Unos rashoda i izdataka'!$P$3:$P$498,"=42")+SUMIFS('Unos rashoda P4'!$J$3:$J$492,'Unos rashoda P4'!$A$3:$A$492,"=11",'Unos rashoda P4'!$S$3:$S$492,"=42")</f>
        <v>181026</v>
      </c>
      <c r="E76" s="72">
        <f>SUMIFS('Unos rashoda i izdataka'!$L$3:$L$498,'Unos rashoda i izdataka'!$C$3:$C$498,"=12",'Unos rashoda i izdataka'!$P$3:$P$498,"=42")+SUMIFS('Unos rashoda P4'!$J$3:$J$492,'Unos rashoda P4'!$A$3:$A$492,"=12",'Unos rashoda P4'!$S$3:$S$492,"=42")</f>
        <v>0</v>
      </c>
      <c r="F76" s="72">
        <f>SUMIFS('Unos rashoda i izdataka'!$L$3:$L$498,'Unos rashoda i izdataka'!$C$3:$C$498,"=31",'Unos rashoda i izdataka'!$P$3:$P$498,"=42")+SUMIFS('Unos rashoda P4'!$J$3:$J$492,'Unos rashoda P4'!$A$3:$A$492,"=31",'Unos rashoda P4'!$S$3:$S$492,"=42")</f>
        <v>0</v>
      </c>
      <c r="G76" s="72">
        <f>SUMIFS('Unos rashoda i izdataka'!$L$3:$L$498,'Unos rashoda i izdataka'!$C$3:$C$498,"=41",'Unos rashoda i izdataka'!$P$3:$P$498,"=42")+SUMIFS('Unos rashoda P4'!$J$3:$J$492,'Unos rashoda P4'!$A$3:$A$492,"=41",'Unos rashoda P4'!$S$3:$S$492,"=42")</f>
        <v>0</v>
      </c>
      <c r="H76" s="72">
        <f>SUMIFS('Unos rashoda i izdataka'!$L$3:$L$498,'Unos rashoda i izdataka'!$C$3:$C$498,"=43",'Unos rashoda i izdataka'!$P$3:$P$498,"=42")+SUMIFS('Unos rashoda P4'!$J$3:$J$492,'Unos rashoda P4'!$A$3:$A$492,"=43",'Unos rashoda P4'!$S$3:$S$492,"=42")</f>
        <v>86000</v>
      </c>
      <c r="I76" s="72">
        <f>SUMIFS('Unos rashoda i izdataka'!$L$3:$L$498,'Unos rashoda i izdataka'!$C$3:$C$498,"=51",'Unos rashoda i izdataka'!$P$3:$P$498,"=42")+SUMIFS('Unos rashoda P4'!$J$3:$J$492,'Unos rashoda P4'!$A$3:$A$492,"=51",'Unos rashoda P4'!$S$3:$S$492,"=42")</f>
        <v>0</v>
      </c>
      <c r="J76" s="72">
        <f>SUMIFS('Unos rashoda i izdataka'!$L$3:$L$498,'Unos rashoda i izdataka'!$C$3:$C$498,"=52",'Unos rashoda i izdataka'!$P$3:$P$498,"=42")+SUMIFS('Unos rashoda P4'!$J$3:$J$492,'Unos rashoda P4'!$A$3:$A$492,"=52",'Unos rashoda P4'!$S$3:$S$492,"=42")</f>
        <v>0</v>
      </c>
      <c r="K76" s="72">
        <f>SUMIFS('Unos rashoda i izdataka'!$L$3:$L$498,'Unos rashoda i izdataka'!$C$3:$C$498,"=552",'Unos rashoda i izdataka'!$P$3:$P$498,"=42")+SUMIFS('Unos rashoda P4'!$J$3:$J$492,'Unos rashoda P4'!$A$3:$A$492,"=552",'Unos rashoda P4'!$S$3:$S$492,"=42")</f>
        <v>0</v>
      </c>
      <c r="L76" s="72">
        <f>SUMIFS('Unos rashoda i izdataka'!$L$3:$L$498,'Unos rashoda i izdataka'!$C$3:$C$498,"=559",'Unos rashoda i izdataka'!$P$3:$P$498,"=42")+SUMIFS('Unos rashoda P4'!$J$3:$J$492,'Unos rashoda P4'!$A$3:$A$492,"=559",'Unos rashoda P4'!$S$3:$S$492,"=42")</f>
        <v>0</v>
      </c>
      <c r="M76" s="72">
        <f>SUMIFS('Unos rashoda i izdataka'!$L$3:$L$498,'Unos rashoda i izdataka'!$C$3:$C$498,"=561",'Unos rashoda i izdataka'!$P$3:$P$498,"=42")+SUMIFS('Unos rashoda P4'!$J$3:$J$492,'Unos rashoda P4'!$A$3:$A$492,"=561",'Unos rashoda P4'!$S$3:$S$492,"=42")</f>
        <v>0</v>
      </c>
      <c r="N76" s="72">
        <f>SUMIFS('Unos rashoda i izdataka'!$L$3:$L$498,'Unos rashoda i izdataka'!$C$3:$C$498,"=563",'Unos rashoda i izdataka'!$P$3:$P$498,"=42")+SUMIFS('Unos rashoda P4'!$J$3:$J$492,'Unos rashoda P4'!$A$3:$A$492,"=563",'Unos rashoda P4'!$S$3:$S$492,"=42")</f>
        <v>0</v>
      </c>
      <c r="O76" s="72">
        <f>SUMIFS('Unos rashoda i izdataka'!$L$3:$L$498,'Unos rashoda i izdataka'!$C$3:$C$498,"=573",'Unos rashoda i izdataka'!$P$3:$P$498,"=42")+SUMIFS('Unos rashoda P4'!$J$3:$J$492,'Unos rashoda P4'!$A$3:$A$492,"=573",'Unos rashoda P4'!$S$3:$S$492,"=42")</f>
        <v>0</v>
      </c>
      <c r="P76" s="72">
        <f>SUMIFS('Unos rashoda i izdataka'!$L$3:$L$498,'Unos rashoda i izdataka'!$C$3:$C$498,"=575",'Unos rashoda i izdataka'!$P$3:$P$498,"=42")+SUMIFS('Unos rashoda P4'!$J$3:$J$492,'Unos rashoda P4'!$A$3:$A$492,"=575",'Unos rashoda P4'!$S$3:$S$492,"=42")</f>
        <v>0</v>
      </c>
      <c r="Q76" s="72">
        <f>SUMIFS('Unos rashoda i izdataka'!$L$3:$L$498,'Unos rashoda i izdataka'!$Q$3:$Q$498,"=576",'Unos rashoda i izdataka'!$P$3:$P$498,"=42")+SUMIFS('Unos rashoda P4'!$J$3:$J$492,'Unos rashoda P4'!$A$3:$A$492,"=576",'Unos rashoda P4'!$S$3:$S$492,"=42")</f>
        <v>0</v>
      </c>
      <c r="R76" s="72">
        <f>SUMIFS('Unos rashoda i izdataka'!$L$3:$L$498,'Unos rashoda i izdataka'!$C$3:$C$498,"=581",'Unos rashoda i izdataka'!$P$3:$P$498,"=42")+SUMIFS('Unos rashoda P4'!$J$3:$J$492,'Unos rashoda P4'!$A$3:$A$492,"=581",'Unos rashoda P4'!$S$3:$S$492,"=42")</f>
        <v>0</v>
      </c>
      <c r="S76" s="72">
        <f>SUMIFS('Unos rashoda i izdataka'!$L$3:$L$498,'Unos rashoda i izdataka'!$C$3:$C$498,"=61",'Unos rashoda i izdataka'!$P$3:$P$498,"=42")+SUMIFS('Unos rashoda P4'!$J$3:$J$492,'Unos rashoda P4'!$A$3:$A$492,"=61",'Unos rashoda P4'!$S$3:$S$492,"=42")</f>
        <v>0</v>
      </c>
      <c r="T76" s="72">
        <f>SUMIFS('Unos rashoda i izdataka'!$L$3:$L$498,'Unos rashoda i izdataka'!$C$3:$C$498,"=63",'Unos rashoda i izdataka'!$P$3:$P$498,"=42")+SUMIFS('Unos rashoda P4'!$J$3:$J$492,'Unos rashoda P4'!$A$3:$A$492,"=63",'Unos rashoda P4'!$S$3:$S$492,"=42")</f>
        <v>0</v>
      </c>
      <c r="U76" s="72">
        <f>SUMIFS('Unos rashoda i izdataka'!$L$3:$L$498,'Unos rashoda i izdataka'!$C$3:$C$498,"=71",'Unos rashoda i izdataka'!$P$3:$P$498,"=42")+SUMIFS('Unos rashoda P4'!$J$3:$J$492,'Unos rashoda P4'!$A$3:$A$492,"=71",'Unos rashoda P4'!$S$3:$S$492,"=42")</f>
        <v>0</v>
      </c>
      <c r="V76" s="72">
        <f>SUMIFS('Unos rashoda i izdataka'!$L$3:$L$498,'Unos rashoda i izdataka'!$C$3:$C$498,"=81",'Unos rashoda i izdataka'!$P$3:$P$498,"=42")+SUMIFS('Unos rashoda P4'!$J$3:$J$492,'Unos rashoda P4'!$A$3:$A$492,"=81",'Unos rashoda P4'!$S$3:$S$492,"=42")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23">
        <v>43</v>
      </c>
      <c r="B77" s="8" t="s">
        <v>251</v>
      </c>
      <c r="C77" s="71">
        <f t="shared" si="30"/>
        <v>100</v>
      </c>
      <c r="D77" s="72">
        <f>SUMIFS('Unos rashoda i izdataka'!$L$3:$L$498,'Unos rashoda i izdataka'!$C$3:$C$498,"=11",'Unos rashoda i izdataka'!$P$3:$P$498,"=43")+SUMIFS('Unos rashoda P4'!$J$3:$J$492,'Unos rashoda P4'!$A$3:$A$492,"=11",'Unos rashoda P4'!$S$3:$S$492,"=43")</f>
        <v>100</v>
      </c>
      <c r="E77" s="72">
        <f>SUMIFS('Unos rashoda i izdataka'!$L$3:$L$498,'Unos rashoda i izdataka'!$C$3:$C$498,"=12",'Unos rashoda i izdataka'!$P$3:$P$498,"=43")+SUMIFS('Unos rashoda P4'!$J$3:$J$492,'Unos rashoda P4'!$A$3:$A$492,"=12",'Unos rashoda P4'!$S$3:$S$492,"=43")</f>
        <v>0</v>
      </c>
      <c r="F77" s="72">
        <f>SUMIFS('Unos rashoda i izdataka'!$L$3:$L$498,'Unos rashoda i izdataka'!$C$3:$C$498,"=31",'Unos rashoda i izdataka'!$P$3:$P$498,"=43")+SUMIFS('Unos rashoda P4'!$J$3:$J$492,'Unos rashoda P4'!$A$3:$A$492,"=31",'Unos rashoda P4'!$S$3:$S$492,"=43")</f>
        <v>0</v>
      </c>
      <c r="G77" s="72">
        <f>SUMIFS('Unos rashoda i izdataka'!$L$3:$L$498,'Unos rashoda i izdataka'!$C$3:$C$498,"=41",'Unos rashoda i izdataka'!$P$3:$P$498,"=43")+SUMIFS('Unos rashoda P4'!$J$3:$J$492,'Unos rashoda P4'!$A$3:$A$492,"=41",'Unos rashoda P4'!$S$3:$S$492,"=43")</f>
        <v>0</v>
      </c>
      <c r="H77" s="72">
        <f>SUMIFS('Unos rashoda i izdataka'!$L$3:$L$498,'Unos rashoda i izdataka'!$C$3:$C$498,"=43",'Unos rashoda i izdataka'!$P$3:$P$498,"=43")+SUMIFS('Unos rashoda P4'!$J$3:$J$492,'Unos rashoda P4'!$A$3:$A$492,"=43",'Unos rashoda P4'!$S$3:$S$492,"=43")</f>
        <v>0</v>
      </c>
      <c r="I77" s="72">
        <f>SUMIFS('Unos rashoda i izdataka'!$L$3:$L$498,'Unos rashoda i izdataka'!$C$3:$C$498,"=51",'Unos rashoda i izdataka'!$P$3:$P$498,"=43")+SUMIFS('Unos rashoda P4'!$J$3:$J$492,'Unos rashoda P4'!$A$3:$A$492,"=51",'Unos rashoda P4'!$S$3:$S$492,"=43")</f>
        <v>0</v>
      </c>
      <c r="J77" s="72">
        <f>SUMIFS('Unos rashoda i izdataka'!$L$3:$L$498,'Unos rashoda i izdataka'!$C$3:$C$498,"=52",'Unos rashoda i izdataka'!$P$3:$P$498,"=43")+SUMIFS('Unos rashoda P4'!$J$3:$J$492,'Unos rashoda P4'!$A$3:$A$492,"=52",'Unos rashoda P4'!$S$3:$S$492,"=43")</f>
        <v>0</v>
      </c>
      <c r="K77" s="72">
        <f>SUMIFS('Unos rashoda i izdataka'!$L$3:$L$498,'Unos rashoda i izdataka'!$C$3:$C$498,"=552",'Unos rashoda i izdataka'!$P$3:$P$498,"=43")+SUMIFS('Unos rashoda P4'!$J$3:$J$492,'Unos rashoda P4'!$A$3:$A$492,"=552",'Unos rashoda P4'!$S$3:$S$492,"=43")</f>
        <v>0</v>
      </c>
      <c r="L77" s="72">
        <f>SUMIFS('Unos rashoda i izdataka'!$L$3:$L$498,'Unos rashoda i izdataka'!$C$3:$C$498,"=559",'Unos rashoda i izdataka'!$P$3:$P$498,"=43")+SUMIFS('Unos rashoda P4'!$J$3:$J$492,'Unos rashoda P4'!$A$3:$A$492,"=559",'Unos rashoda P4'!$S$3:$S$492,"=43")</f>
        <v>0</v>
      </c>
      <c r="M77" s="72">
        <f>SUMIFS('Unos rashoda i izdataka'!$L$3:$L$498,'Unos rashoda i izdataka'!$C$3:$C$498,"=561",'Unos rashoda i izdataka'!$P$3:$P$498,"=43")+SUMIFS('Unos rashoda P4'!$J$3:$J$492,'Unos rashoda P4'!$A$3:$A$492,"=561",'Unos rashoda P4'!$S$3:$S$492,"=43")</f>
        <v>0</v>
      </c>
      <c r="N77" s="72">
        <f>SUMIFS('Unos rashoda i izdataka'!$L$3:$L$498,'Unos rashoda i izdataka'!$C$3:$C$498,"=563",'Unos rashoda i izdataka'!$P$3:$P$498,"=43")+SUMIFS('Unos rashoda P4'!$J$3:$J$492,'Unos rashoda P4'!$A$3:$A$492,"=563",'Unos rashoda P4'!$S$3:$S$492,"=43")</f>
        <v>0</v>
      </c>
      <c r="O77" s="72">
        <f>SUMIFS('Unos rashoda i izdataka'!$L$3:$L$498,'Unos rashoda i izdataka'!$C$3:$C$498,"=573",'Unos rashoda i izdataka'!$P$3:$P$498,"=43")+SUMIFS('Unos rashoda P4'!$J$3:$J$492,'Unos rashoda P4'!$A$3:$A$492,"=573",'Unos rashoda P4'!$S$3:$S$492,"=43")</f>
        <v>0</v>
      </c>
      <c r="P77" s="72">
        <f>SUMIFS('Unos rashoda i izdataka'!$L$3:$L$498,'Unos rashoda i izdataka'!$C$3:$C$498,"=575",'Unos rashoda i izdataka'!$P$3:$P$498,"=43")+SUMIFS('Unos rashoda P4'!$J$3:$J$492,'Unos rashoda P4'!$A$3:$A$492,"=575",'Unos rashoda P4'!$S$3:$S$492,"=43")</f>
        <v>0</v>
      </c>
      <c r="Q77" s="72">
        <f>SUMIFS('Unos rashoda i izdataka'!$L$3:$L$498,'Unos rashoda i izdataka'!$Q$3:$Q$498,"=576",'Unos rashoda i izdataka'!$P$3:$P$498,"=43")+SUMIFS('Unos rashoda P4'!$J$3:$J$492,'Unos rashoda P4'!$A$3:$A$492,"=576",'Unos rashoda P4'!$S$3:$S$492,"=43")</f>
        <v>0</v>
      </c>
      <c r="R77" s="72">
        <f>SUMIFS('Unos rashoda i izdataka'!$L$3:$L$498,'Unos rashoda i izdataka'!$C$3:$C$498,"=581",'Unos rashoda i izdataka'!$P$3:$P$498,"=43")+SUMIFS('Unos rashoda P4'!$J$3:$J$492,'Unos rashoda P4'!$A$3:$A$492,"=581",'Unos rashoda P4'!$S$3:$S$492,"=43")</f>
        <v>0</v>
      </c>
      <c r="S77" s="72">
        <f>SUMIFS('Unos rashoda i izdataka'!$L$3:$L$498,'Unos rashoda i izdataka'!$C$3:$C$498,"=61",'Unos rashoda i izdataka'!$P$3:$P$498,"=43")+SUMIFS('Unos rashoda P4'!$J$3:$J$492,'Unos rashoda P4'!$A$3:$A$492,"=61",'Unos rashoda P4'!$S$3:$S$492,"=43")</f>
        <v>0</v>
      </c>
      <c r="T77" s="72">
        <f>SUMIFS('Unos rashoda i izdataka'!$L$3:$L$498,'Unos rashoda i izdataka'!$C$3:$C$498,"=63",'Unos rashoda i izdataka'!$P$3:$P$498,"=43")+SUMIFS('Unos rashoda P4'!$J$3:$J$492,'Unos rashoda P4'!$A$3:$A$492,"=63",'Unos rashoda P4'!$S$3:$S$492,"=43")</f>
        <v>0</v>
      </c>
      <c r="U77" s="72">
        <f>SUMIFS('Unos rashoda i izdataka'!$L$3:$L$498,'Unos rashoda i izdataka'!$C$3:$C$498,"=71",'Unos rashoda i izdataka'!$P$3:$P$498,"=43")+SUMIFS('Unos rashoda P4'!$J$3:$J$492,'Unos rashoda P4'!$A$3:$A$492,"=71",'Unos rashoda P4'!$S$3:$S$492,"=43")</f>
        <v>0</v>
      </c>
      <c r="V77" s="72">
        <f>SUMIFS('Unos rashoda i izdataka'!$L$3:$L$498,'Unos rashoda i izdataka'!$C$3:$C$498,"=81",'Unos rashoda i izdataka'!$P$3:$P$498,"=43")+SUMIFS('Unos rashoda P4'!$J$3:$J$492,'Unos rashoda P4'!$A$3:$A$492,"=81",'Unos rashoda P4'!$S$3:$S$492,"=43")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23">
        <v>44</v>
      </c>
      <c r="B78" s="8" t="s">
        <v>252</v>
      </c>
      <c r="C78" s="71">
        <f t="shared" si="30"/>
        <v>0</v>
      </c>
      <c r="D78" s="72">
        <f>SUMIFS('Unos rashoda i izdataka'!$L$3:$L$498,'Unos rashoda i izdataka'!$C$3:$C$498,"=11",'Unos rashoda i izdataka'!$P$3:$P$498,"=44")+SUMIFS('Unos rashoda P4'!$J$3:$J$492,'Unos rashoda P4'!$A$3:$A$492,"=11",'Unos rashoda P4'!$S$3:$S$492,"=44")</f>
        <v>0</v>
      </c>
      <c r="E78" s="72">
        <f>SUMIFS('Unos rashoda i izdataka'!$L$3:$L$498,'Unos rashoda i izdataka'!$C$3:$C$498,"=12",'Unos rashoda i izdataka'!$P$3:$P$498,"=44")+SUMIFS('Unos rashoda P4'!$J$3:$J$492,'Unos rashoda P4'!$A$3:$A$492,"=12",'Unos rashoda P4'!$S$3:$S$492,"=44")</f>
        <v>0</v>
      </c>
      <c r="F78" s="72">
        <f>SUMIFS('Unos rashoda i izdataka'!$L$3:$L$498,'Unos rashoda i izdataka'!$C$3:$C$498,"=31",'Unos rashoda i izdataka'!$P$3:$P$498,"=44")+SUMIFS('Unos rashoda P4'!$J$3:$J$492,'Unos rashoda P4'!$A$3:$A$492,"=31",'Unos rashoda P4'!$S$3:$S$492,"=44")</f>
        <v>0</v>
      </c>
      <c r="G78" s="72">
        <f>SUMIFS('Unos rashoda i izdataka'!$L$3:$L$498,'Unos rashoda i izdataka'!$C$3:$C$498,"=41",'Unos rashoda i izdataka'!$P$3:$P$498,"=44")+SUMIFS('Unos rashoda P4'!$J$3:$J$492,'Unos rashoda P4'!$A$3:$A$492,"=41",'Unos rashoda P4'!$S$3:$S$492,"=44")</f>
        <v>0</v>
      </c>
      <c r="H78" s="72">
        <f>SUMIFS('Unos rashoda i izdataka'!$L$3:$L$498,'Unos rashoda i izdataka'!$C$3:$C$498,"=43",'Unos rashoda i izdataka'!$P$3:$P$498,"=44")+SUMIFS('Unos rashoda P4'!$J$3:$J$492,'Unos rashoda P4'!$A$3:$A$492,"=43",'Unos rashoda P4'!$S$3:$S$492,"=44")</f>
        <v>0</v>
      </c>
      <c r="I78" s="72">
        <f>SUMIFS('Unos rashoda i izdataka'!$L$3:$L$498,'Unos rashoda i izdataka'!$C$3:$C$498,"=51",'Unos rashoda i izdataka'!$P$3:$P$498,"=44")+SUMIFS('Unos rashoda P4'!$J$3:$J$492,'Unos rashoda P4'!$A$3:$A$492,"=51",'Unos rashoda P4'!$S$3:$S$492,"=44")</f>
        <v>0</v>
      </c>
      <c r="J78" s="72">
        <f>SUMIFS('Unos rashoda i izdataka'!$L$3:$L$498,'Unos rashoda i izdataka'!$C$3:$C$498,"=52",'Unos rashoda i izdataka'!$P$3:$P$498,"=44")+SUMIFS('Unos rashoda P4'!$J$3:$J$492,'Unos rashoda P4'!$A$3:$A$492,"=52",'Unos rashoda P4'!$S$3:$S$492,"=44")</f>
        <v>0</v>
      </c>
      <c r="K78" s="72">
        <f>SUMIFS('Unos rashoda i izdataka'!$L$3:$L$498,'Unos rashoda i izdataka'!$C$3:$C$498,"=552",'Unos rashoda i izdataka'!$P$3:$P$498,"=44")+SUMIFS('Unos rashoda P4'!$J$3:$J$492,'Unos rashoda P4'!$A$3:$A$492,"=552",'Unos rashoda P4'!$S$3:$S$492,"=44")</f>
        <v>0</v>
      </c>
      <c r="L78" s="72">
        <f>SUMIFS('Unos rashoda i izdataka'!$L$3:$L$498,'Unos rashoda i izdataka'!$C$3:$C$498,"=559",'Unos rashoda i izdataka'!$P$3:$P$498,"=44")+SUMIFS('Unos rashoda P4'!$J$3:$J$492,'Unos rashoda P4'!$A$3:$A$492,"=559",'Unos rashoda P4'!$S$3:$S$492,"=44")</f>
        <v>0</v>
      </c>
      <c r="M78" s="72">
        <f>SUMIFS('Unos rashoda i izdataka'!$L$3:$L$498,'Unos rashoda i izdataka'!$C$3:$C$498,"=561",'Unos rashoda i izdataka'!$P$3:$P$498,"=44")+SUMIFS('Unos rashoda P4'!$J$3:$J$492,'Unos rashoda P4'!$A$3:$A$492,"=561",'Unos rashoda P4'!$S$3:$S$492,"=44")</f>
        <v>0</v>
      </c>
      <c r="N78" s="72">
        <f>SUMIFS('Unos rashoda i izdataka'!$L$3:$L$498,'Unos rashoda i izdataka'!$C$3:$C$498,"=563",'Unos rashoda i izdataka'!$P$3:$P$498,"=44")+SUMIFS('Unos rashoda P4'!$J$3:$J$492,'Unos rashoda P4'!$A$3:$A$492,"=563",'Unos rashoda P4'!$S$3:$S$492,"=44")</f>
        <v>0</v>
      </c>
      <c r="O78" s="72">
        <f>SUMIFS('Unos rashoda i izdataka'!$L$3:$L$498,'Unos rashoda i izdataka'!$C$3:$C$498,"=573",'Unos rashoda i izdataka'!$P$3:$P$498,"=44")+SUMIFS('Unos rashoda P4'!$J$3:$J$492,'Unos rashoda P4'!$A$3:$A$492,"=573",'Unos rashoda P4'!$S$3:$S$492,"=44")</f>
        <v>0</v>
      </c>
      <c r="P78" s="72">
        <f>SUMIFS('Unos rashoda i izdataka'!$L$3:$L$498,'Unos rashoda i izdataka'!$C$3:$C$498,"=575",'Unos rashoda i izdataka'!$P$3:$P$498,"=44")+SUMIFS('Unos rashoda P4'!$J$3:$J$492,'Unos rashoda P4'!$A$3:$A$492,"=575",'Unos rashoda P4'!$S$3:$S$492,"=44")</f>
        <v>0</v>
      </c>
      <c r="Q78" s="72">
        <f>SUMIFS('Unos rashoda i izdataka'!$L$3:$L$498,'Unos rashoda i izdataka'!$Q$3:$Q$498,"=576",'Unos rashoda i izdataka'!$P$3:$P$498,"=44")+SUMIFS('Unos rashoda P4'!$J$3:$J$492,'Unos rashoda P4'!$A$3:$A$492,"=576",'Unos rashoda P4'!$S$3:$S$492,"=44")</f>
        <v>0</v>
      </c>
      <c r="R78" s="72">
        <f>SUMIFS('Unos rashoda i izdataka'!$L$3:$L$498,'Unos rashoda i izdataka'!$C$3:$C$498,"=581",'Unos rashoda i izdataka'!$P$3:$P$498,"=44")+SUMIFS('Unos rashoda P4'!$J$3:$J$492,'Unos rashoda P4'!$A$3:$A$492,"=581",'Unos rashoda P4'!$S$3:$S$492,"=44")</f>
        <v>0</v>
      </c>
      <c r="S78" s="72">
        <f>SUMIFS('Unos rashoda i izdataka'!$L$3:$L$498,'Unos rashoda i izdataka'!$C$3:$C$498,"=61",'Unos rashoda i izdataka'!$P$3:$P$498,"=44")+SUMIFS('Unos rashoda P4'!$J$3:$J$492,'Unos rashoda P4'!$A$3:$A$492,"=61",'Unos rashoda P4'!$S$3:$S$492,"=44")</f>
        <v>0</v>
      </c>
      <c r="T78" s="72">
        <f>SUMIFS('Unos rashoda i izdataka'!$L$3:$L$498,'Unos rashoda i izdataka'!$C$3:$C$498,"=63",'Unos rashoda i izdataka'!$P$3:$P$498,"=44")+SUMIFS('Unos rashoda P4'!$J$3:$J$492,'Unos rashoda P4'!$A$3:$A$492,"=63",'Unos rashoda P4'!$S$3:$S$492,"=44")</f>
        <v>0</v>
      </c>
      <c r="U78" s="72">
        <f>SUMIFS('Unos rashoda i izdataka'!$L$3:$L$498,'Unos rashoda i izdataka'!$C$3:$C$498,"=71",'Unos rashoda i izdataka'!$P$3:$P$498,"=44")+SUMIFS('Unos rashoda P4'!$J$3:$J$492,'Unos rashoda P4'!$A$3:$A$492,"=71",'Unos rashoda P4'!$S$3:$S$492,"=44")</f>
        <v>0</v>
      </c>
      <c r="V78" s="72">
        <f>SUMIFS('Unos rashoda i izdataka'!$L$3:$L$498,'Unos rashoda i izdataka'!$C$3:$C$498,"=81",'Unos rashoda i izdataka'!$P$3:$P$498,"=44")+SUMIFS('Unos rashoda P4'!$J$3:$J$492,'Unos rashoda P4'!$A$3:$A$492,"=81",'Unos rashoda P4'!$S$3:$S$492,"=44")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24">
        <v>45</v>
      </c>
      <c r="B79" s="10" t="s">
        <v>200</v>
      </c>
      <c r="C79" s="71">
        <f t="shared" si="30"/>
        <v>5000</v>
      </c>
      <c r="D79" s="72">
        <f>SUMIFS('Unos rashoda i izdataka'!$L$3:$L$498,'Unos rashoda i izdataka'!$C$3:$C$498,"=11",'Unos rashoda i izdataka'!$P$3:$P$498,"=45")+SUMIFS('Unos rashoda P4'!$J$3:$J$492,'Unos rashoda P4'!$A$3:$A$492,"=11",'Unos rashoda P4'!$S$3:$S$492,"=45")</f>
        <v>5000</v>
      </c>
      <c r="E79" s="72">
        <f>SUMIFS('Unos rashoda i izdataka'!$L$3:$L$498,'Unos rashoda i izdataka'!$C$3:$C$498,"=12",'Unos rashoda i izdataka'!$P$3:$P$498,"=45")+SUMIFS('Unos rashoda P4'!$J$3:$J$492,'Unos rashoda P4'!$A$3:$A$492,"=12",'Unos rashoda P4'!$S$3:$S$492,"=45")</f>
        <v>0</v>
      </c>
      <c r="F79" s="72">
        <f>SUMIFS('Unos rashoda i izdataka'!$L$3:$L$498,'Unos rashoda i izdataka'!$C$3:$C$498,"=31",'Unos rashoda i izdataka'!$P$3:$P$498,"=45")+SUMIFS('Unos rashoda P4'!$J$3:$J$492,'Unos rashoda P4'!$A$3:$A$492,"=31",'Unos rashoda P4'!$S$3:$S$492,"=45")</f>
        <v>0</v>
      </c>
      <c r="G79" s="72">
        <f>SUMIFS('Unos rashoda i izdataka'!$L$3:$L$498,'Unos rashoda i izdataka'!$C$3:$C$498,"=41",'Unos rashoda i izdataka'!$P$3:$P$498,"=45")+SUMIFS('Unos rashoda P4'!$J$3:$J$492,'Unos rashoda P4'!$A$3:$A$492,"=41",'Unos rashoda P4'!$S$3:$S$492,"=45")</f>
        <v>0</v>
      </c>
      <c r="H79" s="72">
        <f>SUMIFS('Unos rashoda i izdataka'!$L$3:$L$498,'Unos rashoda i izdataka'!$C$3:$C$498,"=43",'Unos rashoda i izdataka'!$P$3:$P$498,"=45")+SUMIFS('Unos rashoda P4'!$J$3:$J$492,'Unos rashoda P4'!$A$3:$A$492,"=43",'Unos rashoda P4'!$S$3:$S$492,"=45")</f>
        <v>0</v>
      </c>
      <c r="I79" s="72">
        <f>SUMIFS('Unos rashoda i izdataka'!$L$3:$L$498,'Unos rashoda i izdataka'!$C$3:$C$498,"=51",'Unos rashoda i izdataka'!$P$3:$P$498,"=45")+SUMIFS('Unos rashoda P4'!$J$3:$J$492,'Unos rashoda P4'!$A$3:$A$492,"=51",'Unos rashoda P4'!$S$3:$S$492,"=45")</f>
        <v>0</v>
      </c>
      <c r="J79" s="72">
        <f>SUMIFS('Unos rashoda i izdataka'!$L$3:$L$498,'Unos rashoda i izdataka'!$C$3:$C$498,"=52",'Unos rashoda i izdataka'!$P$3:$P$498,"=45")+SUMIFS('Unos rashoda P4'!$J$3:$J$492,'Unos rashoda P4'!$A$3:$A$492,"=52",'Unos rashoda P4'!$S$3:$S$492,"=45")</f>
        <v>0</v>
      </c>
      <c r="K79" s="72">
        <f>SUMIFS('Unos rashoda i izdataka'!$L$3:$L$498,'Unos rashoda i izdataka'!$C$3:$C$498,"=552",'Unos rashoda i izdataka'!$P$3:$P$498,"=45")+SUMIFS('Unos rashoda P4'!$J$3:$J$492,'Unos rashoda P4'!$A$3:$A$492,"=552",'Unos rashoda P4'!$S$3:$S$492,"=45")</f>
        <v>0</v>
      </c>
      <c r="L79" s="72">
        <f>SUMIFS('Unos rashoda i izdataka'!$L$3:$L$498,'Unos rashoda i izdataka'!$C$3:$C$498,"=559",'Unos rashoda i izdataka'!$P$3:$P$498,"=45")+SUMIFS('Unos rashoda P4'!$J$3:$J$492,'Unos rashoda P4'!$A$3:$A$492,"=559",'Unos rashoda P4'!$S$3:$S$492,"=45")</f>
        <v>0</v>
      </c>
      <c r="M79" s="72">
        <f>SUMIFS('Unos rashoda i izdataka'!$L$3:$L$498,'Unos rashoda i izdataka'!$C$3:$C$498,"=561",'Unos rashoda i izdataka'!$P$3:$P$498,"=45")+SUMIFS('Unos rashoda P4'!$J$3:$J$492,'Unos rashoda P4'!$A$3:$A$492,"=561",'Unos rashoda P4'!$S$3:$S$492,"=45")</f>
        <v>0</v>
      </c>
      <c r="N79" s="72">
        <f>SUMIFS('Unos rashoda i izdataka'!$L$3:$L$498,'Unos rashoda i izdataka'!$C$3:$C$498,"=563",'Unos rashoda i izdataka'!$P$3:$P$498,"=45")+SUMIFS('Unos rashoda P4'!$J$3:$J$492,'Unos rashoda P4'!$A$3:$A$492,"=563",'Unos rashoda P4'!$S$3:$S$492,"=45")</f>
        <v>0</v>
      </c>
      <c r="O79" s="72">
        <f>SUMIFS('Unos rashoda i izdataka'!$L$3:$L$498,'Unos rashoda i izdataka'!$C$3:$C$498,"=573",'Unos rashoda i izdataka'!$P$3:$P$498,"=45")+SUMIFS('Unos rashoda P4'!$J$3:$J$492,'Unos rashoda P4'!$A$3:$A$492,"=573",'Unos rashoda P4'!$S$3:$S$492,"=45")</f>
        <v>0</v>
      </c>
      <c r="P79" s="72">
        <f>SUMIFS('Unos rashoda i izdataka'!$L$3:$L$498,'Unos rashoda i izdataka'!$C$3:$C$498,"=575",'Unos rashoda i izdataka'!$P$3:$P$498,"=45")+SUMIFS('Unos rashoda P4'!$J$3:$J$492,'Unos rashoda P4'!$A$3:$A$492,"=575",'Unos rashoda P4'!$S$3:$S$492,"=45")</f>
        <v>0</v>
      </c>
      <c r="Q79" s="72">
        <f>SUMIFS('Unos rashoda i izdataka'!$L$3:$L$498,'Unos rashoda i izdataka'!$Q$3:$Q$498,"=576",'Unos rashoda i izdataka'!$P$3:$P$498,"=45")+SUMIFS('Unos rashoda P4'!$J$3:$J$492,'Unos rashoda P4'!$A$3:$A$492,"=576",'Unos rashoda P4'!$S$3:$S$492,"=45")</f>
        <v>0</v>
      </c>
      <c r="R79" s="72">
        <f>SUMIFS('Unos rashoda i izdataka'!$L$3:$L$498,'Unos rashoda i izdataka'!$C$3:$C$498,"=581",'Unos rashoda i izdataka'!$P$3:$P$498,"=45")+SUMIFS('Unos rashoda P4'!$J$3:$J$492,'Unos rashoda P4'!$A$3:$A$492,"=581",'Unos rashoda P4'!$S$3:$S$492,"=45")</f>
        <v>0</v>
      </c>
      <c r="S79" s="72">
        <f>SUMIFS('Unos rashoda i izdataka'!$L$3:$L$498,'Unos rashoda i izdataka'!$C$3:$C$498,"=61",'Unos rashoda i izdataka'!$P$3:$P$498,"=45")+SUMIFS('Unos rashoda P4'!$J$3:$J$492,'Unos rashoda P4'!$A$3:$A$492,"=61",'Unos rashoda P4'!$S$3:$S$492,"=45")</f>
        <v>0</v>
      </c>
      <c r="T79" s="72">
        <f>SUMIFS('Unos rashoda i izdataka'!$L$3:$L$498,'Unos rashoda i izdataka'!$C$3:$C$498,"=63",'Unos rashoda i izdataka'!$P$3:$P$498,"=45")+SUMIFS('Unos rashoda P4'!$J$3:$J$492,'Unos rashoda P4'!$A$3:$A$492,"=63",'Unos rashoda P4'!$S$3:$S$492,"=45")</f>
        <v>0</v>
      </c>
      <c r="U79" s="72">
        <f>SUMIFS('Unos rashoda i izdataka'!$L$3:$L$498,'Unos rashoda i izdataka'!$C$3:$C$498,"=71",'Unos rashoda i izdataka'!$P$3:$P$498,"=45")+SUMIFS('Unos rashoda P4'!$J$3:$J$492,'Unos rashoda P4'!$A$3:$A$492,"=71",'Unos rashoda P4'!$S$3:$S$492,"=45")</f>
        <v>0</v>
      </c>
      <c r="V79" s="72">
        <f>SUMIFS('Unos rashoda i izdataka'!$L$3:$L$498,'Unos rashoda i izdataka'!$C$3:$C$498,"=81",'Unos rashoda i izdataka'!$P$3:$P$498,"=45")+SUMIFS('Unos rashoda P4'!$J$3:$J$492,'Unos rashoda P4'!$A$3:$A$492,"=81",'Unos rashoda P4'!$S$3:$S$492,"=45")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26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26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26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26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26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26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26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60"/>
  <sheetViews>
    <sheetView workbookViewId="0">
      <selection activeCell="C4" sqref="C4:E4"/>
    </sheetView>
  </sheetViews>
  <sheetFormatPr defaultRowHeight="15"/>
  <cols>
    <col min="1" max="1" width="9.140625" style="291" customWidth="1"/>
    <col min="2" max="2" width="34" customWidth="1"/>
    <col min="3" max="5" width="14.140625" customWidth="1"/>
    <col min="7" max="11" width="9.140625" style="366"/>
    <col min="12" max="16" width="9.140625" style="363"/>
  </cols>
  <sheetData>
    <row r="1" spans="1:193" s="29" customFormat="1" ht="24" customHeight="1">
      <c r="A1" s="394" t="s">
        <v>5102</v>
      </c>
      <c r="B1" s="394"/>
      <c r="C1" s="394"/>
      <c r="D1" s="394"/>
      <c r="E1" s="394"/>
      <c r="F1" s="285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285"/>
      <c r="R1" s="285"/>
      <c r="S1" s="285"/>
      <c r="T1" s="285"/>
      <c r="U1" s="285"/>
      <c r="V1" s="285"/>
      <c r="W1" s="285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1" t="s">
        <v>5246</v>
      </c>
    </row>
    <row r="4" spans="1:193" ht="38.25">
      <c r="A4" s="289" t="s">
        <v>5103</v>
      </c>
      <c r="B4" s="2" t="s">
        <v>5114</v>
      </c>
      <c r="C4" s="322" t="s">
        <v>5260</v>
      </c>
      <c r="D4" s="322" t="s">
        <v>5259</v>
      </c>
      <c r="E4" s="322" t="s">
        <v>5261</v>
      </c>
    </row>
    <row r="5" spans="1:193" ht="28.5" customHeight="1">
      <c r="A5" s="59"/>
      <c r="B5" s="59" t="s">
        <v>5125</v>
      </c>
      <c r="C5" s="316">
        <f>+C6+C9+C11+C14+C25+C28+C30</f>
        <v>6344867.0696168216</v>
      </c>
      <c r="D5" s="316">
        <f t="shared" ref="D5:E5" si="0">+D6+D9+D11+D14+D25+D28+D30</f>
        <v>131413.86556515159</v>
      </c>
      <c r="E5" s="316">
        <f t="shared" si="0"/>
        <v>6476280.9351819744</v>
      </c>
      <c r="M5" s="364"/>
      <c r="N5" s="364"/>
      <c r="O5" s="364"/>
    </row>
    <row r="6" spans="1:193">
      <c r="A6" s="290">
        <v>1</v>
      </c>
      <c r="B6" s="58" t="s">
        <v>5117</v>
      </c>
      <c r="C6" s="315">
        <f>+C7+C8</f>
        <v>3782156.7604425238</v>
      </c>
      <c r="D6" s="315">
        <f t="shared" ref="D6:E6" si="1">+D7+D8</f>
        <v>64331.181841546</v>
      </c>
      <c r="E6" s="315">
        <f t="shared" si="1"/>
        <v>3846487.9422840695</v>
      </c>
      <c r="M6" s="364"/>
      <c r="N6" s="364"/>
      <c r="O6" s="364"/>
    </row>
    <row r="7" spans="1:193">
      <c r="A7" s="287">
        <v>11</v>
      </c>
      <c r="B7" s="43" t="s">
        <v>5104</v>
      </c>
      <c r="C7" s="314">
        <f>+'A.2 RASHODI'!D4</f>
        <v>3642136</v>
      </c>
      <c r="D7" s="314">
        <f>+'A.2 RASHODI'!D40</f>
        <v>89558</v>
      </c>
      <c r="E7" s="314">
        <f>+'A.2 RASHODI'!D57</f>
        <v>3731694</v>
      </c>
    </row>
    <row r="8" spans="1:193">
      <c r="A8" s="287">
        <v>12</v>
      </c>
      <c r="B8" s="43" t="s">
        <v>228</v>
      </c>
      <c r="C8" s="314">
        <f>+'A.2 RASHODI'!E4</f>
        <v>140020.76044252361</v>
      </c>
      <c r="D8" s="314">
        <f>+'A.2 RASHODI'!E40</f>
        <v>-25226.818158454</v>
      </c>
      <c r="E8" s="314">
        <f>+'A.2 RASHODI'!E57</f>
        <v>114793.94228406961</v>
      </c>
    </row>
    <row r="9" spans="1:193">
      <c r="A9" s="290">
        <v>3</v>
      </c>
      <c r="B9" s="58" t="s">
        <v>5118</v>
      </c>
      <c r="C9" s="315">
        <f>+C10</f>
        <v>113000</v>
      </c>
      <c r="D9" s="315">
        <f t="shared" ref="D9:E9" si="2">+D10</f>
        <v>5510</v>
      </c>
      <c r="E9" s="315">
        <f t="shared" si="2"/>
        <v>118510</v>
      </c>
      <c r="M9" s="364"/>
      <c r="N9" s="364"/>
      <c r="O9" s="364"/>
    </row>
    <row r="10" spans="1:193">
      <c r="A10" s="287">
        <v>31</v>
      </c>
      <c r="B10" s="43" t="s">
        <v>5105</v>
      </c>
      <c r="C10" s="314">
        <f>+'A.2 RASHODI'!F4</f>
        <v>113000</v>
      </c>
      <c r="D10" s="314">
        <f>+'A.2 RASHODI'!F40</f>
        <v>5510</v>
      </c>
      <c r="E10" s="314">
        <f>+'A.2 RASHODI'!F57</f>
        <v>118510</v>
      </c>
    </row>
    <row r="11" spans="1:193">
      <c r="A11" s="290">
        <v>4</v>
      </c>
      <c r="B11" s="58" t="s">
        <v>5119</v>
      </c>
      <c r="C11" s="315">
        <f>+C12+C13</f>
        <v>765800</v>
      </c>
      <c r="D11" s="315">
        <f t="shared" ref="D11:E11" si="3">+D12+D13</f>
        <v>0</v>
      </c>
      <c r="E11" s="315">
        <f t="shared" si="3"/>
        <v>765800</v>
      </c>
      <c r="M11" s="364"/>
      <c r="N11" s="364"/>
      <c r="O11" s="364"/>
    </row>
    <row r="12" spans="1:193">
      <c r="A12" s="287">
        <v>41</v>
      </c>
      <c r="B12" s="43" t="s">
        <v>1204</v>
      </c>
      <c r="C12" s="314">
        <f>+'A.2 RASHODI'!G4</f>
        <v>0</v>
      </c>
      <c r="D12" s="314">
        <f>+'A.2 RASHODI'!G40</f>
        <v>0</v>
      </c>
      <c r="E12" s="314">
        <f>+'A.2 RASHODI'!G57</f>
        <v>0</v>
      </c>
    </row>
    <row r="13" spans="1:193">
      <c r="A13" s="287">
        <v>43</v>
      </c>
      <c r="B13" s="43" t="s">
        <v>5107</v>
      </c>
      <c r="C13" s="314">
        <f>+'A.2 RASHODI'!H4</f>
        <v>765800</v>
      </c>
      <c r="D13" s="314">
        <f>+'A.2 RASHODI'!H40</f>
        <v>0</v>
      </c>
      <c r="E13" s="360">
        <f>+'A.2 RASHODI'!H57</f>
        <v>765800</v>
      </c>
    </row>
    <row r="14" spans="1:193">
      <c r="A14" s="290">
        <v>5</v>
      </c>
      <c r="B14" s="58" t="s">
        <v>5120</v>
      </c>
      <c r="C14" s="315">
        <f>SUM(C15:C24)</f>
        <v>1683910.3091742985</v>
      </c>
      <c r="D14" s="315">
        <f t="shared" ref="D14:E14" si="4">SUM(D15:D24)</f>
        <v>61572.683723605587</v>
      </c>
      <c r="E14" s="315">
        <f t="shared" si="4"/>
        <v>1745482.9928979042</v>
      </c>
      <c r="M14" s="364"/>
      <c r="N14" s="364"/>
      <c r="O14" s="364"/>
    </row>
    <row r="15" spans="1:193">
      <c r="A15" s="287">
        <v>51</v>
      </c>
      <c r="B15" s="43" t="s">
        <v>5108</v>
      </c>
      <c r="C15" s="314">
        <f>+'A.2 RASHODI'!I4</f>
        <v>0</v>
      </c>
      <c r="D15" s="314">
        <f>+'A.2 RASHODI'!I40</f>
        <v>0</v>
      </c>
      <c r="E15" s="314">
        <f>+'A.2 RASHODI'!I57</f>
        <v>0</v>
      </c>
      <c r="M15" s="364"/>
      <c r="N15" s="364"/>
      <c r="O15" s="364"/>
    </row>
    <row r="16" spans="1:193">
      <c r="A16" s="287">
        <v>52</v>
      </c>
      <c r="B16" s="43" t="s">
        <v>5109</v>
      </c>
      <c r="C16" s="314">
        <f>+'A.2 RASHODI'!J4</f>
        <v>607126</v>
      </c>
      <c r="D16" s="314">
        <f>+'A.2 RASHODI'!J40</f>
        <v>327005</v>
      </c>
      <c r="E16" s="314">
        <f>+'A.2 RASHODI'!J57</f>
        <v>934131</v>
      </c>
      <c r="M16" s="364"/>
      <c r="N16" s="364"/>
      <c r="O16" s="364"/>
    </row>
    <row r="17" spans="1:17">
      <c r="A17" s="287">
        <v>552</v>
      </c>
      <c r="B17" s="43" t="s">
        <v>5110</v>
      </c>
      <c r="C17" s="314">
        <f>+'A.2 RASHODI'!K4</f>
        <v>0</v>
      </c>
      <c r="D17" s="314">
        <f>+'A.2 RASHODI'!K40</f>
        <v>0</v>
      </c>
      <c r="E17" s="314">
        <f>+'A.2 RASHODI'!K57</f>
        <v>0</v>
      </c>
    </row>
    <row r="18" spans="1:17">
      <c r="A18" s="287">
        <v>559</v>
      </c>
      <c r="B18" s="43" t="s">
        <v>5111</v>
      </c>
      <c r="C18" s="314">
        <f>+'A.2 RASHODI'!L4</f>
        <v>0</v>
      </c>
      <c r="D18" s="314">
        <f>+'A.2 RASHODI'!L40</f>
        <v>0</v>
      </c>
      <c r="E18" s="314">
        <f>+'A.2 RASHODI'!L57</f>
        <v>0</v>
      </c>
      <c r="Q18" s="361"/>
    </row>
    <row r="19" spans="1:17">
      <c r="A19" s="287">
        <v>561</v>
      </c>
      <c r="B19" s="43" t="s">
        <v>109</v>
      </c>
      <c r="C19" s="314">
        <f>+'A.2 RASHODI'!M4</f>
        <v>0</v>
      </c>
      <c r="D19" s="314">
        <f>+'A.2 RASHODI'!M40</f>
        <v>0</v>
      </c>
      <c r="E19" s="314">
        <f>+'A.2 RASHODI'!M57</f>
        <v>0</v>
      </c>
    </row>
    <row r="20" spans="1:17">
      <c r="A20" s="287">
        <v>563</v>
      </c>
      <c r="B20" s="43" t="s">
        <v>1742</v>
      </c>
      <c r="C20" s="314">
        <f>+'A.2 RASHODI'!N4</f>
        <v>1076784.3091742985</v>
      </c>
      <c r="D20" s="314">
        <f>+'A.2 RASHODI'!N40</f>
        <v>-265432.31627639441</v>
      </c>
      <c r="E20" s="314">
        <f>+'A.2 RASHODI'!N57</f>
        <v>811351.99289790425</v>
      </c>
    </row>
    <row r="21" spans="1:17" ht="25.5">
      <c r="A21" s="287">
        <v>573</v>
      </c>
      <c r="B21" s="43" t="s">
        <v>1215</v>
      </c>
      <c r="C21" s="314">
        <f>+'A.2 RASHODI'!O4</f>
        <v>0</v>
      </c>
      <c r="D21" s="314">
        <f>+'A.2 RASHODI'!O40</f>
        <v>0</v>
      </c>
      <c r="E21" s="314">
        <f>+'A.2 RASHODI'!O57</f>
        <v>0</v>
      </c>
    </row>
    <row r="22" spans="1:17">
      <c r="A22" s="287">
        <v>575</v>
      </c>
      <c r="B22" s="43" t="s">
        <v>1217</v>
      </c>
      <c r="C22" s="314">
        <f>+'A.2 RASHODI'!P4</f>
        <v>0</v>
      </c>
      <c r="D22" s="314">
        <f>+'A.2 RASHODI'!P40</f>
        <v>0</v>
      </c>
      <c r="E22" s="314">
        <f>+'A.2 RASHODI'!P57</f>
        <v>0</v>
      </c>
    </row>
    <row r="23" spans="1:17">
      <c r="A23" s="287">
        <v>576</v>
      </c>
      <c r="B23" s="43" t="s">
        <v>1697</v>
      </c>
      <c r="C23" s="314">
        <f>+'A.2 RASHODI'!Q4</f>
        <v>0</v>
      </c>
      <c r="D23" s="314">
        <f>+'A.2 RASHODI'!Q40</f>
        <v>0</v>
      </c>
      <c r="E23" s="314">
        <f>+'A.2 RASHODI'!Q57</f>
        <v>0</v>
      </c>
    </row>
    <row r="24" spans="1:17">
      <c r="A24" s="287">
        <v>581</v>
      </c>
      <c r="B24" s="43" t="s">
        <v>1772</v>
      </c>
      <c r="C24" s="314">
        <f>+'A.2 RASHODI'!R4</f>
        <v>0</v>
      </c>
      <c r="D24" s="314">
        <f>+'A.2 RASHODI'!R40</f>
        <v>0</v>
      </c>
      <c r="E24" s="314">
        <f>+'A.2 RASHODI'!R57</f>
        <v>0</v>
      </c>
    </row>
    <row r="25" spans="1:17">
      <c r="A25" s="290">
        <v>6</v>
      </c>
      <c r="B25" s="58" t="s">
        <v>5121</v>
      </c>
      <c r="C25" s="315">
        <f>+C26+C27</f>
        <v>0</v>
      </c>
      <c r="D25" s="315">
        <f t="shared" ref="D25:E25" si="5">+D26+D27</f>
        <v>0</v>
      </c>
      <c r="E25" s="315">
        <f t="shared" si="5"/>
        <v>0</v>
      </c>
      <c r="M25" s="364"/>
      <c r="N25" s="364"/>
      <c r="O25" s="364"/>
    </row>
    <row r="26" spans="1:17">
      <c r="A26" s="287">
        <v>61</v>
      </c>
      <c r="B26" s="43" t="s">
        <v>1678</v>
      </c>
      <c r="C26" s="314">
        <f>+'A.2 RASHODI'!S4</f>
        <v>0</v>
      </c>
      <c r="D26" s="314">
        <f>+'A.2 RASHODI'!S40</f>
        <v>0</v>
      </c>
      <c r="E26" s="314">
        <f>+'A.2 RASHODI'!S57</f>
        <v>0</v>
      </c>
    </row>
    <row r="27" spans="1:17">
      <c r="A27" s="287">
        <v>63</v>
      </c>
      <c r="B27" s="43" t="s">
        <v>5115</v>
      </c>
      <c r="C27" s="314">
        <f>+'A.2 RASHODI'!T4</f>
        <v>0</v>
      </c>
      <c r="D27" s="314">
        <f>+'A.2 RASHODI'!T40</f>
        <v>0</v>
      </c>
      <c r="E27" s="314">
        <f>+'A.2 RASHODI'!T57</f>
        <v>0</v>
      </c>
    </row>
    <row r="28" spans="1:17" ht="38.25">
      <c r="A28" s="290">
        <v>7</v>
      </c>
      <c r="B28" s="58" t="s">
        <v>5122</v>
      </c>
      <c r="C28" s="315">
        <f>+C29</f>
        <v>0</v>
      </c>
      <c r="D28" s="315">
        <f t="shared" ref="D28:E28" si="6">+D29</f>
        <v>0</v>
      </c>
      <c r="E28" s="315">
        <f t="shared" si="6"/>
        <v>0</v>
      </c>
    </row>
    <row r="29" spans="1:17" ht="25.5">
      <c r="A29" s="287">
        <v>71</v>
      </c>
      <c r="B29" s="43" t="s">
        <v>5116</v>
      </c>
      <c r="C29" s="314">
        <f>+'A.2 RASHODI'!U4</f>
        <v>0</v>
      </c>
      <c r="D29" s="314">
        <f>+'A.2 RASHODI'!U40</f>
        <v>0</v>
      </c>
      <c r="E29" s="314">
        <f>+'A.2 RASHODI'!V57</f>
        <v>0</v>
      </c>
    </row>
    <row r="30" spans="1:17">
      <c r="A30" s="290">
        <v>8</v>
      </c>
      <c r="B30" s="58" t="s">
        <v>5123</v>
      </c>
      <c r="C30" s="315">
        <f>+C31</f>
        <v>0</v>
      </c>
      <c r="D30" s="315">
        <f t="shared" ref="D30:E30" si="7">+D31</f>
        <v>0</v>
      </c>
      <c r="E30" s="315">
        <f t="shared" si="7"/>
        <v>0</v>
      </c>
    </row>
    <row r="31" spans="1:17">
      <c r="A31" s="287">
        <v>81</v>
      </c>
      <c r="B31" s="43" t="s">
        <v>56</v>
      </c>
      <c r="C31" s="314">
        <f>+'A.2 RASHODI'!V4</f>
        <v>0</v>
      </c>
      <c r="D31" s="314">
        <f>+'A.2 RASHODI'!V40</f>
        <v>0</v>
      </c>
      <c r="E31" s="314">
        <f>+'A.2 RASHODI'!V57</f>
        <v>0</v>
      </c>
    </row>
    <row r="32" spans="1:17">
      <c r="B32" s="286"/>
    </row>
    <row r="34" spans="3:8">
      <c r="C34" s="365"/>
      <c r="D34" s="365"/>
      <c r="E34" s="365"/>
      <c r="F34" s="365"/>
    </row>
    <row r="35" spans="3:8">
      <c r="C35" s="365"/>
      <c r="D35" s="365"/>
      <c r="E35" s="365"/>
      <c r="F35" s="365"/>
    </row>
    <row r="36" spans="3:8">
      <c r="C36" s="365"/>
      <c r="D36" s="365"/>
      <c r="E36" s="365"/>
      <c r="F36" s="365"/>
    </row>
    <row r="37" spans="3:8">
      <c r="C37" s="365"/>
      <c r="D37" s="365"/>
      <c r="E37" s="365"/>
      <c r="F37" s="365"/>
    </row>
    <row r="38" spans="3:8">
      <c r="C38" s="365"/>
      <c r="D38" s="365"/>
      <c r="E38" s="365"/>
      <c r="F38" s="365"/>
    </row>
    <row r="39" spans="3:8">
      <c r="C39" s="365"/>
      <c r="D39" s="365"/>
      <c r="E39" s="365"/>
      <c r="F39" s="365"/>
    </row>
    <row r="40" spans="3:8">
      <c r="C40" s="365"/>
      <c r="D40" s="365"/>
      <c r="E40" s="365"/>
      <c r="F40" s="365"/>
    </row>
    <row r="41" spans="3:8">
      <c r="C41" s="365"/>
      <c r="D41" s="365"/>
      <c r="E41" s="365"/>
      <c r="F41" s="367"/>
      <c r="G41" s="368"/>
      <c r="H41" s="368"/>
    </row>
    <row r="42" spans="3:8">
      <c r="C42" s="365"/>
      <c r="D42" s="365"/>
      <c r="E42" s="365"/>
      <c r="F42" s="367"/>
      <c r="G42" s="368"/>
      <c r="H42" s="368"/>
    </row>
    <row r="43" spans="3:8">
      <c r="C43" s="365"/>
      <c r="D43" s="365"/>
      <c r="E43" s="365"/>
      <c r="F43" s="367"/>
      <c r="G43" s="368"/>
      <c r="H43" s="368"/>
    </row>
    <row r="44" spans="3:8">
      <c r="C44" s="365"/>
      <c r="D44" s="365"/>
      <c r="E44" s="365"/>
      <c r="F44" s="365"/>
    </row>
    <row r="45" spans="3:8">
      <c r="C45" s="365"/>
      <c r="D45" s="365"/>
      <c r="E45" s="365"/>
      <c r="F45" s="367"/>
      <c r="G45" s="368"/>
      <c r="H45" s="368"/>
    </row>
    <row r="46" spans="3:8">
      <c r="C46" s="365"/>
      <c r="D46" s="365"/>
      <c r="E46" s="365"/>
      <c r="F46" s="367"/>
      <c r="G46" s="368"/>
      <c r="H46" s="368"/>
    </row>
    <row r="47" spans="3:8">
      <c r="C47" s="365"/>
      <c r="D47" s="365"/>
      <c r="E47" s="365"/>
      <c r="F47" s="367"/>
      <c r="G47" s="368"/>
      <c r="H47" s="368"/>
    </row>
    <row r="48" spans="3:8">
      <c r="C48" s="365"/>
      <c r="D48" s="365"/>
      <c r="E48" s="365"/>
      <c r="F48" s="365"/>
    </row>
    <row r="49" spans="3:8">
      <c r="C49" s="365"/>
      <c r="D49" s="365"/>
      <c r="E49" s="365"/>
      <c r="F49" s="365"/>
    </row>
    <row r="50" spans="3:8">
      <c r="C50" s="365"/>
      <c r="D50" s="365"/>
      <c r="E50" s="365"/>
      <c r="F50" s="365"/>
    </row>
    <row r="51" spans="3:8">
      <c r="C51" s="365"/>
      <c r="D51" s="365"/>
      <c r="E51" s="365"/>
      <c r="F51" s="365"/>
    </row>
    <row r="52" spans="3:8">
      <c r="C52" s="365"/>
      <c r="D52" s="365"/>
      <c r="E52" s="365"/>
      <c r="F52" s="365"/>
    </row>
    <row r="53" spans="3:8">
      <c r="C53" s="365"/>
      <c r="D53" s="365"/>
      <c r="E53" s="365"/>
      <c r="F53" s="365"/>
    </row>
    <row r="54" spans="3:8">
      <c r="C54" s="365"/>
      <c r="D54" s="365"/>
      <c r="E54" s="365"/>
      <c r="F54" s="365"/>
    </row>
    <row r="55" spans="3:8">
      <c r="C55" s="365"/>
      <c r="D55" s="365"/>
      <c r="E55" s="365"/>
      <c r="F55" s="365"/>
    </row>
    <row r="56" spans="3:8">
      <c r="C56" s="365"/>
      <c r="D56" s="365"/>
      <c r="E56" s="365"/>
      <c r="F56" s="365"/>
    </row>
    <row r="57" spans="3:8">
      <c r="C57" s="365"/>
      <c r="D57" s="365"/>
      <c r="E57" s="365"/>
      <c r="F57" s="365"/>
    </row>
    <row r="58" spans="3:8">
      <c r="C58" s="365"/>
      <c r="D58" s="365"/>
      <c r="E58" s="365"/>
      <c r="F58" s="365"/>
    </row>
    <row r="59" spans="3:8">
      <c r="C59" s="365"/>
      <c r="D59" s="365"/>
      <c r="E59" s="365"/>
      <c r="F59" s="365"/>
    </row>
    <row r="60" spans="3:8">
      <c r="C60" s="365"/>
      <c r="D60" s="365"/>
      <c r="E60" s="365"/>
      <c r="F60" s="367"/>
      <c r="G60" s="368"/>
      <c r="H60" s="36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84"/>
  <sheetViews>
    <sheetView workbookViewId="0">
      <pane xSplit="1" ySplit="4" topLeftCell="B59" activePane="bottomRight" state="frozen"/>
      <selection pane="topRight" activeCell="B1" sqref="B1"/>
      <selection pane="bottomLeft" activeCell="A4" sqref="A4"/>
      <selection pane="bottomRight" activeCell="C70" sqref="C70:E70"/>
    </sheetView>
  </sheetViews>
  <sheetFormatPr defaultRowHeight="15"/>
  <cols>
    <col min="1" max="1" width="9.28515625" style="308" bestFit="1" customWidth="1"/>
    <col min="2" max="2" width="41.85546875" style="286" customWidth="1"/>
    <col min="3" max="5" width="15.85546875" customWidth="1"/>
  </cols>
  <sheetData>
    <row r="1" spans="1:193" s="29" customFormat="1" ht="24" customHeight="1">
      <c r="A1" s="394" t="s">
        <v>5124</v>
      </c>
      <c r="B1" s="394"/>
      <c r="C1" s="394"/>
      <c r="D1" s="394"/>
      <c r="E1" s="394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1"/>
      <c r="B2" s="281"/>
      <c r="C2" s="281"/>
      <c r="D2" s="281"/>
      <c r="E2" s="281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1" t="s">
        <v>5246</v>
      </c>
    </row>
    <row r="4" spans="1:193" ht="30">
      <c r="A4" s="41" t="s">
        <v>5103</v>
      </c>
      <c r="B4" s="2" t="s">
        <v>5129</v>
      </c>
      <c r="C4" s="322" t="s">
        <v>5260</v>
      </c>
      <c r="D4" s="322" t="s">
        <v>5259</v>
      </c>
      <c r="E4" s="322" t="s">
        <v>5261</v>
      </c>
    </row>
    <row r="5" spans="1:193" ht="28.5" customHeight="1">
      <c r="A5" s="306"/>
      <c r="B5" s="59" t="s">
        <v>5125</v>
      </c>
      <c r="C5" s="61">
        <f>+C6+C15+C21+C28+C38+C45+C52+C59+C66+C75</f>
        <v>0</v>
      </c>
      <c r="D5" s="61">
        <f t="shared" ref="D5:E5" si="0">+D6+D15+D21+D28+D38+D45+D52+D59+D66+D75</f>
        <v>0</v>
      </c>
      <c r="E5" s="61">
        <f t="shared" si="0"/>
        <v>0</v>
      </c>
      <c r="K5" s="321"/>
      <c r="L5" s="321"/>
      <c r="M5" s="321"/>
    </row>
    <row r="6" spans="1:193">
      <c r="A6" s="288">
        <v>1</v>
      </c>
      <c r="B6" s="58" t="s">
        <v>5126</v>
      </c>
      <c r="C6" s="315">
        <f>SUM(C7:C14)</f>
        <v>0</v>
      </c>
      <c r="D6" s="315">
        <f>SUM(D7:D14)</f>
        <v>0</v>
      </c>
      <c r="E6" s="315">
        <f>SUM(E7:E14)</f>
        <v>0</v>
      </c>
    </row>
    <row r="7" spans="1:193" ht="25.5">
      <c r="A7" s="307">
        <v>11</v>
      </c>
      <c r="B7" s="43" t="s">
        <v>5127</v>
      </c>
      <c r="C7" s="314">
        <f>SUMIF('Unos rashoda i izdataka'!$R$3:$R$498,'A.4 RASHODI FUNK'!$A7,'Unos rashoda i izdataka'!$J$3:$J$498)+SUMIF('Unos rashoda P4'!$T$3:$T$492,'A.4 RASHODI FUNK'!$A7,'Unos rashoda P4'!$H$3:$H$492)</f>
        <v>0</v>
      </c>
      <c r="D7" s="314">
        <f>SUMIF('Unos rashoda i izdataka'!$R$3:$R$498,'A.4 RASHODI FUNK'!$A7,'Unos rashoda i izdataka'!$K$3:$K$498)+SUMIF('Unos rashoda P4'!$T$3:$T$492,'A.4 RASHODI FUNK'!$A7,'Unos rashoda P4'!$I$3:$I$492)</f>
        <v>0</v>
      </c>
      <c r="E7" s="314">
        <f>SUMIF('Unos rashoda i izdataka'!$R$3:$R$498,'A.4 RASHODI FUNK'!$A7,'Unos rashoda i izdataka'!$L$3:$L$498)+SUMIF('Unos rashoda P4'!$T$3:$T$492,'A.4 RASHODI FUNK'!$A7,'Unos rashoda P4'!$J$3:$J$492)</f>
        <v>0</v>
      </c>
      <c r="G7" s="321"/>
      <c r="H7" s="321"/>
      <c r="I7" s="321"/>
    </row>
    <row r="8" spans="1:193">
      <c r="A8" s="307">
        <v>12</v>
      </c>
      <c r="B8" s="43" t="s">
        <v>5128</v>
      </c>
      <c r="C8" s="314">
        <f>SUMIF('Unos rashoda i izdataka'!$R$3:$R$498,'A.4 RASHODI FUNK'!$A8,'Unos rashoda i izdataka'!$J$3:$J$498)+SUMIF('Unos rashoda P4'!$T$3:$T$492,'A.4 RASHODI FUNK'!$A8,'Unos rashoda P4'!$H$3:$H$492)</f>
        <v>0</v>
      </c>
      <c r="D8" s="314">
        <f>SUMIF('Unos rashoda i izdataka'!$R$3:$R$498,'A.4 RASHODI FUNK'!$A8,'Unos rashoda i izdataka'!$K$3:$K$498)+SUMIF('Unos rashoda P4'!$T$3:$T$492,'A.4 RASHODI FUNK'!$A8,'Unos rashoda P4'!$I$3:$I$492)</f>
        <v>0</v>
      </c>
      <c r="E8" s="314">
        <f>SUMIF('Unos rashoda i izdataka'!$R$3:$R$498,'A.4 RASHODI FUNK'!$A8,'Unos rashoda i izdataka'!$L$3:$L$498)+SUMIF('Unos rashoda P4'!$T$3:$T$492,'A.4 RASHODI FUNK'!$A8,'Unos rashoda P4'!$J$3:$J$492)</f>
        <v>0</v>
      </c>
      <c r="G8" s="321"/>
      <c r="H8" s="321"/>
      <c r="I8" s="321"/>
    </row>
    <row r="9" spans="1:193">
      <c r="A9" s="307">
        <v>13</v>
      </c>
      <c r="B9" s="43" t="s">
        <v>5130</v>
      </c>
      <c r="C9" s="314">
        <f>SUMIF('Unos rashoda i izdataka'!$R$3:$R$498,'A.4 RASHODI FUNK'!$A9,'Unos rashoda i izdataka'!$J$3:$J$498)+SUMIF('Unos rashoda P4'!$T$3:$T$492,'A.4 RASHODI FUNK'!$A9,'Unos rashoda P4'!$H$3:$H$492)</f>
        <v>0</v>
      </c>
      <c r="D9" s="314">
        <f>SUMIF('Unos rashoda i izdataka'!$R$3:$R$498,'A.4 RASHODI FUNK'!$A9,'Unos rashoda i izdataka'!$K$3:$K$498)+SUMIF('Unos rashoda P4'!$T$3:$T$492,'A.4 RASHODI FUNK'!$A9,'Unos rashoda P4'!$I$3:$I$492)</f>
        <v>0</v>
      </c>
      <c r="E9" s="314">
        <f>SUMIF('Unos rashoda i izdataka'!$R$3:$R$498,'A.4 RASHODI FUNK'!$A9,'Unos rashoda i izdataka'!$L$3:$L$498)+SUMIF('Unos rashoda P4'!$T$3:$T$492,'A.4 RASHODI FUNK'!$A9,'Unos rashoda P4'!$J$3:$J$492)</f>
        <v>0</v>
      </c>
    </row>
    <row r="10" spans="1:193">
      <c r="A10" s="307">
        <v>14</v>
      </c>
      <c r="B10" s="43" t="s">
        <v>5178</v>
      </c>
      <c r="C10" s="314">
        <f>SUMIF('Unos rashoda i izdataka'!$R$3:$R$498,'A.4 RASHODI FUNK'!$A10,'Unos rashoda i izdataka'!$J$3:$J$498)+SUMIF('Unos rashoda P4'!$T$3:$T$492,'A.4 RASHODI FUNK'!$A10,'Unos rashoda P4'!$H$3:$H$492)</f>
        <v>0</v>
      </c>
      <c r="D10" s="314">
        <f>SUMIF('Unos rashoda i izdataka'!$R$3:$R$498,'A.4 RASHODI FUNK'!$A10,'Unos rashoda i izdataka'!$K$3:$K$498)+SUMIF('Unos rashoda P4'!$T$3:$T$492,'A.4 RASHODI FUNK'!$A10,'Unos rashoda P4'!$I$3:$I$492)</f>
        <v>0</v>
      </c>
      <c r="E10" s="314">
        <f>SUMIF('Unos rashoda i izdataka'!$R$3:$R$498,'A.4 RASHODI FUNK'!$A10,'Unos rashoda i izdataka'!$L$3:$L$498)+SUMIF('Unos rashoda P4'!$T$3:$T$492,'A.4 RASHODI FUNK'!$A10,'Unos rashoda P4'!$J$3:$J$492)</f>
        <v>0</v>
      </c>
    </row>
    <row r="11" spans="1:193">
      <c r="A11" s="307">
        <v>15</v>
      </c>
      <c r="B11" s="43" t="s">
        <v>5137</v>
      </c>
      <c r="C11" s="314">
        <f>SUMIF('Unos rashoda i izdataka'!$R$3:$R$498,'A.4 RASHODI FUNK'!$A11,'Unos rashoda i izdataka'!$J$3:$J$498)+SUMIF('Unos rashoda P4'!$T$3:$T$492,'A.4 RASHODI FUNK'!$A11,'Unos rashoda P4'!$H$3:$H$492)</f>
        <v>0</v>
      </c>
      <c r="D11" s="314">
        <f>SUMIF('Unos rashoda i izdataka'!$R$3:$R$498,'A.4 RASHODI FUNK'!$A11,'Unos rashoda i izdataka'!$K$3:$K$498)+SUMIF('Unos rashoda P4'!$T$3:$T$492,'A.4 RASHODI FUNK'!$A11,'Unos rashoda P4'!$I$3:$I$492)</f>
        <v>0</v>
      </c>
      <c r="E11" s="314">
        <f>SUMIF('Unos rashoda i izdataka'!$R$3:$R$498,'A.4 RASHODI FUNK'!$A11,'Unos rashoda i izdataka'!$L$3:$L$498)+SUMIF('Unos rashoda P4'!$T$3:$T$492,'A.4 RASHODI FUNK'!$A11,'Unos rashoda P4'!$J$3:$J$492)</f>
        <v>0</v>
      </c>
    </row>
    <row r="12" spans="1:193">
      <c r="A12" s="307">
        <v>16</v>
      </c>
      <c r="B12" s="43" t="s">
        <v>5179</v>
      </c>
      <c r="C12" s="314">
        <f>SUMIF('Unos rashoda i izdataka'!$R$3:$R$498,'A.4 RASHODI FUNK'!$A12,'Unos rashoda i izdataka'!$J$3:$J$498)+SUMIF('Unos rashoda P4'!$T$3:$T$492,'A.4 RASHODI FUNK'!$A12,'Unos rashoda P4'!$H$3:$H$492)</f>
        <v>0</v>
      </c>
      <c r="D12" s="314">
        <f>SUMIF('Unos rashoda i izdataka'!$R$3:$R$498,'A.4 RASHODI FUNK'!$A12,'Unos rashoda i izdataka'!$K$3:$K$498)+SUMIF('Unos rashoda P4'!$T$3:$T$492,'A.4 RASHODI FUNK'!$A12,'Unos rashoda P4'!$I$3:$I$492)</f>
        <v>0</v>
      </c>
      <c r="E12" s="314">
        <f>SUMIF('Unos rashoda i izdataka'!$R$3:$R$498,'A.4 RASHODI FUNK'!$A12,'Unos rashoda i izdataka'!$L$3:$L$498)+SUMIF('Unos rashoda P4'!$T$3:$T$492,'A.4 RASHODI FUNK'!$A12,'Unos rashoda P4'!$J$3:$J$492)</f>
        <v>0</v>
      </c>
      <c r="G12" s="321"/>
      <c r="H12" s="321"/>
      <c r="I12" s="321"/>
    </row>
    <row r="13" spans="1:193">
      <c r="A13" s="307">
        <v>17</v>
      </c>
      <c r="B13" s="43" t="s">
        <v>5180</v>
      </c>
      <c r="C13" s="314">
        <f>SUMIF('Unos rashoda i izdataka'!$R$3:$R$498,'A.4 RASHODI FUNK'!$A13,'Unos rashoda i izdataka'!$J$3:$J$498)+SUMIF('Unos rashoda P4'!$T$3:$T$492,'A.4 RASHODI FUNK'!$A13,'Unos rashoda P4'!$H$3:$H$492)</f>
        <v>0</v>
      </c>
      <c r="D13" s="314">
        <f>SUMIF('Unos rashoda i izdataka'!$R$3:$R$498,'A.4 RASHODI FUNK'!$A13,'Unos rashoda i izdataka'!$K$3:$K$498)+SUMIF('Unos rashoda P4'!$T$3:$T$492,'A.4 RASHODI FUNK'!$A13,'Unos rashoda P4'!$I$3:$I$492)</f>
        <v>0</v>
      </c>
      <c r="E13" s="314">
        <f>SUMIF('Unos rashoda i izdataka'!$R$3:$R$498,'A.4 RASHODI FUNK'!$A13,'Unos rashoda i izdataka'!$L$3:$L$498)+SUMIF('Unos rashoda P4'!$T$3:$T$492,'A.4 RASHODI FUNK'!$A13,'Unos rashoda P4'!$J$3:$J$492)</f>
        <v>0</v>
      </c>
    </row>
    <row r="14" spans="1:193" ht="25.5">
      <c r="A14" s="307">
        <v>18</v>
      </c>
      <c r="B14" s="43" t="s">
        <v>5149</v>
      </c>
      <c r="C14" s="314">
        <f>SUMIF('Unos rashoda i izdataka'!$R$3:$R$498,'A.4 RASHODI FUNK'!$A14,'Unos rashoda i izdataka'!$J$3:$J$498)+SUMIF('Unos rashoda P4'!$T$3:$T$492,'A.4 RASHODI FUNK'!$A14,'Unos rashoda P4'!$H$3:$H$492)</f>
        <v>0</v>
      </c>
      <c r="D14" s="314">
        <f>SUMIF('Unos rashoda i izdataka'!$R$3:$R$498,'A.4 RASHODI FUNK'!$A14,'Unos rashoda i izdataka'!$K$3:$K$498)+SUMIF('Unos rashoda P4'!$T$3:$T$492,'A.4 RASHODI FUNK'!$A14,'Unos rashoda P4'!$I$3:$I$492)</f>
        <v>0</v>
      </c>
      <c r="E14" s="314">
        <f>SUMIF('Unos rashoda i izdataka'!$R$3:$R$498,'A.4 RASHODI FUNK'!$A14,'Unos rashoda i izdataka'!$L$3:$L$498)+SUMIF('Unos rashoda P4'!$T$3:$T$492,'A.4 RASHODI FUNK'!$A14,'Unos rashoda P4'!$J$3:$J$492)</f>
        <v>0</v>
      </c>
    </row>
    <row r="15" spans="1:193">
      <c r="A15" s="288">
        <v>2</v>
      </c>
      <c r="B15" s="58" t="s">
        <v>5181</v>
      </c>
      <c r="C15" s="315">
        <f>SUM(C16:C20)</f>
        <v>0</v>
      </c>
      <c r="D15" s="315">
        <f>SUM(D16:D20)</f>
        <v>0</v>
      </c>
      <c r="E15" s="315">
        <f>SUM(E16:E20)</f>
        <v>0</v>
      </c>
    </row>
    <row r="16" spans="1:193">
      <c r="A16" s="307">
        <v>21</v>
      </c>
      <c r="B16" s="43" t="s">
        <v>5182</v>
      </c>
      <c r="C16" s="314">
        <f>SUMIF('Unos rashoda i izdataka'!$R$3:$R$498,'A.4 RASHODI FUNK'!$A16,'Unos rashoda i izdataka'!$J$3:$J$498)+SUMIF('Unos rashoda P4'!$T$3:$T$492,'A.4 RASHODI FUNK'!$A16,'Unos rashoda P4'!$H$3:$H$492)</f>
        <v>0</v>
      </c>
      <c r="D16" s="314">
        <f>SUMIF('Unos rashoda i izdataka'!$R$3:$R$498,'A.4 RASHODI FUNK'!$A16,'Unos rashoda i izdataka'!$K$3:$K$498)+SUMIF('Unos rashoda P4'!$T$3:$T$492,'A.4 RASHODI FUNK'!$A16,'Unos rashoda P4'!$I$3:$I$492)</f>
        <v>0</v>
      </c>
      <c r="E16" s="314">
        <f>SUMIF('Unos rashoda i izdataka'!$R$3:$R$498,'A.4 RASHODI FUNK'!$A16,'Unos rashoda i izdataka'!$L$3:$L$498)+SUMIF('Unos rashoda P4'!$T$3:$T$492,'A.4 RASHODI FUNK'!$A16,'Unos rashoda P4'!$J$3:$J$492)</f>
        <v>0</v>
      </c>
    </row>
    <row r="17" spans="1:5">
      <c r="A17" s="307">
        <v>22</v>
      </c>
      <c r="B17" s="43" t="s">
        <v>5183</v>
      </c>
      <c r="C17" s="314">
        <f>SUMIF('Unos rashoda i izdataka'!$R$3:$R$498,'A.4 RASHODI FUNK'!$A17,'Unos rashoda i izdataka'!$J$3:$J$498)+SUMIF('Unos rashoda P4'!$T$3:$T$492,'A.4 RASHODI FUNK'!$A17,'Unos rashoda P4'!$H$3:$H$492)</f>
        <v>0</v>
      </c>
      <c r="D17" s="314">
        <f>SUMIF('Unos rashoda i izdataka'!$R$3:$R$498,'A.4 RASHODI FUNK'!$A17,'Unos rashoda i izdataka'!$K$3:$K$498)+SUMIF('Unos rashoda P4'!$T$3:$T$492,'A.4 RASHODI FUNK'!$A17,'Unos rashoda P4'!$I$3:$I$492)</f>
        <v>0</v>
      </c>
      <c r="E17" s="314">
        <f>SUMIF('Unos rashoda i izdataka'!$R$3:$R$498,'A.4 RASHODI FUNK'!$A17,'Unos rashoda i izdataka'!$L$3:$L$498)+SUMIF('Unos rashoda P4'!$T$3:$T$492,'A.4 RASHODI FUNK'!$A17,'Unos rashoda P4'!$J$3:$J$492)</f>
        <v>0</v>
      </c>
    </row>
    <row r="18" spans="1:5">
      <c r="A18" s="307">
        <v>23</v>
      </c>
      <c r="B18" s="43" t="s">
        <v>5184</v>
      </c>
      <c r="C18" s="314">
        <f>SUMIF('Unos rashoda i izdataka'!$R$3:$R$498,'A.4 RASHODI FUNK'!$A18,'Unos rashoda i izdataka'!$J$3:$J$498)+SUMIF('Unos rashoda P4'!$T$3:$T$492,'A.4 RASHODI FUNK'!$A18,'Unos rashoda P4'!$H$3:$H$492)</f>
        <v>0</v>
      </c>
      <c r="D18" s="314">
        <f>SUMIF('Unos rashoda i izdataka'!$R$3:$R$498,'A.4 RASHODI FUNK'!$A18,'Unos rashoda i izdataka'!$K$3:$K$498)+SUMIF('Unos rashoda P4'!$T$3:$T$492,'A.4 RASHODI FUNK'!$A18,'Unos rashoda P4'!$I$3:$I$492)</f>
        <v>0</v>
      </c>
      <c r="E18" s="314">
        <f>SUMIF('Unos rashoda i izdataka'!$R$3:$R$498,'A.4 RASHODI FUNK'!$A18,'Unos rashoda i izdataka'!$L$3:$L$498)+SUMIF('Unos rashoda P4'!$T$3:$T$492,'A.4 RASHODI FUNK'!$A18,'Unos rashoda P4'!$J$3:$J$492)</f>
        <v>0</v>
      </c>
    </row>
    <row r="19" spans="1:5">
      <c r="A19" s="307">
        <v>24</v>
      </c>
      <c r="B19" s="43" t="s">
        <v>5185</v>
      </c>
      <c r="C19" s="314">
        <f>SUMIF('Unos rashoda i izdataka'!$R$3:$R$498,'A.4 RASHODI FUNK'!$A19,'Unos rashoda i izdataka'!$J$3:$J$498)+SUMIF('Unos rashoda P4'!$T$3:$T$492,'A.4 RASHODI FUNK'!$A19,'Unos rashoda P4'!$H$3:$H$492)</f>
        <v>0</v>
      </c>
      <c r="D19" s="314">
        <f>SUMIF('Unos rashoda i izdataka'!$R$3:$R$498,'A.4 RASHODI FUNK'!$A19,'Unos rashoda i izdataka'!$K$3:$K$498)+SUMIF('Unos rashoda P4'!$T$3:$T$492,'A.4 RASHODI FUNK'!$A19,'Unos rashoda P4'!$I$3:$I$492)</f>
        <v>0</v>
      </c>
      <c r="E19" s="314">
        <f>SUMIF('Unos rashoda i izdataka'!$R$3:$R$498,'A.4 RASHODI FUNK'!$A19,'Unos rashoda i izdataka'!$L$3:$L$498)+SUMIF('Unos rashoda P4'!$T$3:$T$492,'A.4 RASHODI FUNK'!$A19,'Unos rashoda P4'!$J$3:$J$492)</f>
        <v>0</v>
      </c>
    </row>
    <row r="20" spans="1:5">
      <c r="A20" s="307">
        <v>25</v>
      </c>
      <c r="B20" s="43" t="s">
        <v>5186</v>
      </c>
      <c r="C20" s="314">
        <f>SUMIF('Unos rashoda i izdataka'!$R$3:$R$498,'A.4 RASHODI FUNK'!$A20,'Unos rashoda i izdataka'!$J$3:$J$498)+SUMIF('Unos rashoda P4'!$T$3:$T$492,'A.4 RASHODI FUNK'!$A20,'Unos rashoda P4'!$H$3:$H$492)</f>
        <v>0</v>
      </c>
      <c r="D20" s="314">
        <f>SUMIF('Unos rashoda i izdataka'!$R$3:$R$498,'A.4 RASHODI FUNK'!$A20,'Unos rashoda i izdataka'!$K$3:$K$498)+SUMIF('Unos rashoda P4'!$T$3:$T$492,'A.4 RASHODI FUNK'!$A20,'Unos rashoda P4'!$I$3:$I$492)</f>
        <v>0</v>
      </c>
      <c r="E20" s="314">
        <f>SUMIF('Unos rashoda i izdataka'!$R$3:$R$498,'A.4 RASHODI FUNK'!$A20,'Unos rashoda i izdataka'!$L$3:$L$498)+SUMIF('Unos rashoda P4'!$T$3:$T$492,'A.4 RASHODI FUNK'!$A20,'Unos rashoda P4'!$J$3:$J$492)</f>
        <v>0</v>
      </c>
    </row>
    <row r="21" spans="1:5">
      <c r="A21" s="288">
        <v>3</v>
      </c>
      <c r="B21" s="58" t="s">
        <v>5187</v>
      </c>
      <c r="C21" s="320">
        <f>SUM(C22:C27)</f>
        <v>0</v>
      </c>
      <c r="D21" s="320">
        <f>SUM(D22:D27)</f>
        <v>0</v>
      </c>
      <c r="E21" s="320">
        <f>SUM(E22:E27)</f>
        <v>0</v>
      </c>
    </row>
    <row r="22" spans="1:5">
      <c r="A22" s="307">
        <v>31</v>
      </c>
      <c r="B22" s="43" t="s">
        <v>5188</v>
      </c>
      <c r="C22" s="314">
        <f>SUMIF('Unos rashoda i izdataka'!$R$3:$R$498,'A.4 RASHODI FUNK'!$A22,'Unos rashoda i izdataka'!$J$3:$J$498)+SUMIF('Unos rashoda P4'!$T$3:$T$492,'A.4 RASHODI FUNK'!$A22,'Unos rashoda P4'!$H$3:$H$492)</f>
        <v>0</v>
      </c>
      <c r="D22" s="314">
        <f>SUMIF('Unos rashoda i izdataka'!$R$3:$R$498,'A.4 RASHODI FUNK'!$A22,'Unos rashoda i izdataka'!$K$3:$K$498)+SUMIF('Unos rashoda P4'!$T$3:$T$492,'A.4 RASHODI FUNK'!$A22,'Unos rashoda P4'!$I$3:$I$492)</f>
        <v>0</v>
      </c>
      <c r="E22" s="314">
        <f>SUMIF('Unos rashoda i izdataka'!$R$3:$R$498,'A.4 RASHODI FUNK'!$A22,'Unos rashoda i izdataka'!$L$3:$L$498)+SUMIF('Unos rashoda P4'!$T$3:$T$492,'A.4 RASHODI FUNK'!$A22,'Unos rashoda P4'!$J$3:$J$492)</f>
        <v>0</v>
      </c>
    </row>
    <row r="23" spans="1:5">
      <c r="A23" s="307">
        <v>32</v>
      </c>
      <c r="B23" s="43" t="s">
        <v>5189</v>
      </c>
      <c r="C23" s="314">
        <f>SUMIF('Unos rashoda i izdataka'!$R$3:$R$498,'A.4 RASHODI FUNK'!$A23,'Unos rashoda i izdataka'!$J$3:$J$498)+SUMIF('Unos rashoda P4'!$T$3:$T$492,'A.4 RASHODI FUNK'!$A23,'Unos rashoda P4'!$H$3:$H$492)</f>
        <v>0</v>
      </c>
      <c r="D23" s="314">
        <f>SUMIF('Unos rashoda i izdataka'!$R$3:$R$498,'A.4 RASHODI FUNK'!$A23,'Unos rashoda i izdataka'!$K$3:$K$498)+SUMIF('Unos rashoda P4'!$T$3:$T$492,'A.4 RASHODI FUNK'!$A23,'Unos rashoda P4'!$I$3:$I$492)</f>
        <v>0</v>
      </c>
      <c r="E23" s="314">
        <f>SUMIF('Unos rashoda i izdataka'!$R$3:$R$498,'A.4 RASHODI FUNK'!$A23,'Unos rashoda i izdataka'!$L$3:$L$498)+SUMIF('Unos rashoda P4'!$T$3:$T$492,'A.4 RASHODI FUNK'!$A23,'Unos rashoda P4'!$J$3:$J$492)</f>
        <v>0</v>
      </c>
    </row>
    <row r="24" spans="1:5">
      <c r="A24" s="307">
        <v>33</v>
      </c>
      <c r="B24" s="43" t="s">
        <v>5190</v>
      </c>
      <c r="C24" s="314">
        <f>SUMIF('Unos rashoda i izdataka'!$R$3:$R$498,'A.4 RASHODI FUNK'!$A24,'Unos rashoda i izdataka'!$J$3:$J$498)+SUMIF('Unos rashoda P4'!$T$3:$T$492,'A.4 RASHODI FUNK'!$A24,'Unos rashoda P4'!$H$3:$H$492)</f>
        <v>0</v>
      </c>
      <c r="D24" s="314">
        <f>SUMIF('Unos rashoda i izdataka'!$R$3:$R$498,'A.4 RASHODI FUNK'!$A24,'Unos rashoda i izdataka'!$K$3:$K$498)+SUMIF('Unos rashoda P4'!$T$3:$T$492,'A.4 RASHODI FUNK'!$A24,'Unos rashoda P4'!$I$3:$I$492)</f>
        <v>0</v>
      </c>
      <c r="E24" s="314">
        <f>SUMIF('Unos rashoda i izdataka'!$R$3:$R$498,'A.4 RASHODI FUNK'!$A24,'Unos rashoda i izdataka'!$L$3:$L$498)+SUMIF('Unos rashoda P4'!$T$3:$T$492,'A.4 RASHODI FUNK'!$A24,'Unos rashoda P4'!$J$3:$J$492)</f>
        <v>0</v>
      </c>
    </row>
    <row r="25" spans="1:5">
      <c r="A25" s="307">
        <v>34</v>
      </c>
      <c r="B25" s="43" t="s">
        <v>5191</v>
      </c>
      <c r="C25" s="314">
        <f>SUMIF('Unos rashoda i izdataka'!$R$3:$R$498,'A.4 RASHODI FUNK'!$A25,'Unos rashoda i izdataka'!$J$3:$J$498)+SUMIF('Unos rashoda P4'!$T$3:$T$492,'A.4 RASHODI FUNK'!$A25,'Unos rashoda P4'!$H$3:$H$492)</f>
        <v>0</v>
      </c>
      <c r="D25" s="314">
        <f>SUMIF('Unos rashoda i izdataka'!$R$3:$R$498,'A.4 RASHODI FUNK'!$A25,'Unos rashoda i izdataka'!$K$3:$K$498)+SUMIF('Unos rashoda P4'!$T$3:$T$492,'A.4 RASHODI FUNK'!$A25,'Unos rashoda P4'!$I$3:$I$492)</f>
        <v>0</v>
      </c>
      <c r="E25" s="314">
        <f>SUMIF('Unos rashoda i izdataka'!$R$3:$R$498,'A.4 RASHODI FUNK'!$A25,'Unos rashoda i izdataka'!$L$3:$L$498)+SUMIF('Unos rashoda P4'!$T$3:$T$492,'A.4 RASHODI FUNK'!$A25,'Unos rashoda P4'!$J$3:$J$492)</f>
        <v>0</v>
      </c>
    </row>
    <row r="26" spans="1:5">
      <c r="A26" s="307">
        <v>35</v>
      </c>
      <c r="B26" s="43" t="s">
        <v>5192</v>
      </c>
      <c r="C26" s="314">
        <f>SUMIF('Unos rashoda i izdataka'!$R$3:$R$498,'A.4 RASHODI FUNK'!$A26,'Unos rashoda i izdataka'!$J$3:$J$498)+SUMIF('Unos rashoda P4'!$T$3:$T$492,'A.4 RASHODI FUNK'!$A26,'Unos rashoda P4'!$H$3:$H$492)</f>
        <v>0</v>
      </c>
      <c r="D26" s="314">
        <f>SUMIF('Unos rashoda i izdataka'!$R$3:$R$498,'A.4 RASHODI FUNK'!$A26,'Unos rashoda i izdataka'!$K$3:$K$498)+SUMIF('Unos rashoda P4'!$T$3:$T$492,'A.4 RASHODI FUNK'!$A26,'Unos rashoda P4'!$I$3:$I$492)</f>
        <v>0</v>
      </c>
      <c r="E26" s="314">
        <f>SUMIF('Unos rashoda i izdataka'!$R$3:$R$498,'A.4 RASHODI FUNK'!$A26,'Unos rashoda i izdataka'!$L$3:$L$498)+SUMIF('Unos rashoda P4'!$T$3:$T$492,'A.4 RASHODI FUNK'!$A26,'Unos rashoda P4'!$J$3:$J$492)</f>
        <v>0</v>
      </c>
    </row>
    <row r="27" spans="1:5" ht="25.5">
      <c r="A27" s="307">
        <v>36</v>
      </c>
      <c r="B27" s="43" t="s">
        <v>5193</v>
      </c>
      <c r="C27" s="314">
        <f>SUMIF('Unos rashoda i izdataka'!$R$3:$R$498,'A.4 RASHODI FUNK'!$A27,'Unos rashoda i izdataka'!$J$3:$J$498)+SUMIF('Unos rashoda P4'!$T$3:$T$492,'A.4 RASHODI FUNK'!$A27,'Unos rashoda P4'!$H$3:$H$492)</f>
        <v>0</v>
      </c>
      <c r="D27" s="314">
        <f>SUMIF('Unos rashoda i izdataka'!$R$3:$R$498,'A.4 RASHODI FUNK'!$A27,'Unos rashoda i izdataka'!$K$3:$K$498)+SUMIF('Unos rashoda P4'!$T$3:$T$492,'A.4 RASHODI FUNK'!$A27,'Unos rashoda P4'!$I$3:$I$492)</f>
        <v>0</v>
      </c>
      <c r="E27" s="314">
        <f>SUMIF('Unos rashoda i izdataka'!$R$3:$R$498,'A.4 RASHODI FUNK'!$A27,'Unos rashoda i izdataka'!$L$3:$L$498)+SUMIF('Unos rashoda P4'!$T$3:$T$492,'A.4 RASHODI FUNK'!$A27,'Unos rashoda P4'!$J$3:$J$492)</f>
        <v>0</v>
      </c>
    </row>
    <row r="28" spans="1:5">
      <c r="A28" s="288">
        <v>4</v>
      </c>
      <c r="B28" s="58" t="s">
        <v>5194</v>
      </c>
      <c r="C28" s="320">
        <f>SUM(C29:C37)</f>
        <v>0</v>
      </c>
      <c r="D28" s="320">
        <f>SUM(D29:D37)</f>
        <v>0</v>
      </c>
      <c r="E28" s="320">
        <f>SUM(E29:E37)</f>
        <v>0</v>
      </c>
    </row>
    <row r="29" spans="1:5">
      <c r="A29" s="307">
        <v>41</v>
      </c>
      <c r="B29" s="43" t="s">
        <v>5195</v>
      </c>
      <c r="C29" s="314">
        <f>SUMIF('Unos rashoda i izdataka'!$R$3:$R$498,'A.4 RASHODI FUNK'!$A29,'Unos rashoda i izdataka'!$J$3:$J$498)+SUMIF('Unos rashoda P4'!$T$3:$T$492,'A.4 RASHODI FUNK'!$A29,'Unos rashoda P4'!$H$3:$H$492)</f>
        <v>0</v>
      </c>
      <c r="D29" s="314">
        <f>SUMIF('Unos rashoda i izdataka'!$R$3:$R$498,'A.4 RASHODI FUNK'!$A29,'Unos rashoda i izdataka'!$K$3:$K$498)+SUMIF('Unos rashoda P4'!$T$3:$T$492,'A.4 RASHODI FUNK'!$A29,'Unos rashoda P4'!$I$3:$I$492)</f>
        <v>0</v>
      </c>
      <c r="E29" s="314">
        <f>SUMIF('Unos rashoda i izdataka'!$R$3:$R$498,'A.4 RASHODI FUNK'!$A29,'Unos rashoda i izdataka'!$L$3:$L$498)+SUMIF('Unos rashoda P4'!$T$3:$T$492,'A.4 RASHODI FUNK'!$A29,'Unos rashoda P4'!$J$3:$J$492)</f>
        <v>0</v>
      </c>
    </row>
    <row r="30" spans="1:5">
      <c r="A30" s="307">
        <v>42</v>
      </c>
      <c r="B30" s="43" t="s">
        <v>5196</v>
      </c>
      <c r="C30" s="314">
        <f>SUMIF('Unos rashoda i izdataka'!$R$3:$R$498,'A.4 RASHODI FUNK'!$A30,'Unos rashoda i izdataka'!$J$3:$J$498)+SUMIF('Unos rashoda P4'!$T$3:$T$492,'A.4 RASHODI FUNK'!$A30,'Unos rashoda P4'!$H$3:$H$492)</f>
        <v>0</v>
      </c>
      <c r="D30" s="314">
        <f>SUMIF('Unos rashoda i izdataka'!$R$3:$R$498,'A.4 RASHODI FUNK'!$A30,'Unos rashoda i izdataka'!$K$3:$K$498)+SUMIF('Unos rashoda P4'!$T$3:$T$492,'A.4 RASHODI FUNK'!$A30,'Unos rashoda P4'!$I$3:$I$492)</f>
        <v>0</v>
      </c>
      <c r="E30" s="314">
        <f>SUMIF('Unos rashoda i izdataka'!$R$3:$R$498,'A.4 RASHODI FUNK'!$A30,'Unos rashoda i izdataka'!$L$3:$L$498)+SUMIF('Unos rashoda P4'!$T$3:$T$492,'A.4 RASHODI FUNK'!$A30,'Unos rashoda P4'!$J$3:$J$492)</f>
        <v>0</v>
      </c>
    </row>
    <row r="31" spans="1:5">
      <c r="A31" s="307">
        <v>43</v>
      </c>
      <c r="B31" s="43" t="s">
        <v>5197</v>
      </c>
      <c r="C31" s="314">
        <f>SUMIF('Unos rashoda i izdataka'!$R$3:$R$498,'A.4 RASHODI FUNK'!$A31,'Unos rashoda i izdataka'!$J$3:$J$498)+SUMIF('Unos rashoda P4'!$T$3:$T$492,'A.4 RASHODI FUNK'!$A31,'Unos rashoda P4'!$H$3:$H$492)</f>
        <v>0</v>
      </c>
      <c r="D31" s="314">
        <f>SUMIF('Unos rashoda i izdataka'!$R$3:$R$498,'A.4 RASHODI FUNK'!$A31,'Unos rashoda i izdataka'!$K$3:$K$498)+SUMIF('Unos rashoda P4'!$T$3:$T$492,'A.4 RASHODI FUNK'!$A31,'Unos rashoda P4'!$I$3:$I$492)</f>
        <v>0</v>
      </c>
      <c r="E31" s="314">
        <f>SUMIF('Unos rashoda i izdataka'!$R$3:$R$498,'A.4 RASHODI FUNK'!$A31,'Unos rashoda i izdataka'!$L$3:$L$498)+SUMIF('Unos rashoda P4'!$T$3:$T$492,'A.4 RASHODI FUNK'!$A31,'Unos rashoda P4'!$J$3:$J$492)</f>
        <v>0</v>
      </c>
    </row>
    <row r="32" spans="1:5">
      <c r="A32" s="307">
        <v>44</v>
      </c>
      <c r="B32" s="43" t="s">
        <v>5198</v>
      </c>
      <c r="C32" s="314">
        <f>SUMIF('Unos rashoda i izdataka'!$R$3:$R$498,'A.4 RASHODI FUNK'!$A32,'Unos rashoda i izdataka'!$J$3:$J$498)+SUMIF('Unos rashoda P4'!$T$3:$T$492,'A.4 RASHODI FUNK'!$A32,'Unos rashoda P4'!$H$3:$H$492)</f>
        <v>0</v>
      </c>
      <c r="D32" s="314">
        <f>SUMIF('Unos rashoda i izdataka'!$R$3:$R$498,'A.4 RASHODI FUNK'!$A32,'Unos rashoda i izdataka'!$K$3:$K$498)+SUMIF('Unos rashoda P4'!$T$3:$T$492,'A.4 RASHODI FUNK'!$A32,'Unos rashoda P4'!$I$3:$I$492)</f>
        <v>0</v>
      </c>
      <c r="E32" s="314">
        <f>SUMIF('Unos rashoda i izdataka'!$R$3:$R$498,'A.4 RASHODI FUNK'!$A32,'Unos rashoda i izdataka'!$L$3:$L$498)+SUMIF('Unos rashoda P4'!$T$3:$T$492,'A.4 RASHODI FUNK'!$A32,'Unos rashoda P4'!$J$3:$J$492)</f>
        <v>0</v>
      </c>
    </row>
    <row r="33" spans="1:5">
      <c r="A33" s="307">
        <v>45</v>
      </c>
      <c r="B33" s="43" t="s">
        <v>5199</v>
      </c>
      <c r="C33" s="314">
        <f>SUMIF('Unos rashoda i izdataka'!$R$3:$R$498,'A.4 RASHODI FUNK'!$A33,'Unos rashoda i izdataka'!$J$3:$J$498)+SUMIF('Unos rashoda P4'!$T$3:$T$492,'A.4 RASHODI FUNK'!$A33,'Unos rashoda P4'!$H$3:$H$492)</f>
        <v>0</v>
      </c>
      <c r="D33" s="314">
        <f>SUMIF('Unos rashoda i izdataka'!$R$3:$R$498,'A.4 RASHODI FUNK'!$A33,'Unos rashoda i izdataka'!$K$3:$K$498)+SUMIF('Unos rashoda P4'!$T$3:$T$492,'A.4 RASHODI FUNK'!$A33,'Unos rashoda P4'!$I$3:$I$492)</f>
        <v>0</v>
      </c>
      <c r="E33" s="314">
        <f>SUMIF('Unos rashoda i izdataka'!$R$3:$R$498,'A.4 RASHODI FUNK'!$A33,'Unos rashoda i izdataka'!$L$3:$L$498)+SUMIF('Unos rashoda P4'!$T$3:$T$492,'A.4 RASHODI FUNK'!$A33,'Unos rashoda P4'!$J$3:$J$492)</f>
        <v>0</v>
      </c>
    </row>
    <row r="34" spans="1:5">
      <c r="A34" s="307">
        <v>46</v>
      </c>
      <c r="B34" s="43" t="s">
        <v>5159</v>
      </c>
      <c r="C34" s="314">
        <f>SUMIF('Unos rashoda i izdataka'!$R$3:$R$498,'A.4 RASHODI FUNK'!$A34,'Unos rashoda i izdataka'!$J$3:$J$498)+SUMIF('Unos rashoda P4'!$T$3:$T$492,'A.4 RASHODI FUNK'!$A34,'Unos rashoda P4'!$H$3:$H$492)</f>
        <v>0</v>
      </c>
      <c r="D34" s="314">
        <f>SUMIF('Unos rashoda i izdataka'!$R$3:$R$498,'A.4 RASHODI FUNK'!$A34,'Unos rashoda i izdataka'!$K$3:$K$498)+SUMIF('Unos rashoda P4'!$T$3:$T$492,'A.4 RASHODI FUNK'!$A34,'Unos rashoda P4'!$I$3:$I$492)</f>
        <v>0</v>
      </c>
      <c r="E34" s="314">
        <f>SUMIF('Unos rashoda i izdataka'!$R$3:$R$498,'A.4 RASHODI FUNK'!$A34,'Unos rashoda i izdataka'!$L$3:$L$498)+SUMIF('Unos rashoda P4'!$T$3:$T$492,'A.4 RASHODI FUNK'!$A34,'Unos rashoda P4'!$J$3:$J$492)</f>
        <v>0</v>
      </c>
    </row>
    <row r="35" spans="1:5">
      <c r="A35" s="307">
        <v>47</v>
      </c>
      <c r="B35" s="43" t="s">
        <v>5200</v>
      </c>
      <c r="C35" s="314">
        <f>SUMIF('Unos rashoda i izdataka'!$R$3:$R$498,'A.4 RASHODI FUNK'!$A35,'Unos rashoda i izdataka'!$J$3:$J$498)+SUMIF('Unos rashoda P4'!$T$3:$T$492,'A.4 RASHODI FUNK'!$A35,'Unos rashoda P4'!$H$3:$H$492)</f>
        <v>0</v>
      </c>
      <c r="D35" s="314">
        <f>SUMIF('Unos rashoda i izdataka'!$R$3:$R$498,'A.4 RASHODI FUNK'!$A35,'Unos rashoda i izdataka'!$K$3:$K$498)+SUMIF('Unos rashoda P4'!$T$3:$T$492,'A.4 RASHODI FUNK'!$A35,'Unos rashoda P4'!$I$3:$I$492)</f>
        <v>0</v>
      </c>
      <c r="E35" s="314">
        <f>SUMIF('Unos rashoda i izdataka'!$R$3:$R$498,'A.4 RASHODI FUNK'!$A35,'Unos rashoda i izdataka'!$L$3:$L$498)+SUMIF('Unos rashoda P4'!$T$3:$T$492,'A.4 RASHODI FUNK'!$A35,'Unos rashoda P4'!$J$3:$J$492)</f>
        <v>0</v>
      </c>
    </row>
    <row r="36" spans="1:5">
      <c r="A36" s="307">
        <v>48</v>
      </c>
      <c r="B36" s="43" t="s">
        <v>5201</v>
      </c>
      <c r="C36" s="314">
        <f>SUMIF('Unos rashoda i izdataka'!$R$3:$R$498,'A.4 RASHODI FUNK'!$A36,'Unos rashoda i izdataka'!$J$3:$J$498)+SUMIF('Unos rashoda P4'!$T$3:$T$492,'A.4 RASHODI FUNK'!$A36,'Unos rashoda P4'!$H$3:$H$492)</f>
        <v>0</v>
      </c>
      <c r="D36" s="314">
        <f>SUMIF('Unos rashoda i izdataka'!$R$3:$R$498,'A.4 RASHODI FUNK'!$A36,'Unos rashoda i izdataka'!$K$3:$K$498)+SUMIF('Unos rashoda P4'!$T$3:$T$492,'A.4 RASHODI FUNK'!$A36,'Unos rashoda P4'!$I$3:$I$492)</f>
        <v>0</v>
      </c>
      <c r="E36" s="314">
        <f>SUMIF('Unos rashoda i izdataka'!$R$3:$R$498,'A.4 RASHODI FUNK'!$A36,'Unos rashoda i izdataka'!$L$3:$L$498)+SUMIF('Unos rashoda P4'!$T$3:$T$492,'A.4 RASHODI FUNK'!$A36,'Unos rashoda P4'!$J$3:$J$492)</f>
        <v>0</v>
      </c>
    </row>
    <row r="37" spans="1:5">
      <c r="A37" s="307">
        <v>49</v>
      </c>
      <c r="B37" s="43" t="s">
        <v>5202</v>
      </c>
      <c r="C37" s="314">
        <f>SUMIF('Unos rashoda i izdataka'!$R$3:$R$498,'A.4 RASHODI FUNK'!$A37,'Unos rashoda i izdataka'!$J$3:$J$498)+SUMIF('Unos rashoda P4'!$T$3:$T$492,'A.4 RASHODI FUNK'!$A37,'Unos rashoda P4'!$H$3:$H$492)</f>
        <v>0</v>
      </c>
      <c r="D37" s="314">
        <f>SUMIF('Unos rashoda i izdataka'!$R$3:$R$498,'A.4 RASHODI FUNK'!$A37,'Unos rashoda i izdataka'!$K$3:$K$498)+SUMIF('Unos rashoda P4'!$T$3:$T$492,'A.4 RASHODI FUNK'!$A37,'Unos rashoda P4'!$I$3:$I$492)</f>
        <v>0</v>
      </c>
      <c r="E37" s="314">
        <f>SUMIF('Unos rashoda i izdataka'!$R$3:$R$498,'A.4 RASHODI FUNK'!$A37,'Unos rashoda i izdataka'!$L$3:$L$498)+SUMIF('Unos rashoda P4'!$T$3:$T$492,'A.4 RASHODI FUNK'!$A37,'Unos rashoda P4'!$J$3:$J$492)</f>
        <v>0</v>
      </c>
    </row>
    <row r="38" spans="1:5">
      <c r="A38" s="288">
        <v>5</v>
      </c>
      <c r="B38" s="58" t="s">
        <v>5203</v>
      </c>
      <c r="C38" s="320">
        <f>SUM(C39:C44)</f>
        <v>0</v>
      </c>
      <c r="D38" s="320">
        <f>SUM(D39:D44)</f>
        <v>0</v>
      </c>
      <c r="E38" s="320">
        <f>SUM(E39:E44)</f>
        <v>0</v>
      </c>
    </row>
    <row r="39" spans="1:5">
      <c r="A39" s="307">
        <v>51</v>
      </c>
      <c r="B39" s="43" t="s">
        <v>5204</v>
      </c>
      <c r="C39" s="314">
        <f>SUMIF('Unos rashoda i izdataka'!$R$3:$R$498,'A.4 RASHODI FUNK'!$A39,'Unos rashoda i izdataka'!$J$3:$J$498)+SUMIF('Unos rashoda P4'!$T$3:$T$492,'A.4 RASHODI FUNK'!$A39,'Unos rashoda P4'!$H$3:$H$492)</f>
        <v>0</v>
      </c>
      <c r="D39" s="314">
        <f>SUMIF('Unos rashoda i izdataka'!$R$3:$R$498,'A.4 RASHODI FUNK'!$A39,'Unos rashoda i izdataka'!$K$3:$K$498)+SUMIF('Unos rashoda P4'!$T$3:$T$492,'A.4 RASHODI FUNK'!$A39,'Unos rashoda P4'!$I$3:$I$492)</f>
        <v>0</v>
      </c>
      <c r="E39" s="314">
        <f>SUMIF('Unos rashoda i izdataka'!$R$3:$R$498,'A.4 RASHODI FUNK'!$A39,'Unos rashoda i izdataka'!$L$3:$L$498)+SUMIF('Unos rashoda P4'!$T$3:$T$492,'A.4 RASHODI FUNK'!$A39,'Unos rashoda P4'!$J$3:$J$492)</f>
        <v>0</v>
      </c>
    </row>
    <row r="40" spans="1:5">
      <c r="A40" s="307">
        <v>52</v>
      </c>
      <c r="B40" s="43" t="s">
        <v>5205</v>
      </c>
      <c r="C40" s="314">
        <f>SUMIF('Unos rashoda i izdataka'!$R$3:$R$498,'A.4 RASHODI FUNK'!$A40,'Unos rashoda i izdataka'!$J$3:$J$498)+SUMIF('Unos rashoda P4'!$T$3:$T$492,'A.4 RASHODI FUNK'!$A40,'Unos rashoda P4'!$H$3:$H$492)</f>
        <v>0</v>
      </c>
      <c r="D40" s="314">
        <f>SUMIF('Unos rashoda i izdataka'!$R$3:$R$498,'A.4 RASHODI FUNK'!$A40,'Unos rashoda i izdataka'!$K$3:$K$498)+SUMIF('Unos rashoda P4'!$T$3:$T$492,'A.4 RASHODI FUNK'!$A40,'Unos rashoda P4'!$I$3:$I$492)</f>
        <v>0</v>
      </c>
      <c r="E40" s="314">
        <f>SUMIF('Unos rashoda i izdataka'!$R$3:$R$498,'A.4 RASHODI FUNK'!$A40,'Unos rashoda i izdataka'!$L$3:$L$498)+SUMIF('Unos rashoda P4'!$T$3:$T$492,'A.4 RASHODI FUNK'!$A40,'Unos rashoda P4'!$J$3:$J$492)</f>
        <v>0</v>
      </c>
    </row>
    <row r="41" spans="1:5">
      <c r="A41" s="307">
        <v>53</v>
      </c>
      <c r="B41" s="43" t="s">
        <v>5206</v>
      </c>
      <c r="C41" s="314">
        <f>SUMIF('Unos rashoda i izdataka'!$R$3:$R$498,'A.4 RASHODI FUNK'!$A41,'Unos rashoda i izdataka'!$J$3:$J$498)+SUMIF('Unos rashoda P4'!$T$3:$T$492,'A.4 RASHODI FUNK'!$A41,'Unos rashoda P4'!$H$3:$H$492)</f>
        <v>0</v>
      </c>
      <c r="D41" s="314">
        <f>SUMIF('Unos rashoda i izdataka'!$R$3:$R$498,'A.4 RASHODI FUNK'!$A41,'Unos rashoda i izdataka'!$K$3:$K$498)+SUMIF('Unos rashoda P4'!$T$3:$T$492,'A.4 RASHODI FUNK'!$A41,'Unos rashoda P4'!$I$3:$I$492)</f>
        <v>0</v>
      </c>
      <c r="E41" s="314">
        <f>SUMIF('Unos rashoda i izdataka'!$R$3:$R$498,'A.4 RASHODI FUNK'!$A41,'Unos rashoda i izdataka'!$L$3:$L$498)+SUMIF('Unos rashoda P4'!$T$3:$T$492,'A.4 RASHODI FUNK'!$A41,'Unos rashoda P4'!$J$3:$J$492)</f>
        <v>0</v>
      </c>
    </row>
    <row r="42" spans="1:5">
      <c r="A42" s="307">
        <v>54</v>
      </c>
      <c r="B42" s="43" t="s">
        <v>5207</v>
      </c>
      <c r="C42" s="314">
        <f>SUMIF('Unos rashoda i izdataka'!$R$3:$R$498,'A.4 RASHODI FUNK'!$A42,'Unos rashoda i izdataka'!$J$3:$J$498)+SUMIF('Unos rashoda P4'!$T$3:$T$492,'A.4 RASHODI FUNK'!$A42,'Unos rashoda P4'!$H$3:$H$492)</f>
        <v>0</v>
      </c>
      <c r="D42" s="314">
        <f>SUMIF('Unos rashoda i izdataka'!$R$3:$R$498,'A.4 RASHODI FUNK'!$A42,'Unos rashoda i izdataka'!$K$3:$K$498)+SUMIF('Unos rashoda P4'!$T$3:$T$492,'A.4 RASHODI FUNK'!$A42,'Unos rashoda P4'!$I$3:$I$492)</f>
        <v>0</v>
      </c>
      <c r="E42" s="314">
        <f>SUMIF('Unos rashoda i izdataka'!$R$3:$R$498,'A.4 RASHODI FUNK'!$A42,'Unos rashoda i izdataka'!$L$3:$L$498)+SUMIF('Unos rashoda P4'!$T$3:$T$492,'A.4 RASHODI FUNK'!$A42,'Unos rashoda P4'!$J$3:$J$492)</f>
        <v>0</v>
      </c>
    </row>
    <row r="43" spans="1:5">
      <c r="A43" s="307">
        <v>55</v>
      </c>
      <c r="B43" s="43" t="s">
        <v>5208</v>
      </c>
      <c r="C43" s="314">
        <f>SUMIF('Unos rashoda i izdataka'!$R$3:$R$498,'A.4 RASHODI FUNK'!$A43,'Unos rashoda i izdataka'!$J$3:$J$498)+SUMIF('Unos rashoda P4'!$T$3:$T$492,'A.4 RASHODI FUNK'!$A43,'Unos rashoda P4'!$H$3:$H$492)</f>
        <v>0</v>
      </c>
      <c r="D43" s="314">
        <f>SUMIF('Unos rashoda i izdataka'!$R$3:$R$498,'A.4 RASHODI FUNK'!$A43,'Unos rashoda i izdataka'!$K$3:$K$498)+SUMIF('Unos rashoda P4'!$T$3:$T$492,'A.4 RASHODI FUNK'!$A43,'Unos rashoda P4'!$I$3:$I$492)</f>
        <v>0</v>
      </c>
      <c r="E43" s="314">
        <f>SUMIF('Unos rashoda i izdataka'!$R$3:$R$498,'A.4 RASHODI FUNK'!$A43,'Unos rashoda i izdataka'!$L$3:$L$498)+SUMIF('Unos rashoda P4'!$T$3:$T$492,'A.4 RASHODI FUNK'!$A43,'Unos rashoda P4'!$J$3:$J$492)</f>
        <v>0</v>
      </c>
    </row>
    <row r="44" spans="1:5" ht="25.5">
      <c r="A44" s="307">
        <v>56</v>
      </c>
      <c r="B44" s="43" t="s">
        <v>5209</v>
      </c>
      <c r="C44" s="314">
        <f>SUMIF('Unos rashoda i izdataka'!$R$3:$R$498,'A.4 RASHODI FUNK'!$A44,'Unos rashoda i izdataka'!$J$3:$J$498)+SUMIF('Unos rashoda P4'!$T$3:$T$492,'A.4 RASHODI FUNK'!$A44,'Unos rashoda P4'!$H$3:$H$492)</f>
        <v>0</v>
      </c>
      <c r="D44" s="314">
        <f>SUMIF('Unos rashoda i izdataka'!$R$3:$R$498,'A.4 RASHODI FUNK'!$A44,'Unos rashoda i izdataka'!$K$3:$K$498)+SUMIF('Unos rashoda P4'!$T$3:$T$492,'A.4 RASHODI FUNK'!$A44,'Unos rashoda P4'!$I$3:$I$492)</f>
        <v>0</v>
      </c>
      <c r="E44" s="314">
        <f>SUMIF('Unos rashoda i izdataka'!$R$3:$R$498,'A.4 RASHODI FUNK'!$A44,'Unos rashoda i izdataka'!$L$3:$L$498)+SUMIF('Unos rashoda P4'!$T$3:$T$492,'A.4 RASHODI FUNK'!$A44,'Unos rashoda P4'!$J$3:$J$492)</f>
        <v>0</v>
      </c>
    </row>
    <row r="45" spans="1:5">
      <c r="A45" s="288">
        <v>6</v>
      </c>
      <c r="B45" s="58" t="s">
        <v>5210</v>
      </c>
      <c r="C45" s="320">
        <f>SUM(C46:C51)</f>
        <v>0</v>
      </c>
      <c r="D45" s="320">
        <f>SUM(D46:D51)</f>
        <v>0</v>
      </c>
      <c r="E45" s="320">
        <f>SUM(E46:E51)</f>
        <v>0</v>
      </c>
    </row>
    <row r="46" spans="1:5">
      <c r="A46" s="307">
        <v>61</v>
      </c>
      <c r="B46" s="43" t="s">
        <v>5211</v>
      </c>
      <c r="C46" s="314">
        <f>SUMIF('Unos rashoda i izdataka'!$R$3:$R$498,'A.4 RASHODI FUNK'!$A46,'Unos rashoda i izdataka'!$J$3:$J$498)+SUMIF('Unos rashoda P4'!$T$3:$T$492,'A.4 RASHODI FUNK'!$A46,'Unos rashoda P4'!$H$3:$H$492)</f>
        <v>0</v>
      </c>
      <c r="D46" s="314">
        <f>SUMIF('Unos rashoda i izdataka'!$R$3:$R$498,'A.4 RASHODI FUNK'!$A46,'Unos rashoda i izdataka'!$K$3:$K$498)+SUMIF('Unos rashoda P4'!$T$3:$T$492,'A.4 RASHODI FUNK'!$A46,'Unos rashoda P4'!$I$3:$I$492)</f>
        <v>0</v>
      </c>
      <c r="E46" s="314">
        <f>SUMIF('Unos rashoda i izdataka'!$R$3:$R$498,'A.4 RASHODI FUNK'!$A46,'Unos rashoda i izdataka'!$L$3:$L$498)+SUMIF('Unos rashoda P4'!$T$3:$T$492,'A.4 RASHODI FUNK'!$A46,'Unos rashoda P4'!$J$3:$J$492)</f>
        <v>0</v>
      </c>
    </row>
    <row r="47" spans="1:5">
      <c r="A47" s="307">
        <v>62</v>
      </c>
      <c r="B47" s="43" t="s">
        <v>5212</v>
      </c>
      <c r="C47" s="314">
        <f>SUMIF('Unos rashoda i izdataka'!$R$3:$R$498,'A.4 RASHODI FUNK'!$A47,'Unos rashoda i izdataka'!$J$3:$J$498)+SUMIF('Unos rashoda P4'!$T$3:$T$492,'A.4 RASHODI FUNK'!$A47,'Unos rashoda P4'!$H$3:$H$492)</f>
        <v>0</v>
      </c>
      <c r="D47" s="314">
        <f>SUMIF('Unos rashoda i izdataka'!$R$3:$R$498,'A.4 RASHODI FUNK'!$A47,'Unos rashoda i izdataka'!$K$3:$K$498)+SUMIF('Unos rashoda P4'!$T$3:$T$492,'A.4 RASHODI FUNK'!$A47,'Unos rashoda P4'!$I$3:$I$492)</f>
        <v>0</v>
      </c>
      <c r="E47" s="314">
        <f>SUMIF('Unos rashoda i izdataka'!$R$3:$R$498,'A.4 RASHODI FUNK'!$A47,'Unos rashoda i izdataka'!$L$3:$L$498)+SUMIF('Unos rashoda P4'!$T$3:$T$492,'A.4 RASHODI FUNK'!$A47,'Unos rashoda P4'!$J$3:$J$492)</f>
        <v>0</v>
      </c>
    </row>
    <row r="48" spans="1:5">
      <c r="A48" s="307">
        <v>63</v>
      </c>
      <c r="B48" s="43" t="s">
        <v>5213</v>
      </c>
      <c r="C48" s="314">
        <f>SUMIF('Unos rashoda i izdataka'!$R$3:$R$498,'A.4 RASHODI FUNK'!$A48,'Unos rashoda i izdataka'!$J$3:$J$498)+SUMIF('Unos rashoda P4'!$T$3:$T$492,'A.4 RASHODI FUNK'!$A48,'Unos rashoda P4'!$H$3:$H$492)</f>
        <v>0</v>
      </c>
      <c r="D48" s="314">
        <f>SUMIF('Unos rashoda i izdataka'!$R$3:$R$498,'A.4 RASHODI FUNK'!$A48,'Unos rashoda i izdataka'!$K$3:$K$498)+SUMIF('Unos rashoda P4'!$T$3:$T$492,'A.4 RASHODI FUNK'!$A48,'Unos rashoda P4'!$I$3:$I$492)</f>
        <v>0</v>
      </c>
      <c r="E48" s="314">
        <f>SUMIF('Unos rashoda i izdataka'!$R$3:$R$498,'A.4 RASHODI FUNK'!$A48,'Unos rashoda i izdataka'!$L$3:$L$498)+SUMIF('Unos rashoda P4'!$T$3:$T$492,'A.4 RASHODI FUNK'!$A48,'Unos rashoda P4'!$J$3:$J$492)</f>
        <v>0</v>
      </c>
    </row>
    <row r="49" spans="1:5">
      <c r="A49" s="307">
        <v>64</v>
      </c>
      <c r="B49" s="43" t="s">
        <v>5214</v>
      </c>
      <c r="C49" s="314">
        <f>SUMIF('Unos rashoda i izdataka'!$R$3:$R$498,'A.4 RASHODI FUNK'!$A49,'Unos rashoda i izdataka'!$J$3:$J$498)+SUMIF('Unos rashoda P4'!$T$3:$T$492,'A.4 RASHODI FUNK'!$A49,'Unos rashoda P4'!$H$3:$H$492)</f>
        <v>0</v>
      </c>
      <c r="D49" s="314">
        <f>SUMIF('Unos rashoda i izdataka'!$R$3:$R$498,'A.4 RASHODI FUNK'!$A49,'Unos rashoda i izdataka'!$K$3:$K$498)+SUMIF('Unos rashoda P4'!$T$3:$T$492,'A.4 RASHODI FUNK'!$A49,'Unos rashoda P4'!$I$3:$I$492)</f>
        <v>0</v>
      </c>
      <c r="E49" s="314">
        <f>SUMIF('Unos rashoda i izdataka'!$R$3:$R$498,'A.4 RASHODI FUNK'!$A49,'Unos rashoda i izdataka'!$L$3:$L$498)+SUMIF('Unos rashoda P4'!$T$3:$T$492,'A.4 RASHODI FUNK'!$A49,'Unos rashoda P4'!$J$3:$J$492)</f>
        <v>0</v>
      </c>
    </row>
    <row r="50" spans="1:5" ht="25.5">
      <c r="A50" s="307">
        <v>65</v>
      </c>
      <c r="B50" s="43" t="s">
        <v>5215</v>
      </c>
      <c r="C50" s="314">
        <f>SUMIF('Unos rashoda i izdataka'!$R$3:$R$498,'A.4 RASHODI FUNK'!$A50,'Unos rashoda i izdataka'!$J$3:$J$498)+SUMIF('Unos rashoda P4'!$T$3:$T$492,'A.4 RASHODI FUNK'!$A50,'Unos rashoda P4'!$H$3:$H$492)</f>
        <v>0</v>
      </c>
      <c r="D50" s="314">
        <f>SUMIF('Unos rashoda i izdataka'!$R$3:$R$498,'A.4 RASHODI FUNK'!$A50,'Unos rashoda i izdataka'!$K$3:$K$498)+SUMIF('Unos rashoda P4'!$T$3:$T$492,'A.4 RASHODI FUNK'!$A50,'Unos rashoda P4'!$I$3:$I$492)</f>
        <v>0</v>
      </c>
      <c r="E50" s="314">
        <f>SUMIF('Unos rashoda i izdataka'!$R$3:$R$498,'A.4 RASHODI FUNK'!$A50,'Unos rashoda i izdataka'!$L$3:$L$498)+SUMIF('Unos rashoda P4'!$T$3:$T$492,'A.4 RASHODI FUNK'!$A50,'Unos rashoda P4'!$J$3:$J$492)</f>
        <v>0</v>
      </c>
    </row>
    <row r="51" spans="1:5" ht="25.5">
      <c r="A51" s="307">
        <v>66</v>
      </c>
      <c r="B51" s="43" t="s">
        <v>5216</v>
      </c>
      <c r="C51" s="314">
        <f>SUMIF('Unos rashoda i izdataka'!$R$3:$R$498,'A.4 RASHODI FUNK'!$A51,'Unos rashoda i izdataka'!$J$3:$J$498)+SUMIF('Unos rashoda P4'!$T$3:$T$492,'A.4 RASHODI FUNK'!$A51,'Unos rashoda P4'!$H$3:$H$492)</f>
        <v>0</v>
      </c>
      <c r="D51" s="314">
        <f>SUMIF('Unos rashoda i izdataka'!$R$3:$R$498,'A.4 RASHODI FUNK'!$A51,'Unos rashoda i izdataka'!$K$3:$K$498)+SUMIF('Unos rashoda P4'!$T$3:$T$492,'A.4 RASHODI FUNK'!$A51,'Unos rashoda P4'!$I$3:$I$492)</f>
        <v>0</v>
      </c>
      <c r="E51" s="314">
        <f>SUMIF('Unos rashoda i izdataka'!$R$3:$R$498,'A.4 RASHODI FUNK'!$A51,'Unos rashoda i izdataka'!$L$3:$L$498)+SUMIF('Unos rashoda P4'!$T$3:$T$492,'A.4 RASHODI FUNK'!$A51,'Unos rashoda P4'!$J$3:$J$492)</f>
        <v>0</v>
      </c>
    </row>
    <row r="52" spans="1:5">
      <c r="A52" s="288">
        <v>7</v>
      </c>
      <c r="B52" s="58" t="s">
        <v>5217</v>
      </c>
      <c r="C52" s="320">
        <f>SUM(C53:C58)</f>
        <v>0</v>
      </c>
      <c r="D52" s="320">
        <f>SUM(D53:D58)</f>
        <v>0</v>
      </c>
      <c r="E52" s="320">
        <f>SUM(E53:E58)</f>
        <v>0</v>
      </c>
    </row>
    <row r="53" spans="1:5">
      <c r="A53" s="307">
        <v>71</v>
      </c>
      <c r="B53" s="43" t="s">
        <v>5218</v>
      </c>
      <c r="C53" s="314">
        <f>SUMIF('Unos rashoda i izdataka'!$R$3:$R$498,'A.4 RASHODI FUNK'!$A53,'Unos rashoda i izdataka'!$J$3:$J$498)+SUMIF('Unos rashoda P4'!$T$3:$T$492,'A.4 RASHODI FUNK'!$A53,'Unos rashoda P4'!$H$3:$H$492)</f>
        <v>0</v>
      </c>
      <c r="D53" s="314">
        <f>SUMIF('Unos rashoda i izdataka'!$R$3:$R$498,'A.4 RASHODI FUNK'!$A53,'Unos rashoda i izdataka'!$K$3:$K$498)+SUMIF('Unos rashoda P4'!$T$3:$T$492,'A.4 RASHODI FUNK'!$A53,'Unos rashoda P4'!$I$3:$I$492)</f>
        <v>0</v>
      </c>
      <c r="E53" s="314">
        <f>SUMIF('Unos rashoda i izdataka'!$R$3:$R$498,'A.4 RASHODI FUNK'!$A53,'Unos rashoda i izdataka'!$L$3:$L$498)+SUMIF('Unos rashoda P4'!$T$3:$T$492,'A.4 RASHODI FUNK'!$A53,'Unos rashoda P4'!$J$3:$J$492)</f>
        <v>0</v>
      </c>
    </row>
    <row r="54" spans="1:5">
      <c r="A54" s="307">
        <v>72</v>
      </c>
      <c r="B54" s="43" t="s">
        <v>5219</v>
      </c>
      <c r="C54" s="314">
        <f>SUMIF('Unos rashoda i izdataka'!$R$3:$R$498,'A.4 RASHODI FUNK'!$A54,'Unos rashoda i izdataka'!$J$3:$J$498)+SUMIF('Unos rashoda P4'!$T$3:$T$492,'A.4 RASHODI FUNK'!$A54,'Unos rashoda P4'!$H$3:$H$492)</f>
        <v>0</v>
      </c>
      <c r="D54" s="314">
        <f>SUMIF('Unos rashoda i izdataka'!$R$3:$R$498,'A.4 RASHODI FUNK'!$A54,'Unos rashoda i izdataka'!$K$3:$K$498)+SUMIF('Unos rashoda P4'!$T$3:$T$492,'A.4 RASHODI FUNK'!$A54,'Unos rashoda P4'!$I$3:$I$492)</f>
        <v>0</v>
      </c>
      <c r="E54" s="314">
        <f>SUMIF('Unos rashoda i izdataka'!$R$3:$R$498,'A.4 RASHODI FUNK'!$A54,'Unos rashoda i izdataka'!$L$3:$L$498)+SUMIF('Unos rashoda P4'!$T$3:$T$492,'A.4 RASHODI FUNK'!$A54,'Unos rashoda P4'!$J$3:$J$492)</f>
        <v>0</v>
      </c>
    </row>
    <row r="55" spans="1:5">
      <c r="A55" s="307">
        <v>73</v>
      </c>
      <c r="B55" s="43" t="s">
        <v>5220</v>
      </c>
      <c r="C55" s="314">
        <f>SUMIF('Unos rashoda i izdataka'!$R$3:$R$498,'A.4 RASHODI FUNK'!$A55,'Unos rashoda i izdataka'!$J$3:$J$498)+SUMIF('Unos rashoda P4'!$T$3:$T$492,'A.4 RASHODI FUNK'!$A55,'Unos rashoda P4'!$H$3:$H$492)</f>
        <v>0</v>
      </c>
      <c r="D55" s="314">
        <f>SUMIF('Unos rashoda i izdataka'!$R$3:$R$498,'A.4 RASHODI FUNK'!$A55,'Unos rashoda i izdataka'!$K$3:$K$498)+SUMIF('Unos rashoda P4'!$T$3:$T$492,'A.4 RASHODI FUNK'!$A55,'Unos rashoda P4'!$I$3:$I$492)</f>
        <v>0</v>
      </c>
      <c r="E55" s="314">
        <f>SUMIF('Unos rashoda i izdataka'!$R$3:$R$498,'A.4 RASHODI FUNK'!$A55,'Unos rashoda i izdataka'!$L$3:$L$498)+SUMIF('Unos rashoda P4'!$T$3:$T$492,'A.4 RASHODI FUNK'!$A55,'Unos rashoda P4'!$J$3:$J$492)</f>
        <v>0</v>
      </c>
    </row>
    <row r="56" spans="1:5">
      <c r="A56" s="307">
        <v>74</v>
      </c>
      <c r="B56" s="43" t="s">
        <v>5221</v>
      </c>
      <c r="C56" s="314">
        <f>SUMIF('Unos rashoda i izdataka'!$R$3:$R$498,'A.4 RASHODI FUNK'!$A56,'Unos rashoda i izdataka'!$J$3:$J$498)+SUMIF('Unos rashoda P4'!$T$3:$T$492,'A.4 RASHODI FUNK'!$A56,'Unos rashoda P4'!$H$3:$H$492)</f>
        <v>0</v>
      </c>
      <c r="D56" s="314">
        <f>SUMIF('Unos rashoda i izdataka'!$R$3:$R$498,'A.4 RASHODI FUNK'!$A56,'Unos rashoda i izdataka'!$K$3:$K$498)+SUMIF('Unos rashoda P4'!$T$3:$T$492,'A.4 RASHODI FUNK'!$A56,'Unos rashoda P4'!$I$3:$I$492)</f>
        <v>0</v>
      </c>
      <c r="E56" s="314">
        <f>SUMIF('Unos rashoda i izdataka'!$R$3:$R$498,'A.4 RASHODI FUNK'!$A56,'Unos rashoda i izdataka'!$L$3:$L$498)+SUMIF('Unos rashoda P4'!$T$3:$T$492,'A.4 RASHODI FUNK'!$A56,'Unos rashoda P4'!$J$3:$J$492)</f>
        <v>0</v>
      </c>
    </row>
    <row r="57" spans="1:5">
      <c r="A57" s="307">
        <v>75</v>
      </c>
      <c r="B57" s="43" t="s">
        <v>5222</v>
      </c>
      <c r="C57" s="314">
        <f>SUMIF('Unos rashoda i izdataka'!$R$3:$R$498,'A.4 RASHODI FUNK'!$A57,'Unos rashoda i izdataka'!$J$3:$J$498)+SUMIF('Unos rashoda P4'!$T$3:$T$492,'A.4 RASHODI FUNK'!$A57,'Unos rashoda P4'!$H$3:$H$492)</f>
        <v>0</v>
      </c>
      <c r="D57" s="314">
        <f>SUMIF('Unos rashoda i izdataka'!$R$3:$R$498,'A.4 RASHODI FUNK'!$A57,'Unos rashoda i izdataka'!$K$3:$K$498)+SUMIF('Unos rashoda P4'!$T$3:$T$492,'A.4 RASHODI FUNK'!$A57,'Unos rashoda P4'!$I$3:$I$492)</f>
        <v>0</v>
      </c>
      <c r="E57" s="314">
        <f>SUMIF('Unos rashoda i izdataka'!$R$3:$R$498,'A.4 RASHODI FUNK'!$A57,'Unos rashoda i izdataka'!$L$3:$L$498)+SUMIF('Unos rashoda P4'!$T$3:$T$492,'A.4 RASHODI FUNK'!$A57,'Unos rashoda P4'!$J$3:$J$492)</f>
        <v>0</v>
      </c>
    </row>
    <row r="58" spans="1:5" ht="25.5">
      <c r="A58" s="307">
        <v>76</v>
      </c>
      <c r="B58" s="43" t="s">
        <v>5223</v>
      </c>
      <c r="C58" s="314">
        <f>SUMIF('Unos rashoda i izdataka'!$R$3:$R$498,'A.4 RASHODI FUNK'!$A58,'Unos rashoda i izdataka'!$J$3:$J$498)+SUMIF('Unos rashoda P4'!$T$3:$T$492,'A.4 RASHODI FUNK'!$A58,'Unos rashoda P4'!$H$3:$H$492)</f>
        <v>0</v>
      </c>
      <c r="D58" s="314">
        <f>SUMIF('Unos rashoda i izdataka'!$R$3:$R$498,'A.4 RASHODI FUNK'!$A58,'Unos rashoda i izdataka'!$K$3:$K$498)+SUMIF('Unos rashoda P4'!$T$3:$T$492,'A.4 RASHODI FUNK'!$A58,'Unos rashoda P4'!$I$3:$I$492)</f>
        <v>0</v>
      </c>
      <c r="E58" s="314">
        <f>SUMIF('Unos rashoda i izdataka'!$R$3:$R$498,'A.4 RASHODI FUNK'!$A58,'Unos rashoda i izdataka'!$L$3:$L$498)+SUMIF('Unos rashoda P4'!$T$3:$T$492,'A.4 RASHODI FUNK'!$A58,'Unos rashoda P4'!$J$3:$J$492)</f>
        <v>0</v>
      </c>
    </row>
    <row r="59" spans="1:5">
      <c r="A59" s="288">
        <v>8</v>
      </c>
      <c r="B59" s="58" t="s">
        <v>5224</v>
      </c>
      <c r="C59" s="320">
        <f>SUM(C60:C65)</f>
        <v>0</v>
      </c>
      <c r="D59" s="320">
        <f>SUM(D60:D65)</f>
        <v>0</v>
      </c>
      <c r="E59" s="320">
        <f>SUM(E60:E65)</f>
        <v>0</v>
      </c>
    </row>
    <row r="60" spans="1:5">
      <c r="A60" s="307">
        <v>81</v>
      </c>
      <c r="B60" s="43" t="s">
        <v>5225</v>
      </c>
      <c r="C60" s="314">
        <f>SUMIF('Unos rashoda i izdataka'!$R$3:$R$498,'A.4 RASHODI FUNK'!$A60,'Unos rashoda i izdataka'!$J$3:$J$498)+SUMIF('Unos rashoda P4'!$T$3:$T$492,'A.4 RASHODI FUNK'!$A60,'Unos rashoda P4'!$H$3:$H$492)</f>
        <v>0</v>
      </c>
      <c r="D60" s="314">
        <f>SUMIF('Unos rashoda i izdataka'!$R$3:$R$498,'A.4 RASHODI FUNK'!$A60,'Unos rashoda i izdataka'!$K$3:$K$498)+SUMIF('Unos rashoda P4'!$T$3:$T$492,'A.4 RASHODI FUNK'!$A60,'Unos rashoda P4'!$I$3:$I$492)</f>
        <v>0</v>
      </c>
      <c r="E60" s="314">
        <f>SUMIF('Unos rashoda i izdataka'!$R$3:$R$498,'A.4 RASHODI FUNK'!$A60,'Unos rashoda i izdataka'!$L$3:$L$498)+SUMIF('Unos rashoda P4'!$T$3:$T$492,'A.4 RASHODI FUNK'!$A60,'Unos rashoda P4'!$J$3:$J$492)</f>
        <v>0</v>
      </c>
    </row>
    <row r="61" spans="1:5">
      <c r="A61" s="307">
        <v>82</v>
      </c>
      <c r="B61" s="43" t="s">
        <v>5145</v>
      </c>
      <c r="C61" s="314">
        <f>SUMIF('Unos rashoda i izdataka'!$R$3:$R$498,'A.4 RASHODI FUNK'!$A61,'Unos rashoda i izdataka'!$J$3:$J$498)+SUMIF('Unos rashoda P4'!$T$3:$T$492,'A.4 RASHODI FUNK'!$A61,'Unos rashoda P4'!$H$3:$H$492)</f>
        <v>0</v>
      </c>
      <c r="D61" s="314">
        <f>SUMIF('Unos rashoda i izdataka'!$R$3:$R$498,'A.4 RASHODI FUNK'!$A61,'Unos rashoda i izdataka'!$K$3:$K$498)+SUMIF('Unos rashoda P4'!$T$3:$T$492,'A.4 RASHODI FUNK'!$A61,'Unos rashoda P4'!$I$3:$I$492)</f>
        <v>0</v>
      </c>
      <c r="E61" s="314">
        <f>SUMIF('Unos rashoda i izdataka'!$R$3:$R$498,'A.4 RASHODI FUNK'!$A61,'Unos rashoda i izdataka'!$L$3:$L$498)+SUMIF('Unos rashoda P4'!$T$3:$T$492,'A.4 RASHODI FUNK'!$A61,'Unos rashoda P4'!$J$3:$J$492)</f>
        <v>0</v>
      </c>
    </row>
    <row r="62" spans="1:5">
      <c r="A62" s="307">
        <v>83</v>
      </c>
      <c r="B62" s="43" t="s">
        <v>5226</v>
      </c>
      <c r="C62" s="314">
        <f>SUMIF('Unos rashoda i izdataka'!$R$3:$R$498,'A.4 RASHODI FUNK'!$A62,'Unos rashoda i izdataka'!$J$3:$J$498)+SUMIF('Unos rashoda P4'!$T$3:$T$492,'A.4 RASHODI FUNK'!$A62,'Unos rashoda P4'!$H$3:$H$492)</f>
        <v>0</v>
      </c>
      <c r="D62" s="314">
        <f>SUMIF('Unos rashoda i izdataka'!$R$3:$R$498,'A.4 RASHODI FUNK'!$A62,'Unos rashoda i izdataka'!$K$3:$K$498)+SUMIF('Unos rashoda P4'!$T$3:$T$492,'A.4 RASHODI FUNK'!$A62,'Unos rashoda P4'!$I$3:$I$492)</f>
        <v>0</v>
      </c>
      <c r="E62" s="314">
        <f>SUMIF('Unos rashoda i izdataka'!$R$3:$R$498,'A.4 RASHODI FUNK'!$A62,'Unos rashoda i izdataka'!$L$3:$L$498)+SUMIF('Unos rashoda P4'!$T$3:$T$492,'A.4 RASHODI FUNK'!$A62,'Unos rashoda P4'!$J$3:$J$492)</f>
        <v>0</v>
      </c>
    </row>
    <row r="63" spans="1:5">
      <c r="A63" s="307">
        <v>84</v>
      </c>
      <c r="B63" s="43" t="s">
        <v>5227</v>
      </c>
      <c r="C63" s="314">
        <f>SUMIF('Unos rashoda i izdataka'!$R$3:$R$498,'A.4 RASHODI FUNK'!$A63,'Unos rashoda i izdataka'!$J$3:$J$498)+SUMIF('Unos rashoda P4'!$T$3:$T$492,'A.4 RASHODI FUNK'!$A63,'Unos rashoda P4'!$H$3:$H$492)</f>
        <v>0</v>
      </c>
      <c r="D63" s="314">
        <f>SUMIF('Unos rashoda i izdataka'!$R$3:$R$498,'A.4 RASHODI FUNK'!$A63,'Unos rashoda i izdataka'!$K$3:$K$498)+SUMIF('Unos rashoda P4'!$T$3:$T$492,'A.4 RASHODI FUNK'!$A63,'Unos rashoda P4'!$I$3:$I$492)</f>
        <v>0</v>
      </c>
      <c r="E63" s="314">
        <f>SUMIF('Unos rashoda i izdataka'!$R$3:$R$498,'A.4 RASHODI FUNK'!$A63,'Unos rashoda i izdataka'!$L$3:$L$498)+SUMIF('Unos rashoda P4'!$T$3:$T$492,'A.4 RASHODI FUNK'!$A63,'Unos rashoda P4'!$J$3:$J$492)</f>
        <v>0</v>
      </c>
    </row>
    <row r="64" spans="1:5">
      <c r="A64" s="307">
        <v>85</v>
      </c>
      <c r="B64" s="43" t="s">
        <v>5228</v>
      </c>
      <c r="C64" s="314">
        <f>SUMIF('Unos rashoda i izdataka'!$R$3:$R$498,'A.4 RASHODI FUNK'!$A64,'Unos rashoda i izdataka'!$J$3:$J$498)+SUMIF('Unos rashoda P4'!$T$3:$T$492,'A.4 RASHODI FUNK'!$A64,'Unos rashoda P4'!$H$3:$H$492)</f>
        <v>0</v>
      </c>
      <c r="D64" s="314">
        <f>SUMIF('Unos rashoda i izdataka'!$R$3:$R$498,'A.4 RASHODI FUNK'!$A64,'Unos rashoda i izdataka'!$K$3:$K$498)+SUMIF('Unos rashoda P4'!$T$3:$T$492,'A.4 RASHODI FUNK'!$A64,'Unos rashoda P4'!$I$3:$I$492)</f>
        <v>0</v>
      </c>
      <c r="E64" s="314">
        <f>SUMIF('Unos rashoda i izdataka'!$R$3:$R$498,'A.4 RASHODI FUNK'!$A64,'Unos rashoda i izdataka'!$L$3:$L$498)+SUMIF('Unos rashoda P4'!$T$3:$T$492,'A.4 RASHODI FUNK'!$A64,'Unos rashoda P4'!$J$3:$J$492)</f>
        <v>0</v>
      </c>
    </row>
    <row r="65" spans="1:10" ht="25.5">
      <c r="A65" s="307">
        <v>86</v>
      </c>
      <c r="B65" s="43" t="s">
        <v>5229</v>
      </c>
      <c r="C65" s="314">
        <f>SUMIF('Unos rashoda i izdataka'!$R$3:$R$498,'A.4 RASHODI FUNK'!$A65,'Unos rashoda i izdataka'!$J$3:$J$498)+SUMIF('Unos rashoda P4'!$T$3:$T$492,'A.4 RASHODI FUNK'!$A65,'Unos rashoda P4'!$H$3:$H$492)</f>
        <v>0</v>
      </c>
      <c r="D65" s="314">
        <f>SUMIF('Unos rashoda i izdataka'!$R$3:$R$498,'A.4 RASHODI FUNK'!$A65,'Unos rashoda i izdataka'!$K$3:$K$498)+SUMIF('Unos rashoda P4'!$T$3:$T$492,'A.4 RASHODI FUNK'!$A65,'Unos rashoda P4'!$I$3:$I$492)</f>
        <v>0</v>
      </c>
      <c r="E65" s="314">
        <f>SUMIF('Unos rashoda i izdataka'!$R$3:$R$498,'A.4 RASHODI FUNK'!$A65,'Unos rashoda i izdataka'!$L$3:$L$498)+SUMIF('Unos rashoda P4'!$T$3:$T$492,'A.4 RASHODI FUNK'!$A65,'Unos rashoda P4'!$J$3:$J$492)</f>
        <v>0</v>
      </c>
    </row>
    <row r="66" spans="1:10">
      <c r="A66" s="288">
        <v>9</v>
      </c>
      <c r="B66" s="58" t="s">
        <v>5230</v>
      </c>
      <c r="C66" s="320">
        <f>SUM(C67:C74)</f>
        <v>0</v>
      </c>
      <c r="D66" s="320">
        <f>SUM(D67:D74)</f>
        <v>0</v>
      </c>
      <c r="E66" s="320">
        <f>SUM(E67:E74)</f>
        <v>0</v>
      </c>
    </row>
    <row r="67" spans="1:10">
      <c r="A67" s="307">
        <v>91</v>
      </c>
      <c r="B67" s="43" t="s">
        <v>5231</v>
      </c>
      <c r="C67" s="314">
        <f>SUMIF('Unos rashoda i izdataka'!$R$3:$R$498,'A.4 RASHODI FUNK'!$A67,'Unos rashoda i izdataka'!$J$3:$J$498)+SUMIF('Unos rashoda P4'!$T$3:$T$492,'A.4 RASHODI FUNK'!$A67,'Unos rashoda P4'!$H$3:$H$492)</f>
        <v>0</v>
      </c>
      <c r="D67" s="314">
        <f>SUMIF('Unos rashoda i izdataka'!$R$3:$R$498,'A.4 RASHODI FUNK'!$A67,'Unos rashoda i izdataka'!$K$3:$K$498)+SUMIF('Unos rashoda P4'!$T$3:$T$492,'A.4 RASHODI FUNK'!$A67,'Unos rashoda P4'!$I$3:$I$492)</f>
        <v>0</v>
      </c>
      <c r="E67" s="314">
        <f>SUMIF('Unos rashoda i izdataka'!$R$3:$R$498,'A.4 RASHODI FUNK'!$A67,'Unos rashoda i izdataka'!$L$3:$L$498)+SUMIF('Unos rashoda P4'!$T$3:$T$492,'A.4 RASHODI FUNK'!$A67,'Unos rashoda P4'!$J$3:$J$492)</f>
        <v>0</v>
      </c>
    </row>
    <row r="68" spans="1:10">
      <c r="A68" s="307">
        <v>92</v>
      </c>
      <c r="B68" s="43" t="s">
        <v>5232</v>
      </c>
      <c r="C68" s="314">
        <f>SUMIF('Unos rashoda i izdataka'!$R$3:$R$498,'A.4 RASHODI FUNK'!$A68,'Unos rashoda i izdataka'!$J$3:$J$498)+SUMIF('Unos rashoda P4'!$T$3:$T$492,'A.4 RASHODI FUNK'!$A68,'Unos rashoda P4'!$H$3:$H$492)</f>
        <v>0</v>
      </c>
      <c r="D68" s="314">
        <f>SUMIF('Unos rashoda i izdataka'!$R$3:$R$498,'A.4 RASHODI FUNK'!$A68,'Unos rashoda i izdataka'!$K$3:$K$498)+SUMIF('Unos rashoda P4'!$T$3:$T$492,'A.4 RASHODI FUNK'!$A68,'Unos rashoda P4'!$I$3:$I$492)</f>
        <v>0</v>
      </c>
      <c r="E68" s="314">
        <f>SUMIF('Unos rashoda i izdataka'!$R$3:$R$498,'A.4 RASHODI FUNK'!$A68,'Unos rashoda i izdataka'!$L$3:$L$498)+SUMIF('Unos rashoda P4'!$T$3:$T$492,'A.4 RASHODI FUNK'!$A68,'Unos rashoda P4'!$J$3:$J$492)</f>
        <v>0</v>
      </c>
    </row>
    <row r="69" spans="1:10">
      <c r="A69" s="307">
        <v>93</v>
      </c>
      <c r="B69" s="43" t="s">
        <v>5233</v>
      </c>
      <c r="C69" s="314">
        <f>SUMIF('Unos rashoda i izdataka'!$R$3:$R$498,'A.4 RASHODI FUNK'!$A69,'Unos rashoda i izdataka'!$J$3:$J$498)+SUMIF('Unos rashoda P4'!$T$3:$T$492,'A.4 RASHODI FUNK'!$A69,'Unos rashoda P4'!$H$3:$H$492)</f>
        <v>0</v>
      </c>
      <c r="D69" s="314">
        <f>SUMIF('Unos rashoda i izdataka'!$R$3:$R$498,'A.4 RASHODI FUNK'!$A69,'Unos rashoda i izdataka'!$K$3:$K$498)+SUMIF('Unos rashoda P4'!$T$3:$T$492,'A.4 RASHODI FUNK'!$A69,'Unos rashoda P4'!$I$3:$I$492)</f>
        <v>0</v>
      </c>
      <c r="E69" s="314">
        <f>SUMIF('Unos rashoda i izdataka'!$R$3:$R$498,'A.4 RASHODI FUNK'!$A69,'Unos rashoda i izdataka'!$L$3:$L$498)+SUMIF('Unos rashoda P4'!$T$3:$T$492,'A.4 RASHODI FUNK'!$A69,'Unos rashoda P4'!$J$3:$J$492)</f>
        <v>0</v>
      </c>
    </row>
    <row r="70" spans="1:10">
      <c r="A70" s="307">
        <v>94</v>
      </c>
      <c r="B70" s="43" t="s">
        <v>5234</v>
      </c>
      <c r="C70" s="314"/>
      <c r="D70" s="314"/>
      <c r="E70" s="314"/>
      <c r="J70" s="321"/>
    </row>
    <row r="71" spans="1:10">
      <c r="A71" s="307">
        <v>95</v>
      </c>
      <c r="B71" s="43" t="s">
        <v>5155</v>
      </c>
      <c r="C71" s="314">
        <f>SUMIF('Unos rashoda i izdataka'!$R$3:$R$498,'A.4 RASHODI FUNK'!$A71,'Unos rashoda i izdataka'!$J$3:$J$498)+SUMIF('Unos rashoda P4'!$T$3:$T$492,'A.4 RASHODI FUNK'!$A71,'Unos rashoda P4'!$H$3:$H$492)</f>
        <v>0</v>
      </c>
      <c r="D71" s="314">
        <f>SUMIF('Unos rashoda i izdataka'!$R$3:$R$498,'A.4 RASHODI FUNK'!$A71,'Unos rashoda i izdataka'!$K$3:$K$498)+SUMIF('Unos rashoda P4'!$T$3:$T$492,'A.4 RASHODI FUNK'!$A71,'Unos rashoda P4'!$I$3:$I$492)</f>
        <v>0</v>
      </c>
      <c r="E71" s="314">
        <f>SUMIF('Unos rashoda i izdataka'!$R$3:$R$498,'A.4 RASHODI FUNK'!$A71,'Unos rashoda i izdataka'!$L$3:$L$498)+SUMIF('Unos rashoda P4'!$T$3:$T$492,'A.4 RASHODI FUNK'!$A71,'Unos rashoda P4'!$J$3:$J$492)</f>
        <v>0</v>
      </c>
    </row>
    <row r="72" spans="1:10">
      <c r="A72" s="307">
        <v>96</v>
      </c>
      <c r="B72" s="43" t="s">
        <v>5153</v>
      </c>
      <c r="C72" s="314">
        <f>SUMIF('Unos rashoda i izdataka'!$R$3:$R$498,'A.4 RASHODI FUNK'!$A72,'Unos rashoda i izdataka'!$J$3:$J$498)+SUMIF('Unos rashoda P4'!$T$3:$T$492,'A.4 RASHODI FUNK'!$A72,'Unos rashoda P4'!$H$3:$H$492)</f>
        <v>0</v>
      </c>
      <c r="D72" s="314">
        <f>SUMIF('Unos rashoda i izdataka'!$R$3:$R$498,'A.4 RASHODI FUNK'!$A72,'Unos rashoda i izdataka'!$K$3:$K$498)+SUMIF('Unos rashoda P4'!$T$3:$T$492,'A.4 RASHODI FUNK'!$A72,'Unos rashoda P4'!$I$3:$I$492)</f>
        <v>0</v>
      </c>
      <c r="E72" s="314">
        <f>SUMIF('Unos rashoda i izdataka'!$R$3:$R$498,'A.4 RASHODI FUNK'!$A72,'Unos rashoda i izdataka'!$L$3:$L$498)+SUMIF('Unos rashoda P4'!$T$3:$T$492,'A.4 RASHODI FUNK'!$A72,'Unos rashoda P4'!$J$3:$J$492)</f>
        <v>0</v>
      </c>
    </row>
    <row r="73" spans="1:10">
      <c r="A73" s="307">
        <v>97</v>
      </c>
      <c r="B73" s="43" t="s">
        <v>5139</v>
      </c>
      <c r="C73" s="314">
        <f>SUMIF('Unos rashoda i izdataka'!$R$3:$R$498,'A.4 RASHODI FUNK'!$A73,'Unos rashoda i izdataka'!$J$3:$J$498)+SUMIF('Unos rashoda P4'!$T$3:$T$492,'A.4 RASHODI FUNK'!$A73,'Unos rashoda P4'!$H$3:$H$492)</f>
        <v>0</v>
      </c>
      <c r="D73" s="314">
        <f>SUMIF('Unos rashoda i izdataka'!$R$3:$R$498,'A.4 RASHODI FUNK'!$A73,'Unos rashoda i izdataka'!$K$3:$K$498)+SUMIF('Unos rashoda P4'!$T$3:$T$492,'A.4 RASHODI FUNK'!$A73,'Unos rashoda P4'!$I$3:$I$492)</f>
        <v>0</v>
      </c>
      <c r="E73" s="314">
        <f>SUMIF('Unos rashoda i izdataka'!$R$3:$R$498,'A.4 RASHODI FUNK'!$A73,'Unos rashoda i izdataka'!$L$3:$L$498)+SUMIF('Unos rashoda P4'!$T$3:$T$492,'A.4 RASHODI FUNK'!$A73,'Unos rashoda P4'!$J$3:$J$492)</f>
        <v>0</v>
      </c>
    </row>
    <row r="74" spans="1:10">
      <c r="A74" s="307">
        <v>98</v>
      </c>
      <c r="B74" s="43" t="s">
        <v>5141</v>
      </c>
      <c r="C74" s="314">
        <f>SUMIF('Unos rashoda i izdataka'!$R$3:$R$498,'A.4 RASHODI FUNK'!$A74,'Unos rashoda i izdataka'!$J$3:$J$498)+SUMIF('Unos rashoda P4'!$T$3:$T$492,'A.4 RASHODI FUNK'!$A74,'Unos rashoda P4'!$H$3:$H$492)</f>
        <v>0</v>
      </c>
      <c r="D74" s="314">
        <f>SUMIF('Unos rashoda i izdataka'!$R$3:$R$498,'A.4 RASHODI FUNK'!$A74,'Unos rashoda i izdataka'!$K$3:$K$498)+SUMIF('Unos rashoda P4'!$T$3:$T$492,'A.4 RASHODI FUNK'!$A74,'Unos rashoda P4'!$I$3:$I$492)</f>
        <v>0</v>
      </c>
      <c r="E74" s="314">
        <f>SUMIF('Unos rashoda i izdataka'!$R$3:$R$498,'A.4 RASHODI FUNK'!$A74,'Unos rashoda i izdataka'!$L$3:$L$498)+SUMIF('Unos rashoda P4'!$T$3:$T$492,'A.4 RASHODI FUNK'!$A74,'Unos rashoda P4'!$J$3:$J$492)</f>
        <v>0</v>
      </c>
    </row>
    <row r="75" spans="1:10">
      <c r="A75" s="288">
        <v>10</v>
      </c>
      <c r="B75" s="58" t="s">
        <v>5235</v>
      </c>
      <c r="C75" s="320">
        <f>SUM(C76:C84)</f>
        <v>0</v>
      </c>
      <c r="D75" s="320">
        <f>SUM(D76:D84)</f>
        <v>0</v>
      </c>
      <c r="E75" s="320">
        <f>SUM(E76:E84)</f>
        <v>0</v>
      </c>
    </row>
    <row r="76" spans="1:10">
      <c r="A76" s="307">
        <v>101</v>
      </c>
      <c r="B76" s="43" t="s">
        <v>5236</v>
      </c>
      <c r="C76" s="314">
        <f>SUMIF('Unos rashoda i izdataka'!$R$3:$R$498,'A.4 RASHODI FUNK'!$A76,'Unos rashoda i izdataka'!$J$3:$J$498)+SUMIF('Unos rashoda P4'!$T$3:$T$492,'A.4 RASHODI FUNK'!$A76,'Unos rashoda P4'!$H$3:$H$492)</f>
        <v>0</v>
      </c>
      <c r="D76" s="314">
        <f>SUMIF('Unos rashoda i izdataka'!$R$3:$R$498,'A.4 RASHODI FUNK'!$A76,'Unos rashoda i izdataka'!$K$3:$K$498)+SUMIF('Unos rashoda P4'!$T$3:$T$492,'A.4 RASHODI FUNK'!$A76,'Unos rashoda P4'!$I$3:$I$492)</f>
        <v>0</v>
      </c>
      <c r="E76" s="314">
        <f>SUMIF('Unos rashoda i izdataka'!$R$3:$R$498,'A.4 RASHODI FUNK'!$A76,'Unos rashoda i izdataka'!$L$3:$L$498)+SUMIF('Unos rashoda P4'!$T$3:$T$492,'A.4 RASHODI FUNK'!$A76,'Unos rashoda P4'!$J$3:$J$492)</f>
        <v>0</v>
      </c>
    </row>
    <row r="77" spans="1:10">
      <c r="A77" s="307">
        <v>102</v>
      </c>
      <c r="B77" s="43" t="s">
        <v>5237</v>
      </c>
      <c r="C77" s="314">
        <f>SUMIF('Unos rashoda i izdataka'!$R$3:$R$498,'A.4 RASHODI FUNK'!$A77,'Unos rashoda i izdataka'!$J$3:$J$498)+SUMIF('Unos rashoda P4'!$T$3:$T$492,'A.4 RASHODI FUNK'!$A77,'Unos rashoda P4'!$H$3:$H$492)</f>
        <v>0</v>
      </c>
      <c r="D77" s="314">
        <f>SUMIF('Unos rashoda i izdataka'!$R$3:$R$498,'A.4 RASHODI FUNK'!$A77,'Unos rashoda i izdataka'!$K$3:$K$498)+SUMIF('Unos rashoda P4'!$T$3:$T$492,'A.4 RASHODI FUNK'!$A77,'Unos rashoda P4'!$I$3:$I$492)</f>
        <v>0</v>
      </c>
      <c r="E77" s="314">
        <f>SUMIF('Unos rashoda i izdataka'!$R$3:$R$498,'A.4 RASHODI FUNK'!$A77,'Unos rashoda i izdataka'!$L$3:$L$498)+SUMIF('Unos rashoda P4'!$T$3:$T$492,'A.4 RASHODI FUNK'!$A77,'Unos rashoda P4'!$J$3:$J$492)</f>
        <v>0</v>
      </c>
    </row>
    <row r="78" spans="1:10">
      <c r="A78" s="307">
        <v>103</v>
      </c>
      <c r="B78" s="43" t="s">
        <v>5238</v>
      </c>
      <c r="C78" s="314">
        <f>SUMIF('Unos rashoda i izdataka'!$R$3:$R$498,'A.4 RASHODI FUNK'!$A78,'Unos rashoda i izdataka'!$J$3:$J$498)+SUMIF('Unos rashoda P4'!$T$3:$T$492,'A.4 RASHODI FUNK'!$A78,'Unos rashoda P4'!$H$3:$H$492)</f>
        <v>0</v>
      </c>
      <c r="D78" s="314">
        <f>SUMIF('Unos rashoda i izdataka'!$R$3:$R$498,'A.4 RASHODI FUNK'!$A78,'Unos rashoda i izdataka'!$K$3:$K$498)+SUMIF('Unos rashoda P4'!$T$3:$T$492,'A.4 RASHODI FUNK'!$A78,'Unos rashoda P4'!$I$3:$I$492)</f>
        <v>0</v>
      </c>
      <c r="E78" s="314">
        <f>SUMIF('Unos rashoda i izdataka'!$R$3:$R$498,'A.4 RASHODI FUNK'!$A78,'Unos rashoda i izdataka'!$L$3:$L$498)+SUMIF('Unos rashoda P4'!$T$3:$T$492,'A.4 RASHODI FUNK'!$A78,'Unos rashoda P4'!$J$3:$J$492)</f>
        <v>0</v>
      </c>
    </row>
    <row r="79" spans="1:10">
      <c r="A79" s="307">
        <v>104</v>
      </c>
      <c r="B79" s="43" t="s">
        <v>5239</v>
      </c>
      <c r="C79" s="314">
        <f>SUMIF('Unos rashoda i izdataka'!$R$3:$R$498,'A.4 RASHODI FUNK'!$A79,'Unos rashoda i izdataka'!$J$3:$J$498)+SUMIF('Unos rashoda P4'!$T$3:$T$492,'A.4 RASHODI FUNK'!$A79,'Unos rashoda P4'!$H$3:$H$492)</f>
        <v>0</v>
      </c>
      <c r="D79" s="314">
        <f>SUMIF('Unos rashoda i izdataka'!$R$3:$R$498,'A.4 RASHODI FUNK'!$A79,'Unos rashoda i izdataka'!$K$3:$K$498)+SUMIF('Unos rashoda P4'!$T$3:$T$492,'A.4 RASHODI FUNK'!$A79,'Unos rashoda P4'!$I$3:$I$492)</f>
        <v>0</v>
      </c>
      <c r="E79" s="314">
        <f>SUMIF('Unos rashoda i izdataka'!$R$3:$R$498,'A.4 RASHODI FUNK'!$A79,'Unos rashoda i izdataka'!$L$3:$L$498)+SUMIF('Unos rashoda P4'!$T$3:$T$492,'A.4 RASHODI FUNK'!$A79,'Unos rashoda P4'!$J$3:$J$492)</f>
        <v>0</v>
      </c>
    </row>
    <row r="80" spans="1:10">
      <c r="A80" s="307">
        <v>105</v>
      </c>
      <c r="B80" s="43" t="s">
        <v>5240</v>
      </c>
      <c r="C80" s="314">
        <f>SUMIF('Unos rashoda i izdataka'!$R$3:$R$498,'A.4 RASHODI FUNK'!$A80,'Unos rashoda i izdataka'!$J$3:$J$498)+SUMIF('Unos rashoda P4'!$T$3:$T$492,'A.4 RASHODI FUNK'!$A80,'Unos rashoda P4'!$H$3:$H$492)</f>
        <v>0</v>
      </c>
      <c r="D80" s="314">
        <f>SUMIF('Unos rashoda i izdataka'!$R$3:$R$498,'A.4 RASHODI FUNK'!$A80,'Unos rashoda i izdataka'!$K$3:$K$498)+SUMIF('Unos rashoda P4'!$T$3:$T$492,'A.4 RASHODI FUNK'!$A80,'Unos rashoda P4'!$I$3:$I$492)</f>
        <v>0</v>
      </c>
      <c r="E80" s="314">
        <f>SUMIF('Unos rashoda i izdataka'!$R$3:$R$498,'A.4 RASHODI FUNK'!$A80,'Unos rashoda i izdataka'!$L$3:$L$498)+SUMIF('Unos rashoda P4'!$T$3:$T$492,'A.4 RASHODI FUNK'!$A80,'Unos rashoda P4'!$J$3:$J$492)</f>
        <v>0</v>
      </c>
    </row>
    <row r="81" spans="1:5">
      <c r="A81" s="307">
        <v>106</v>
      </c>
      <c r="B81" s="43" t="s">
        <v>5241</v>
      </c>
      <c r="C81" s="314">
        <f>SUMIF('Unos rashoda i izdataka'!$R$3:$R$498,'A.4 RASHODI FUNK'!$A81,'Unos rashoda i izdataka'!$J$3:$J$498)+SUMIF('Unos rashoda P4'!$T$3:$T$492,'A.4 RASHODI FUNK'!$A81,'Unos rashoda P4'!$H$3:$H$492)</f>
        <v>0</v>
      </c>
      <c r="D81" s="314">
        <f>SUMIF('Unos rashoda i izdataka'!$R$3:$R$498,'A.4 RASHODI FUNK'!$A81,'Unos rashoda i izdataka'!$K$3:$K$498)+SUMIF('Unos rashoda P4'!$T$3:$T$492,'A.4 RASHODI FUNK'!$A81,'Unos rashoda P4'!$I$3:$I$492)</f>
        <v>0</v>
      </c>
      <c r="E81" s="314">
        <f>SUMIF('Unos rashoda i izdataka'!$R$3:$R$498,'A.4 RASHODI FUNK'!$A81,'Unos rashoda i izdataka'!$L$3:$L$498)+SUMIF('Unos rashoda P4'!$T$3:$T$492,'A.4 RASHODI FUNK'!$A81,'Unos rashoda P4'!$J$3:$J$492)</f>
        <v>0</v>
      </c>
    </row>
    <row r="82" spans="1:5" ht="25.5">
      <c r="A82" s="307">
        <v>107</v>
      </c>
      <c r="B82" s="43" t="s">
        <v>5242</v>
      </c>
      <c r="C82" s="314">
        <f>SUMIF('Unos rashoda i izdataka'!$R$3:$R$498,'A.4 RASHODI FUNK'!$A82,'Unos rashoda i izdataka'!$J$3:$J$498)+SUMIF('Unos rashoda P4'!$T$3:$T$492,'A.4 RASHODI FUNK'!$A82,'Unos rashoda P4'!$H$3:$H$492)</f>
        <v>0</v>
      </c>
      <c r="D82" s="314">
        <f>SUMIF('Unos rashoda i izdataka'!$R$3:$R$498,'A.4 RASHODI FUNK'!$A82,'Unos rashoda i izdataka'!$K$3:$K$498)+SUMIF('Unos rashoda P4'!$T$3:$T$492,'A.4 RASHODI FUNK'!$A82,'Unos rashoda P4'!$I$3:$I$492)</f>
        <v>0</v>
      </c>
      <c r="E82" s="314">
        <f>SUMIF('Unos rashoda i izdataka'!$R$3:$R$498,'A.4 RASHODI FUNK'!$A82,'Unos rashoda i izdataka'!$L$3:$L$498)+SUMIF('Unos rashoda P4'!$T$3:$T$492,'A.4 RASHODI FUNK'!$A82,'Unos rashoda P4'!$J$3:$J$492)</f>
        <v>0</v>
      </c>
    </row>
    <row r="83" spans="1:5">
      <c r="A83" s="307">
        <v>108</v>
      </c>
      <c r="B83" s="43" t="s">
        <v>5243</v>
      </c>
      <c r="C83" s="314">
        <f>SUMIF('Unos rashoda i izdataka'!$R$3:$R$498,'A.4 RASHODI FUNK'!$A83,'Unos rashoda i izdataka'!$J$3:$J$498)+SUMIF('Unos rashoda P4'!$T$3:$T$492,'A.4 RASHODI FUNK'!$A83,'Unos rashoda P4'!$H$3:$H$492)</f>
        <v>0</v>
      </c>
      <c r="D83" s="314">
        <f>SUMIF('Unos rashoda i izdataka'!$R$3:$R$498,'A.4 RASHODI FUNK'!$A83,'Unos rashoda i izdataka'!$K$3:$K$498)+SUMIF('Unos rashoda P4'!$T$3:$T$492,'A.4 RASHODI FUNK'!$A83,'Unos rashoda P4'!$I$3:$I$492)</f>
        <v>0</v>
      </c>
      <c r="E83" s="314">
        <f>SUMIF('Unos rashoda i izdataka'!$R$3:$R$498,'A.4 RASHODI FUNK'!$A83,'Unos rashoda i izdataka'!$L$3:$L$498)+SUMIF('Unos rashoda P4'!$T$3:$T$492,'A.4 RASHODI FUNK'!$A83,'Unos rashoda P4'!$J$3:$J$492)</f>
        <v>0</v>
      </c>
    </row>
    <row r="84" spans="1:5" ht="25.5">
      <c r="A84" s="307">
        <v>109</v>
      </c>
      <c r="B84" s="43" t="s">
        <v>5244</v>
      </c>
      <c r="C84" s="314">
        <f>SUMIF('Unos rashoda i izdataka'!$R$3:$R$498,'A.4 RASHODI FUNK'!$A84,'Unos rashoda i izdataka'!$J$3:$J$498)+SUMIF('Unos rashoda P4'!$T$3:$T$492,'A.4 RASHODI FUNK'!$A84,'Unos rashoda P4'!$H$3:$H$492)</f>
        <v>0</v>
      </c>
      <c r="D84" s="314">
        <f>SUMIF('Unos rashoda i izdataka'!$R$3:$R$498,'A.4 RASHODI FUNK'!$A84,'Unos rashoda i izdataka'!$K$3:$K$498)+SUMIF('Unos rashoda P4'!$T$3:$T$492,'A.4 RASHODI FUNK'!$A84,'Unos rashoda P4'!$I$3:$I$492)</f>
        <v>0</v>
      </c>
      <c r="E84" s="314">
        <f>SUMIF('Unos rashoda i izdataka'!$R$3:$R$498,'A.4 RASHODI FUNK'!$A84,'Unos rashoda i izdataka'!$L$3:$L$498)+SUMIF('Unos rashoda P4'!$T$3:$T$492,'A.4 RASHODI FUNK'!$A84,'Unos rashoda P4'!$J$3:$J$492)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B47"/>
  <sheetViews>
    <sheetView zoomScale="80" zoomScaleNormal="80" workbookViewId="0">
      <selection activeCell="C26" sqref="C26:T26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94" t="s">
        <v>5101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</row>
    <row r="3" spans="1:262" s="38" customFormat="1" ht="15">
      <c r="A3" s="37"/>
      <c r="B3" s="37"/>
      <c r="C3" s="37"/>
      <c r="R3" s="39"/>
      <c r="V3" s="291" t="s">
        <v>5246</v>
      </c>
    </row>
    <row r="4" spans="1:262" s="38" customFormat="1" ht="15.6" customHeight="1">
      <c r="A4" s="395" t="s">
        <v>232</v>
      </c>
      <c r="B4" s="396"/>
      <c r="C4" s="397" t="s">
        <v>5260</v>
      </c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9"/>
      <c r="U4" s="133"/>
      <c r="V4" s="133"/>
    </row>
    <row r="5" spans="1:262" s="38" customFormat="1" ht="89.25">
      <c r="A5" s="40" t="s">
        <v>233</v>
      </c>
      <c r="B5" s="40" t="s">
        <v>234</v>
      </c>
      <c r="C5" s="176" t="s">
        <v>235</v>
      </c>
      <c r="D5" s="134" t="s">
        <v>255</v>
      </c>
      <c r="E5" s="134" t="s">
        <v>247</v>
      </c>
      <c r="F5" s="135" t="s">
        <v>16</v>
      </c>
      <c r="G5" s="135" t="s">
        <v>1224</v>
      </c>
      <c r="H5" s="135" t="s">
        <v>17</v>
      </c>
      <c r="I5" s="135" t="s">
        <v>236</v>
      </c>
      <c r="J5" s="135" t="s">
        <v>237</v>
      </c>
      <c r="K5" s="135" t="s">
        <v>1225</v>
      </c>
      <c r="L5" s="135" t="s">
        <v>238</v>
      </c>
      <c r="M5" s="135" t="s">
        <v>239</v>
      </c>
      <c r="N5" s="135" t="s">
        <v>240</v>
      </c>
      <c r="O5" s="135" t="s">
        <v>1226</v>
      </c>
      <c r="P5" s="135" t="s">
        <v>1227</v>
      </c>
      <c r="Q5" s="135" t="s">
        <v>1702</v>
      </c>
      <c r="R5" s="41" t="s">
        <v>3011</v>
      </c>
      <c r="S5" s="135" t="s">
        <v>241</v>
      </c>
      <c r="T5" s="41" t="s">
        <v>242</v>
      </c>
      <c r="U5" s="41" t="s">
        <v>246</v>
      </c>
      <c r="V5" s="41" t="s">
        <v>1201</v>
      </c>
    </row>
    <row r="6" spans="1:262" s="7" customFormat="1" ht="12.6" customHeight="1">
      <c r="A6" s="62">
        <v>8</v>
      </c>
      <c r="B6" s="63" t="s">
        <v>13</v>
      </c>
      <c r="C6" s="66">
        <f>+H6+V6</f>
        <v>150000</v>
      </c>
      <c r="D6" s="309"/>
      <c r="E6" s="309"/>
      <c r="F6" s="309"/>
      <c r="G6" s="309"/>
      <c r="H6" s="65">
        <f t="shared" ref="H6:V6" si="0">SUM(H7:H10)</f>
        <v>150000</v>
      </c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5093</v>
      </c>
      <c r="C7" s="27">
        <f>+H7+V7</f>
        <v>150000</v>
      </c>
      <c r="D7" s="309"/>
      <c r="E7" s="309"/>
      <c r="F7" s="309"/>
      <c r="G7" s="309"/>
      <c r="H7" s="115">
        <f>SUMIFS('Unos prihoda i primitaka'!$G$3:$G$501,'Unos prihoda i primitaka'!$C$3:$C$501,"=43",'Unos prihoda i primitaka'!$L$3:$L$501,"=81")</f>
        <v>150000</v>
      </c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115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5094</v>
      </c>
      <c r="C8" s="27">
        <f t="shared" ref="C8:C10" si="1">+H8+V8</f>
        <v>0</v>
      </c>
      <c r="D8" s="309"/>
      <c r="E8" s="309"/>
      <c r="F8" s="309"/>
      <c r="G8" s="309"/>
      <c r="H8" s="115">
        <f>SUMIFS('Unos prihoda i primitaka'!$G$3:$G$501,'Unos prihoda i primitaka'!$C$3:$C$501,"=43",'Unos prihoda i primitaka'!$L$3:$L$501,"=82")</f>
        <v>0</v>
      </c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115">
        <f>SUMIFS('Unos prihoda i primitaka'!$G$3:$G$501,'Unos prihoda i primitaka'!$C$3:$C$501,"=81",'Unos prihoda i primitaka'!$L$3:$L$501,"=82")</f>
        <v>0</v>
      </c>
    </row>
    <row r="9" spans="1:262" s="38" customFormat="1">
      <c r="A9" s="161">
        <v>83</v>
      </c>
      <c r="B9" s="49" t="s">
        <v>5095</v>
      </c>
      <c r="C9" s="27">
        <f t="shared" si="1"/>
        <v>0</v>
      </c>
      <c r="D9" s="309"/>
      <c r="E9" s="309"/>
      <c r="F9" s="309"/>
      <c r="G9" s="309"/>
      <c r="H9" s="115">
        <f>SUMIFS('Unos prihoda i primitaka'!$G$3:$G$501,'Unos prihoda i primitaka'!$C$3:$C$501,"=43",'Unos prihoda i primitaka'!$L$3:$L$501,"=83")</f>
        <v>0</v>
      </c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115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5096</v>
      </c>
      <c r="C10" s="27">
        <f t="shared" si="1"/>
        <v>0</v>
      </c>
      <c r="D10" s="309"/>
      <c r="E10" s="309"/>
      <c r="F10" s="309"/>
      <c r="G10" s="309"/>
      <c r="H10" s="115">
        <f>SUMIFS('Unos prihoda i primitaka'!$G$3:$G$501,'Unos prihoda i primitaka'!$C$3:$C$501,"=43",'Unos prihoda i primitaka'!$L$3:$L$501,"=84")</f>
        <v>0</v>
      </c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115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256</v>
      </c>
      <c r="C12" s="27">
        <f t="shared" si="2"/>
        <v>0</v>
      </c>
      <c r="D12" s="72">
        <f>SUMIFS('Unos rashoda i izdataka'!$J$3:$J$498,'Unos rashoda i izdataka'!$C$3:$C$498,"=11",'Unos rashoda i izdataka'!$P$3:$P$498,"=51")+SUMIFS('Unos rashoda P4'!$H$3:$H$492,'Unos rashoda P4'!$A$3:$A$492,"=11",'Unos rashoda P4'!$S$3:$S$492,"=51")</f>
        <v>0</v>
      </c>
      <c r="E12" s="72">
        <f>SUMIFS('Unos rashoda i izdataka'!$J$3:$J$498,'Unos rashoda i izdataka'!$C$3:$C$498,"=12",'Unos rashoda i izdataka'!$P$3:$P$498,"=51")+SUMIFS('Unos rashoda P4'!$H$3:$H$492,'Unos rashoda P4'!$A$3:$A$492,"=12",'Unos rashoda P4'!$S$3:$S$492,"=51")</f>
        <v>0</v>
      </c>
      <c r="F12" s="72">
        <f>SUMIFS('Unos rashoda i izdataka'!$J$3:$J$498,'Unos rashoda i izdataka'!$C$3:$C$498,"=31",'Unos rashoda i izdataka'!$P$3:$P$498,"=51")+SUMIFS('Unos rashoda P4'!$H$3:$H$492,'Unos rashoda P4'!$A$3:$A$492,"=31",'Unos rashoda P4'!$S$3:$S$492,"=51")</f>
        <v>0</v>
      </c>
      <c r="G12" s="72">
        <f>SUMIFS('Unos rashoda i izdataka'!$J$3:$J$498,'Unos rashoda i izdataka'!$C$3:$C$498,"=41",'Unos rashoda i izdataka'!$P$3:$P$498,"=51")+SUMIFS('Unos rashoda P4'!$H$3:$H$492,'Unos rashoda P4'!$A$3:$A$492,"=41",'Unos rashoda P4'!$S$3:$S$492,"=51")</f>
        <v>0</v>
      </c>
      <c r="H12" s="72">
        <f>SUMIFS('Unos rashoda i izdataka'!$J$3:$J$498,'Unos rashoda i izdataka'!$C$3:$C$498,"=43",'Unos rashoda i izdataka'!$P$3:$P$498,"=51")+SUMIFS('Unos rashoda P4'!$H$3:$H$492,'Unos rashoda P4'!$A$3:$A$492,"=43",'Unos rashoda P4'!$S$3:$S$492,"=51")</f>
        <v>0</v>
      </c>
      <c r="I12" s="72">
        <f>SUMIFS('Unos rashoda i izdataka'!$J$3:$J$498,'Unos rashoda i izdataka'!$C$3:$C$498,"=51",'Unos rashoda i izdataka'!$P$3:$P$498,"=51")+SUMIFS('Unos rashoda P4'!$H$3:$H$492,'Unos rashoda P4'!$A$3:$A$492,"=51",'Unos rashoda P4'!$S$3:$S$492,"=51")</f>
        <v>0</v>
      </c>
      <c r="J12" s="72">
        <f>SUMIFS('Unos rashoda i izdataka'!$J$3:$J$498,'Unos rashoda i izdataka'!$C$3:$C$498,"=52",'Unos rashoda i izdataka'!$P$3:$P$498,"=51")+SUMIFS('Unos rashoda P4'!$H$3:$H$492,'Unos rashoda P4'!$A$3:$A$492,"=52",'Unos rashoda P4'!$S$3:$S$492,"=51")</f>
        <v>0</v>
      </c>
      <c r="K12" s="72">
        <f>SUMIFS('Unos rashoda i izdataka'!$J$3:$J$498,'Unos rashoda i izdataka'!$C$3:$C$498,"=552",'Unos rashoda i izdataka'!$P$3:$P$498,"=51")+SUMIFS('Unos rashoda P4'!$H$3:$H$492,'Unos rashoda P4'!$A$3:$A$492,"=552",'Unos rashoda P4'!$S$3:$S$492,"=51")</f>
        <v>0</v>
      </c>
      <c r="L12" s="72">
        <f>SUMIFS('Unos rashoda i izdataka'!$J$3:$J$498,'Unos rashoda i izdataka'!$C$3:$C$498,"=559",'Unos rashoda i izdataka'!$P$3:$P$498,"=51")+SUMIFS('Unos rashoda P4'!$H$3:$H$492,'Unos rashoda P4'!$A$3:$A$492,"=559",'Unos rashoda P4'!$S$3:$S$492,"=51")</f>
        <v>0</v>
      </c>
      <c r="M12" s="72">
        <f>SUMIFS('Unos rashoda i izdataka'!$J$3:$J$498,'Unos rashoda i izdataka'!$C$3:$C$498,"=561",'Unos rashoda i izdataka'!$P$3:$P$498,"=51")+SUMIFS('Unos rashoda P4'!$H$3:$H$492,'Unos rashoda P4'!$A$3:$A$492,"=561",'Unos rashoda P4'!$S$3:$S$492,"=51")</f>
        <v>0</v>
      </c>
      <c r="N12" s="72">
        <f>SUMIFS('Unos rashoda i izdataka'!$J$3:$J$498,'Unos rashoda i izdataka'!$C$3:$C$498,"=563",'Unos rashoda i izdataka'!$P$3:$P$498,"=51")+SUMIFS('Unos rashoda P4'!$H$3:$H$492,'Unos rashoda P4'!$A$3:$A$492,"=563",'Unos rashoda P4'!$S$3:$S$492,"=51")</f>
        <v>0</v>
      </c>
      <c r="O12" s="72">
        <f>SUMIFS('Unos rashoda i izdataka'!$J$3:$J$498,'Unos rashoda i izdataka'!$C$3:$C$498,"=573",'Unos rashoda i izdataka'!$P$3:$P$498,"=51")+SUMIFS('Unos rashoda P4'!$H$3:$H$492,'Unos rashoda P4'!$A$3:$A$492,"=573",'Unos rashoda P4'!$S$3:$S$492,"=51")</f>
        <v>0</v>
      </c>
      <c r="P12" s="72">
        <f>SUMIFS('Unos rashoda i izdataka'!$J$3:$J$498,'Unos rashoda i izdataka'!$C$3:$C$498,"=575",'Unos rashoda i izdataka'!$P$3:$P$498,"=51")+SUMIFS('Unos rashoda P4'!$H$3:$H$492,'Unos rashoda P4'!$A$3:$A$492,"=575",'Unos rashoda P4'!$S$3:$S$492,"=51")</f>
        <v>0</v>
      </c>
      <c r="Q12" s="72">
        <f>SUMIFS('Unos rashoda i izdataka'!$J$3:$J$498,'Unos rashoda i izdataka'!$Q$3:$Q$498,"=576",'Unos rashoda i izdataka'!$P$3:$P$498,"=51")+SUMIFS('Unos rashoda P4'!$H$3:$H$492,'Unos rashoda P4'!$A$3:$A$492,"=576",'Unos rashoda P4'!$S$3:$S$492,"=51")</f>
        <v>0</v>
      </c>
      <c r="R12" s="72">
        <f>SUMIFS('Unos rashoda i izdataka'!$J$3:$J$498,'Unos rashoda i izdataka'!$C$3:$C$498,"=581",'Unos rashoda i izdataka'!$P$3:$P$498,"=51")+SUMIFS('Unos rashoda P4'!$H$3:$H$492,'Unos rashoda P4'!$A$3:$A$492,"=581",'Unos rashoda P4'!$S$3:$S$492,"=51")</f>
        <v>0</v>
      </c>
      <c r="S12" s="72">
        <f>SUMIFS('Unos rashoda i izdataka'!$J$3:$J$498,'Unos rashoda i izdataka'!$C$3:$C$498,"=61",'Unos rashoda i izdataka'!$P$3:$P$498,"=51")+SUMIFS('Unos rashoda P4'!$H$3:$H$492,'Unos rashoda P4'!$A$3:$A$492,"=61",'Unos rashoda P4'!$S$3:$S$492,"=51")</f>
        <v>0</v>
      </c>
      <c r="T12" s="72">
        <f>SUMIFS('Unos rashoda i izdataka'!$J$3:$J$498,'Unos rashoda i izdataka'!$C$3:$C$498,"=63",'Unos rashoda i izdataka'!$P$3:$P$498,"=51")+SUMIFS('Unos rashoda P4'!$H$3:$H$492,'Unos rashoda P4'!$A$3:$A$492,"=63",'Unos rashoda P4'!$S$3:$S$492,"=51")</f>
        <v>0</v>
      </c>
      <c r="U12" s="72">
        <f>SUMIFS('Unos rashoda i izdataka'!$J$3:$J$498,'Unos rashoda i izdataka'!$C$3:$C$498,"=71",'Unos rashoda i izdataka'!$P$3:$P$498,"=51")+SUMIFS('Unos rashoda P4'!$H$3:$H$492,'Unos rashoda P4'!$A$3:$A$492,"=71",'Unos rashoda P4'!$S$3:$S$492,"=51")</f>
        <v>0</v>
      </c>
      <c r="V12" s="72">
        <f>SUMIFS('Unos rashoda i izdataka'!$J$3:$J$498,'Unos rashoda i izdataka'!$C$3:$C$498,"=81",'Unos rashoda i izdataka'!$P$3:$P$498,"=51")+SUMIFS('Unos rashoda P4'!$H$3:$H$492,'Unos rashoda P4'!$A$3:$A$492,"=81",'Unos rashoda P4'!$S$3:$S$492,"=51")</f>
        <v>0</v>
      </c>
    </row>
    <row r="13" spans="1:262" s="38" customFormat="1">
      <c r="A13" s="48">
        <v>54</v>
      </c>
      <c r="B13" s="49" t="s">
        <v>257</v>
      </c>
      <c r="C13" s="27">
        <f t="shared" si="2"/>
        <v>0</v>
      </c>
      <c r="D13" s="72">
        <f>SUMIFS('Unos rashoda i izdataka'!$J$3:$J$498,'Unos rashoda i izdataka'!$C$3:$C$498,"=11",'Unos rashoda i izdataka'!$P$3:$P$498,"=54")+SUMIFS('Unos rashoda P4'!$H$3:$H$492,'Unos rashoda P4'!$A$3:$A$492,"=11",'Unos rashoda P4'!$S$3:$S$492,"=54")</f>
        <v>0</v>
      </c>
      <c r="E13" s="72">
        <f>SUMIFS('Unos rashoda i izdataka'!$J$3:$J$498,'Unos rashoda i izdataka'!$C$3:$C$498,"=12",'Unos rashoda i izdataka'!$P$3:$P$498,"=54")+SUMIFS('Unos rashoda P4'!$H$3:$H$492,'Unos rashoda P4'!$A$3:$A$492,"=12",'Unos rashoda P4'!$S$3:$S$492,"=54")</f>
        <v>0</v>
      </c>
      <c r="F13" s="72">
        <f>SUMIFS('Unos rashoda i izdataka'!$J$3:$J$498,'Unos rashoda i izdataka'!$C$3:$C$498,"=31",'Unos rashoda i izdataka'!$P$3:$P$498,"=54")+SUMIFS('Unos rashoda P4'!$H$3:$H$492,'Unos rashoda P4'!$A$3:$A$492,"=31",'Unos rashoda P4'!$S$3:$S$492,"=54")</f>
        <v>0</v>
      </c>
      <c r="G13" s="72">
        <f>SUMIFS('Unos rashoda i izdataka'!$J$3:$J$498,'Unos rashoda i izdataka'!$C$3:$C$498,"=41",'Unos rashoda i izdataka'!$P$3:$P$498,"=54")+SUMIFS('Unos rashoda P4'!$H$3:$H$492,'Unos rashoda P4'!$A$3:$A$492,"=41",'Unos rashoda P4'!$S$3:$S$492,"=54")</f>
        <v>0</v>
      </c>
      <c r="H13" s="72">
        <f>SUMIFS('Unos rashoda i izdataka'!$J$3:$J$498,'Unos rashoda i izdataka'!$C$3:$C$498,"=43",'Unos rashoda i izdataka'!$P$3:$P$498,"=54")+SUMIFS('Unos rashoda P4'!$H$3:$H$492,'Unos rashoda P4'!$A$3:$A$492,"=43",'Unos rashoda P4'!$S$3:$S$492,"=54")</f>
        <v>0</v>
      </c>
      <c r="I13" s="72">
        <f>SUMIFS('Unos rashoda i izdataka'!$J$3:$J$498,'Unos rashoda i izdataka'!$C$3:$C$498,"=51",'Unos rashoda i izdataka'!$P$3:$P$498,"=54")+SUMIFS('Unos rashoda P4'!$H$3:$H$492,'Unos rashoda P4'!$A$3:$A$492,"=51",'Unos rashoda P4'!$S$3:$S$492,"=54")</f>
        <v>0</v>
      </c>
      <c r="J13" s="72">
        <f>SUMIFS('Unos rashoda i izdataka'!$J$3:$J$498,'Unos rashoda i izdataka'!$C$3:$C$498,"=52",'Unos rashoda i izdataka'!$P$3:$P$498,"=54")+SUMIFS('Unos rashoda P4'!$H$3:$H$492,'Unos rashoda P4'!$A$3:$A$492,"=52",'Unos rashoda P4'!$S$3:$S$492,"=54")</f>
        <v>0</v>
      </c>
      <c r="K13" s="72">
        <f>SUMIFS('Unos rashoda i izdataka'!$J$3:$J$498,'Unos rashoda i izdataka'!$C$3:$C$498,"=552",'Unos rashoda i izdataka'!$P$3:$P$498,"=54")+SUMIFS('Unos rashoda P4'!$H$3:$H$492,'Unos rashoda P4'!$A$3:$A$492,"=552",'Unos rashoda P4'!$S$3:$S$492,"=54")</f>
        <v>0</v>
      </c>
      <c r="L13" s="72">
        <f>SUMIFS('Unos rashoda i izdataka'!$J$3:$J$498,'Unos rashoda i izdataka'!$C$3:$C$498,"=559",'Unos rashoda i izdataka'!$P$3:$P$498,"=54")+SUMIFS('Unos rashoda P4'!$H$3:$H$492,'Unos rashoda P4'!$A$3:$A$492,"=559",'Unos rashoda P4'!$S$3:$S$492,"=54")</f>
        <v>0</v>
      </c>
      <c r="M13" s="72">
        <f>SUMIFS('Unos rashoda i izdataka'!$J$3:$J$498,'Unos rashoda i izdataka'!$C$3:$C$498,"=561",'Unos rashoda i izdataka'!$P$3:$P$498,"=54")+SUMIFS('Unos rashoda P4'!$H$3:$H$492,'Unos rashoda P4'!$A$3:$A$492,"=561",'Unos rashoda P4'!$S$3:$S$492,"=54")</f>
        <v>0</v>
      </c>
      <c r="N13" s="72">
        <f>SUMIFS('Unos rashoda i izdataka'!$J$3:$J$498,'Unos rashoda i izdataka'!$C$3:$C$498,"=563",'Unos rashoda i izdataka'!$P$3:$P$498,"=54")+SUMIFS('Unos rashoda P4'!$H$3:$H$492,'Unos rashoda P4'!$A$3:$A$492,"=563",'Unos rashoda P4'!$S$3:$S$492,"=54")</f>
        <v>0</v>
      </c>
      <c r="O13" s="72">
        <f>SUMIFS('Unos rashoda i izdataka'!$J$3:$J$498,'Unos rashoda i izdataka'!$C$3:$C$498,"=573",'Unos rashoda i izdataka'!$P$3:$P$498,"=54")+SUMIFS('Unos rashoda P4'!$H$3:$H$492,'Unos rashoda P4'!$A$3:$A$492,"=573",'Unos rashoda P4'!$S$3:$S$492,"=54")</f>
        <v>0</v>
      </c>
      <c r="P13" s="72">
        <f>SUMIFS('Unos rashoda i izdataka'!$J$3:$J$498,'Unos rashoda i izdataka'!$C$3:$C$498,"=575",'Unos rashoda i izdataka'!$P$3:$P$498,"=54")+SUMIFS('Unos rashoda P4'!$H$3:$H$492,'Unos rashoda P4'!$A$3:$A$492,"=575",'Unos rashoda P4'!$S$3:$S$492,"=54")</f>
        <v>0</v>
      </c>
      <c r="Q13" s="72">
        <f>SUMIFS('Unos rashoda i izdataka'!$J$3:$J$498,'Unos rashoda i izdataka'!$Q$3:$Q$498,"=576",'Unos rashoda i izdataka'!$P$3:$P$498,"=54")+SUMIFS('Unos rashoda P4'!$H$3:$H$492,'Unos rashoda P4'!$A$3:$A$492,"=576",'Unos rashoda P4'!$S$3:$S$492,"=54")</f>
        <v>0</v>
      </c>
      <c r="R13" s="72">
        <f>SUMIFS('Unos rashoda i izdataka'!$J$3:$J$498,'Unos rashoda i izdataka'!$C$3:$C$498,"=581",'Unos rashoda i izdataka'!$P$3:$P$498,"=54")+SUMIFS('Unos rashoda P4'!$H$3:$H$492,'Unos rashoda P4'!$A$3:$A$492,"=581",'Unos rashoda P4'!$S$3:$S$492,"=54")</f>
        <v>0</v>
      </c>
      <c r="S13" s="72">
        <f>SUMIFS('Unos rashoda i izdataka'!$J$3:$J$498,'Unos rashoda i izdataka'!$C$3:$C$498,"=61",'Unos rashoda i izdataka'!$P$3:$P$498,"=54")+SUMIFS('Unos rashoda P4'!$H$3:$H$492,'Unos rashoda P4'!$A$3:$A$492,"=61",'Unos rashoda P4'!$S$3:$S$492,"=54")</f>
        <v>0</v>
      </c>
      <c r="T13" s="72">
        <f>SUMIFS('Unos rashoda i izdataka'!$J$3:$J$498,'Unos rashoda i izdataka'!$C$3:$C$498,"=63",'Unos rashoda i izdataka'!$P$3:$P$498,"=54")+SUMIFS('Unos rashoda P4'!$H$3:$H$492,'Unos rashoda P4'!$A$3:$A$492,"=63",'Unos rashoda P4'!$S$3:$S$492,"=54")</f>
        <v>0</v>
      </c>
      <c r="U13" s="72">
        <f>SUMIFS('Unos rashoda i izdataka'!$J$3:$J$498,'Unos rashoda i izdataka'!$C$3:$C$498,"=71",'Unos rashoda i izdataka'!$P$3:$P$498,"=54")+SUMIFS('Unos rashoda P4'!$H$3:$H$492,'Unos rashoda P4'!$A$3:$A$492,"=71",'Unos rashoda P4'!$S$3:$S$492,"=54")</f>
        <v>0</v>
      </c>
      <c r="V13" s="72">
        <f>SUMIFS('Unos rashoda i izdataka'!$J$3:$J$498,'Unos rashoda i izdataka'!$C$3:$C$498,"=81",'Unos rashoda i izdataka'!$P$3:$P$498,"=54")+SUMIFS('Unos rashoda P4'!$H$3:$H$492,'Unos rashoda P4'!$A$3:$A$492,"=81",'Unos rashoda P4'!$S$3:$S$492,"=54")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95" t="s">
        <v>232</v>
      </c>
      <c r="B15" s="396"/>
      <c r="C15" s="397" t="s">
        <v>5259</v>
      </c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9"/>
      <c r="U15" s="133"/>
      <c r="V15" s="133"/>
    </row>
    <row r="16" spans="1:262" s="38" customFormat="1" ht="89.25">
      <c r="A16" s="40" t="s">
        <v>233</v>
      </c>
      <c r="B16" s="40" t="s">
        <v>234</v>
      </c>
      <c r="C16" s="176" t="s">
        <v>235</v>
      </c>
      <c r="D16" s="134" t="s">
        <v>255</v>
      </c>
      <c r="E16" s="134" t="s">
        <v>247</v>
      </c>
      <c r="F16" s="135" t="s">
        <v>16</v>
      </c>
      <c r="G16" s="135" t="s">
        <v>1224</v>
      </c>
      <c r="H16" s="135" t="s">
        <v>17</v>
      </c>
      <c r="I16" s="135" t="s">
        <v>236</v>
      </c>
      <c r="J16" s="135" t="s">
        <v>237</v>
      </c>
      <c r="K16" s="135" t="s">
        <v>1225</v>
      </c>
      <c r="L16" s="135" t="s">
        <v>238</v>
      </c>
      <c r="M16" s="135" t="s">
        <v>239</v>
      </c>
      <c r="N16" s="135" t="s">
        <v>240</v>
      </c>
      <c r="O16" s="135" t="s">
        <v>1226</v>
      </c>
      <c r="P16" s="135" t="s">
        <v>1227</v>
      </c>
      <c r="Q16" s="135" t="s">
        <v>1702</v>
      </c>
      <c r="R16" s="41" t="s">
        <v>3011</v>
      </c>
      <c r="S16" s="135" t="s">
        <v>241</v>
      </c>
      <c r="T16" s="41" t="s">
        <v>242</v>
      </c>
      <c r="U16" s="41" t="s">
        <v>246</v>
      </c>
      <c r="V16" s="41" t="s">
        <v>1201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09"/>
      <c r="E17" s="309"/>
      <c r="F17" s="309"/>
      <c r="G17" s="309"/>
      <c r="H17" s="65">
        <f t="shared" ref="H17" si="4">SUM(H18:H21)</f>
        <v>0</v>
      </c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5093</v>
      </c>
      <c r="C18" s="27">
        <f>+H18+V18</f>
        <v>0</v>
      </c>
      <c r="D18" s="309"/>
      <c r="E18" s="309"/>
      <c r="F18" s="309"/>
      <c r="G18" s="309"/>
      <c r="H18" s="115">
        <f>SUMIFS('Unos prihoda i primitaka'!$H$3:$H$501,'Unos prihoda i primitaka'!$C$3:$C$501,"=43",'Unos prihoda i primitaka'!$L$3:$L$501,"=81")</f>
        <v>0</v>
      </c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115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5094</v>
      </c>
      <c r="C19" s="27">
        <f t="shared" ref="C19:C21" si="6">+H19+V19</f>
        <v>0</v>
      </c>
      <c r="D19" s="309"/>
      <c r="E19" s="309"/>
      <c r="F19" s="309"/>
      <c r="G19" s="309"/>
      <c r="H19" s="115">
        <f>SUMIFS('Unos prihoda i primitaka'!$H$3:$H$501,'Unos prihoda i primitaka'!$C$3:$C$501,"=43",'Unos prihoda i primitaka'!$L$3:$L$501,"=82")</f>
        <v>0</v>
      </c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115">
        <f>SUMIFS('Unos prihoda i primitaka'!$H$3:$H$501,'Unos prihoda i primitaka'!$C$3:$C$501,"=81",'Unos prihoda i primitaka'!$L$3:$L$501,"=82")</f>
        <v>0</v>
      </c>
    </row>
    <row r="20" spans="1:262" s="38" customFormat="1">
      <c r="A20" s="161">
        <v>83</v>
      </c>
      <c r="B20" s="49" t="s">
        <v>5095</v>
      </c>
      <c r="C20" s="27">
        <f t="shared" si="6"/>
        <v>0</v>
      </c>
      <c r="D20" s="309"/>
      <c r="E20" s="309"/>
      <c r="F20" s="309"/>
      <c r="G20" s="309"/>
      <c r="H20" s="115">
        <f>SUMIFS('Unos prihoda i primitaka'!$H$3:$H$501,'Unos prihoda i primitaka'!$C$3:$C$501,"=43",'Unos prihoda i primitaka'!$L$3:$L$501,"=83")</f>
        <v>0</v>
      </c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115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5096</v>
      </c>
      <c r="C21" s="27">
        <f t="shared" si="6"/>
        <v>0</v>
      </c>
      <c r="D21" s="309"/>
      <c r="E21" s="309"/>
      <c r="F21" s="309"/>
      <c r="G21" s="309"/>
      <c r="H21" s="115">
        <f>SUMIFS('Unos prihoda i primitaka'!$H$3:$H$501,'Unos prihoda i primitaka'!$C$3:$C$501,"=43",'Unos prihoda i primitaka'!$L$3:$L$501,"=84")</f>
        <v>0</v>
      </c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115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256</v>
      </c>
      <c r="C23" s="27">
        <f t="shared" si="7"/>
        <v>0</v>
      </c>
      <c r="D23" s="72">
        <f>SUMIFS('Unos rashoda i izdataka'!$K$3:$K$498,'Unos rashoda i izdataka'!$C$3:$C$498,"=11",'Unos rashoda i izdataka'!$P$3:$P$498,"=51")+SUMIFS('Unos rashoda P4'!$I$3:$I$492,'Unos rashoda P4'!$A$3:$A$492,"=11",'Unos rashoda P4'!$S$3:$S$492,"=51")</f>
        <v>0</v>
      </c>
      <c r="E23" s="72">
        <f>SUMIFS('Unos rashoda i izdataka'!$K$3:$K$498,'Unos rashoda i izdataka'!$C$3:$C$498,"=12",'Unos rashoda i izdataka'!$P$3:$P$498,"=51")+SUMIFS('Unos rashoda P4'!$I$3:$I$492,'Unos rashoda P4'!$A$3:$A$492,"=12",'Unos rashoda P4'!$S$3:$S$492,"=51")</f>
        <v>0</v>
      </c>
      <c r="F23" s="72">
        <f>SUMIFS('Unos rashoda i izdataka'!$K$3:$K$498,'Unos rashoda i izdataka'!$C$3:$C$498,"=31",'Unos rashoda i izdataka'!$P$3:$P$498,"=51")+SUMIFS('Unos rashoda P4'!$I$3:$I$492,'Unos rashoda P4'!$A$3:$A$492,"=31",'Unos rashoda P4'!$S$3:$S$492,"=51")</f>
        <v>0</v>
      </c>
      <c r="G23" s="72">
        <f>SUMIFS('Unos rashoda i izdataka'!$K$3:$K$498,'Unos rashoda i izdataka'!$C$3:$C$498,"=41",'Unos rashoda i izdataka'!$P$3:$P$498,"=51")+SUMIFS('Unos rashoda P4'!$I$3:$I$492,'Unos rashoda P4'!$A$3:$A$492,"=41",'Unos rashoda P4'!$S$3:$S$492,"=51")</f>
        <v>0</v>
      </c>
      <c r="H23" s="72">
        <f>SUMIFS('Unos rashoda i izdataka'!$K$3:$K$498,'Unos rashoda i izdataka'!$C$3:$C$498,"=43",'Unos rashoda i izdataka'!$P$3:$P$498,"=51")+SUMIFS('Unos rashoda P4'!$I$3:$I$492,'Unos rashoda P4'!$A$3:$A$492,"=43",'Unos rashoda P4'!$S$3:$S$492,"=51")</f>
        <v>0</v>
      </c>
      <c r="I23" s="72">
        <f>SUMIFS('Unos rashoda i izdataka'!$K$3:$K$498,'Unos rashoda i izdataka'!$C$3:$C$498,"=51",'Unos rashoda i izdataka'!$P$3:$P$498,"=51")+SUMIFS('Unos rashoda P4'!$I$3:$I$492,'Unos rashoda P4'!$A$3:$A$492,"=51",'Unos rashoda P4'!$S$3:$S$492,"=51")</f>
        <v>0</v>
      </c>
      <c r="J23" s="72">
        <f>SUMIFS('Unos rashoda i izdataka'!$K$3:$K$498,'Unos rashoda i izdataka'!$C$3:$C$498,"=52",'Unos rashoda i izdataka'!$P$3:$P$498,"=51")+SUMIFS('Unos rashoda P4'!$I$3:$I$492,'Unos rashoda P4'!$A$3:$A$492,"=52",'Unos rashoda P4'!$S$3:$S$492,"=51")</f>
        <v>0</v>
      </c>
      <c r="K23" s="72">
        <f>SUMIFS('Unos rashoda i izdataka'!$K$3:$K$498,'Unos rashoda i izdataka'!$C$3:$C$498,"=552",'Unos rashoda i izdataka'!$P$3:$P$498,"=51")+SUMIFS('Unos rashoda P4'!$I$3:$I$492,'Unos rashoda P4'!$A$3:$A$492,"=552",'Unos rashoda P4'!$S$3:$S$492,"=51")</f>
        <v>0</v>
      </c>
      <c r="L23" s="72">
        <f>SUMIFS('Unos rashoda i izdataka'!$K$3:$K$498,'Unos rashoda i izdataka'!$C$3:$C$498,"=559",'Unos rashoda i izdataka'!$P$3:$P$498,"=51")+SUMIFS('Unos rashoda P4'!$I$3:$I$492,'Unos rashoda P4'!$A$3:$A$492,"=559",'Unos rashoda P4'!$S$3:$S$492,"=51")</f>
        <v>0</v>
      </c>
      <c r="M23" s="72">
        <f>SUMIFS('Unos rashoda i izdataka'!$K$3:$K$498,'Unos rashoda i izdataka'!$C$3:$C$498,"=561",'Unos rashoda i izdataka'!$P$3:$P$498,"=51")+SUMIFS('Unos rashoda P4'!$I$3:$I$492,'Unos rashoda P4'!$A$3:$A$492,"=561",'Unos rashoda P4'!$S$3:$S$492,"=51")</f>
        <v>0</v>
      </c>
      <c r="N23" s="72">
        <f>SUMIFS('Unos rashoda i izdataka'!$K$3:$K$498,'Unos rashoda i izdataka'!$C$3:$C$498,"=563",'Unos rashoda i izdataka'!$P$3:$P$498,"=51")+SUMIFS('Unos rashoda P4'!$I$3:$I$492,'Unos rashoda P4'!$A$3:$A$492,"=563",'Unos rashoda P4'!$S$3:$S$492,"=51")</f>
        <v>0</v>
      </c>
      <c r="O23" s="72">
        <f>SUMIFS('Unos rashoda i izdataka'!$K$3:$K$498,'Unos rashoda i izdataka'!$C$3:$C$498,"=573",'Unos rashoda i izdataka'!$P$3:$P$498,"=51")+SUMIFS('Unos rashoda P4'!$I$3:$I$492,'Unos rashoda P4'!$A$3:$A$492,"=573",'Unos rashoda P4'!$S$3:$S$492,"=51")</f>
        <v>0</v>
      </c>
      <c r="P23" s="72">
        <f>SUMIFS('Unos rashoda i izdataka'!$K$3:$K$498,'Unos rashoda i izdataka'!$C$3:$C$498,"=575",'Unos rashoda i izdataka'!$P$3:$P$498,"=51")+SUMIFS('Unos rashoda P4'!$I$3:$I$492,'Unos rashoda P4'!$A$3:$A$492,"=575",'Unos rashoda P4'!$S$3:$S$492,"=51")</f>
        <v>0</v>
      </c>
      <c r="Q23" s="72">
        <f>SUMIFS('Unos rashoda i izdataka'!$K$3:$K$498,'Unos rashoda i izdataka'!$Q$3:$Q$498,"=576",'Unos rashoda i izdataka'!$P$3:$P$498,"=51")+SUMIFS('Unos rashoda P4'!$I$3:$I$492,'Unos rashoda P4'!$A$3:$A$492,"=576",'Unos rashoda P4'!$S$3:$S$492,"=51")</f>
        <v>0</v>
      </c>
      <c r="R23" s="72">
        <f>SUMIFS('Unos rashoda i izdataka'!$K$3:$K$498,'Unos rashoda i izdataka'!$C$3:$C$498,"=581",'Unos rashoda i izdataka'!$P$3:$P$498,"=51")+SUMIFS('Unos rashoda P4'!$I$3:$I$492,'Unos rashoda P4'!$A$3:$A$492,"=581",'Unos rashoda P4'!$S$3:$S$492,"=51")</f>
        <v>0</v>
      </c>
      <c r="S23" s="72">
        <f>SUMIFS('Unos rashoda i izdataka'!$K$3:$K$498,'Unos rashoda i izdataka'!$C$3:$C$498,"=61",'Unos rashoda i izdataka'!$P$3:$P$498,"=51")+SUMIFS('Unos rashoda P4'!$I$3:$I$492,'Unos rashoda P4'!$A$3:$A$492,"=61",'Unos rashoda P4'!$S$3:$S$492,"=51")</f>
        <v>0</v>
      </c>
      <c r="T23" s="72">
        <f>SUMIFS('Unos rashoda i izdataka'!$K$3:$K$498,'Unos rashoda i izdataka'!$C$3:$C$498,"=63",'Unos rashoda i izdataka'!$P$3:$P$498,"=51")+SUMIFS('Unos rashoda P4'!$I$3:$I$492,'Unos rashoda P4'!$A$3:$A$492,"=63",'Unos rashoda P4'!$S$3:$S$492,"=51")</f>
        <v>0</v>
      </c>
      <c r="U23" s="72">
        <f>SUMIFS('Unos rashoda i izdataka'!$K$3:$K$498,'Unos rashoda i izdataka'!$C$3:$C$498,"=71",'Unos rashoda i izdataka'!$P$3:$P$498,"=51")+SUMIFS('Unos rashoda P4'!$I$3:$I$492,'Unos rashoda P4'!$A$3:$A$492,"=71",'Unos rashoda P4'!$S$3:$S$492,"=51")</f>
        <v>0</v>
      </c>
      <c r="V23" s="72">
        <f>SUMIFS('Unos rashoda i izdataka'!$K$3:$K$498,'Unos rashoda i izdataka'!$C$3:$C$498,"=81",'Unos rashoda i izdataka'!$P$3:$P$498,"=51")+SUMIFS('Unos rashoda P4'!$I$3:$I$492,'Unos rashoda P4'!$A$3:$A$492,"=81",'Unos rashoda P4'!$S$3:$S$492,"=51")</f>
        <v>0</v>
      </c>
    </row>
    <row r="24" spans="1:262" s="38" customFormat="1">
      <c r="A24" s="48">
        <v>54</v>
      </c>
      <c r="B24" s="49" t="s">
        <v>257</v>
      </c>
      <c r="C24" s="27">
        <f t="shared" si="7"/>
        <v>0</v>
      </c>
      <c r="D24" s="72">
        <f>SUMIFS('Unos rashoda i izdataka'!$K$3:$K$498,'Unos rashoda i izdataka'!$C$3:$C$498,"=11",'Unos rashoda i izdataka'!$P$3:$P$498,"=54")+SUMIFS('Unos rashoda P4'!$I$3:$I$492,'Unos rashoda P4'!$A$3:$A$492,"=11",'Unos rashoda P4'!$S$3:$S$492,"=54")</f>
        <v>0</v>
      </c>
      <c r="E24" s="72">
        <f>SUMIFS('Unos rashoda i izdataka'!$K$3:$K$498,'Unos rashoda i izdataka'!$C$3:$C$498,"=12",'Unos rashoda i izdataka'!$P$3:$P$498,"=54")+SUMIFS('Unos rashoda P4'!$I$3:$I$492,'Unos rashoda P4'!$A$3:$A$492,"=12",'Unos rashoda P4'!$S$3:$S$492,"=54")</f>
        <v>0</v>
      </c>
      <c r="F24" s="72">
        <f>SUMIFS('Unos rashoda i izdataka'!$K$3:$K$498,'Unos rashoda i izdataka'!$C$3:$C$498,"=31",'Unos rashoda i izdataka'!$P$3:$P$498,"=54")+SUMIFS('Unos rashoda P4'!$I$3:$I$492,'Unos rashoda P4'!$A$3:$A$492,"=31",'Unos rashoda P4'!$S$3:$S$492,"=54")</f>
        <v>0</v>
      </c>
      <c r="G24" s="72">
        <f>SUMIFS('Unos rashoda i izdataka'!$K$3:$K$498,'Unos rashoda i izdataka'!$C$3:$C$498,"=41",'Unos rashoda i izdataka'!$P$3:$P$498,"=54")+SUMIFS('Unos rashoda P4'!$I$3:$I$492,'Unos rashoda P4'!$A$3:$A$492,"=41",'Unos rashoda P4'!$S$3:$S$492,"=54")</f>
        <v>0</v>
      </c>
      <c r="H24" s="72">
        <f>SUMIFS('Unos rashoda i izdataka'!$K$3:$K$498,'Unos rashoda i izdataka'!$C$3:$C$498,"=43",'Unos rashoda i izdataka'!$P$3:$P$498,"=54")+SUMIFS('Unos rashoda P4'!$I$3:$I$492,'Unos rashoda P4'!$A$3:$A$492,"=43",'Unos rashoda P4'!$S$3:$S$492,"=54")</f>
        <v>0</v>
      </c>
      <c r="I24" s="72">
        <f>SUMIFS('Unos rashoda i izdataka'!$K$3:$K$498,'Unos rashoda i izdataka'!$C$3:$C$498,"=51",'Unos rashoda i izdataka'!$P$3:$P$498,"=54")+SUMIFS('Unos rashoda P4'!$I$3:$I$492,'Unos rashoda P4'!$A$3:$A$492,"=51",'Unos rashoda P4'!$S$3:$S$492,"=54")</f>
        <v>0</v>
      </c>
      <c r="J24" s="72">
        <f>SUMIFS('Unos rashoda i izdataka'!$K$3:$K$498,'Unos rashoda i izdataka'!$C$3:$C$498,"=52",'Unos rashoda i izdataka'!$P$3:$P$498,"=54")+SUMIFS('Unos rashoda P4'!$I$3:$I$492,'Unos rashoda P4'!$A$3:$A$492,"=52",'Unos rashoda P4'!$S$3:$S$492,"=54")</f>
        <v>0</v>
      </c>
      <c r="K24" s="72">
        <f>SUMIFS('Unos rashoda i izdataka'!$K$3:$K$498,'Unos rashoda i izdataka'!$C$3:$C$498,"=552",'Unos rashoda i izdataka'!$P$3:$P$498,"=54")+SUMIFS('Unos rashoda P4'!$I$3:$I$492,'Unos rashoda P4'!$A$3:$A$492,"=552",'Unos rashoda P4'!$S$3:$S$492,"=54")</f>
        <v>0</v>
      </c>
      <c r="L24" s="72">
        <f>SUMIFS('Unos rashoda i izdataka'!$K$3:$K$498,'Unos rashoda i izdataka'!$C$3:$C$498,"=559",'Unos rashoda i izdataka'!$P$3:$P$498,"=54")+SUMIFS('Unos rashoda P4'!$I$3:$I$492,'Unos rashoda P4'!$A$3:$A$492,"=559",'Unos rashoda P4'!$S$3:$S$492,"=54")</f>
        <v>0</v>
      </c>
      <c r="M24" s="72">
        <f>SUMIFS('Unos rashoda i izdataka'!$K$3:$K$498,'Unos rashoda i izdataka'!$C$3:$C$498,"=561",'Unos rashoda i izdataka'!$P$3:$P$498,"=54")+SUMIFS('Unos rashoda P4'!$I$3:$I$492,'Unos rashoda P4'!$A$3:$A$492,"=561",'Unos rashoda P4'!$S$3:$S$492,"=54")</f>
        <v>0</v>
      </c>
      <c r="N24" s="72">
        <f>SUMIFS('Unos rashoda i izdataka'!$K$3:$K$498,'Unos rashoda i izdataka'!$C$3:$C$498,"=563",'Unos rashoda i izdataka'!$P$3:$P$498,"=54")+SUMIFS('Unos rashoda P4'!$I$3:$I$492,'Unos rashoda P4'!$A$3:$A$492,"=563",'Unos rashoda P4'!$S$3:$S$492,"=54")</f>
        <v>0</v>
      </c>
      <c r="O24" s="72">
        <f>SUMIFS('Unos rashoda i izdataka'!$K$3:$K$498,'Unos rashoda i izdataka'!$C$3:$C$498,"=573",'Unos rashoda i izdataka'!$P$3:$P$498,"=54")+SUMIFS('Unos rashoda P4'!$I$3:$I$492,'Unos rashoda P4'!$A$3:$A$492,"=573",'Unos rashoda P4'!$S$3:$S$492,"=54")</f>
        <v>0</v>
      </c>
      <c r="P24" s="72">
        <f>SUMIFS('Unos rashoda i izdataka'!$K$3:$K$498,'Unos rashoda i izdataka'!$C$3:$C$498,"=575",'Unos rashoda i izdataka'!$P$3:$P$498,"=54")+SUMIFS('Unos rashoda P4'!$I$3:$I$492,'Unos rashoda P4'!$A$3:$A$492,"=575",'Unos rashoda P4'!$S$3:$S$492,"=54")</f>
        <v>0</v>
      </c>
      <c r="Q24" s="72">
        <f>SUMIFS('Unos rashoda i izdataka'!$K$3:$K$498,'Unos rashoda i izdataka'!$Q$3:$Q$498,"=576",'Unos rashoda i izdataka'!$P$3:$P$498,"=54")+SUMIFS('Unos rashoda P4'!$I$3:$I$492,'Unos rashoda P4'!$A$3:$A$492,"=576",'Unos rashoda P4'!$S$3:$S$492,"=54")</f>
        <v>0</v>
      </c>
      <c r="R24" s="72">
        <f>SUMIFS('Unos rashoda i izdataka'!$K$3:$K$498,'Unos rashoda i izdataka'!$C$3:$C$498,"=581",'Unos rashoda i izdataka'!$P$3:$P$498,"=54")+SUMIFS('Unos rashoda P4'!$I$3:$I$492,'Unos rashoda P4'!$A$3:$A$492,"=581",'Unos rashoda P4'!$S$3:$S$492,"=54")</f>
        <v>0</v>
      </c>
      <c r="S24" s="72">
        <f>SUMIFS('Unos rashoda i izdataka'!$K$3:$K$498,'Unos rashoda i izdataka'!$C$3:$C$498,"=61",'Unos rashoda i izdataka'!$P$3:$P$498,"=54")+SUMIFS('Unos rashoda P4'!$I$3:$I$492,'Unos rashoda P4'!$A$3:$A$492,"=61",'Unos rashoda P4'!$S$3:$S$492,"=54")</f>
        <v>0</v>
      </c>
      <c r="T24" s="72">
        <f>SUMIFS('Unos rashoda i izdataka'!$K$3:$K$498,'Unos rashoda i izdataka'!$C$3:$C$498,"=63",'Unos rashoda i izdataka'!$P$3:$P$498,"=54")+SUMIFS('Unos rashoda P4'!$I$3:$I$492,'Unos rashoda P4'!$A$3:$A$492,"=63",'Unos rashoda P4'!$S$3:$S$492,"=54")</f>
        <v>0</v>
      </c>
      <c r="U24" s="72">
        <f>SUMIFS('Unos rashoda i izdataka'!$K$3:$K$498,'Unos rashoda i izdataka'!$C$3:$C$498,"=71",'Unos rashoda i izdataka'!$P$3:$P$498,"=54")+SUMIFS('Unos rashoda P4'!$I$3:$I$492,'Unos rashoda P4'!$A$3:$A$492,"=71",'Unos rashoda P4'!$S$3:$S$492,"=54")</f>
        <v>0</v>
      </c>
      <c r="V24" s="72">
        <f>SUMIFS('Unos rashoda i izdataka'!$K$3:$K$498,'Unos rashoda i izdataka'!$C$3:$C$498,"=81",'Unos rashoda i izdataka'!$P$3:$P$498,"=54")+SUMIFS('Unos rashoda P4'!$I$3:$I$492,'Unos rashoda P4'!$A$3:$A$492,"=81",'Unos rashoda P4'!$S$3:$S$492,"=54")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95" t="s">
        <v>232</v>
      </c>
      <c r="B26" s="396"/>
      <c r="C26" s="397" t="s">
        <v>5261</v>
      </c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9"/>
      <c r="U26" s="133"/>
      <c r="V26" s="133"/>
    </row>
    <row r="27" spans="1:262" s="38" customFormat="1" ht="89.25">
      <c r="A27" s="40" t="s">
        <v>233</v>
      </c>
      <c r="B27" s="40" t="s">
        <v>234</v>
      </c>
      <c r="C27" s="176" t="s">
        <v>235</v>
      </c>
      <c r="D27" s="164" t="s">
        <v>255</v>
      </c>
      <c r="E27" s="164" t="s">
        <v>247</v>
      </c>
      <c r="F27" s="165" t="s">
        <v>16</v>
      </c>
      <c r="G27" s="165" t="s">
        <v>1224</v>
      </c>
      <c r="H27" s="165" t="s">
        <v>17</v>
      </c>
      <c r="I27" s="165" t="s">
        <v>236</v>
      </c>
      <c r="J27" s="165" t="s">
        <v>237</v>
      </c>
      <c r="K27" s="165" t="s">
        <v>1225</v>
      </c>
      <c r="L27" s="165" t="s">
        <v>238</v>
      </c>
      <c r="M27" s="165" t="s">
        <v>239</v>
      </c>
      <c r="N27" s="165" t="s">
        <v>240</v>
      </c>
      <c r="O27" s="165" t="s">
        <v>1226</v>
      </c>
      <c r="P27" s="165" t="s">
        <v>1227</v>
      </c>
      <c r="Q27" s="165" t="s">
        <v>1702</v>
      </c>
      <c r="R27" s="41" t="s">
        <v>3011</v>
      </c>
      <c r="S27" s="41" t="s">
        <v>241</v>
      </c>
      <c r="T27" s="41" t="s">
        <v>242</v>
      </c>
      <c r="U27" s="41" t="s">
        <v>246</v>
      </c>
      <c r="V27" s="41" t="s">
        <v>1201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150000</v>
      </c>
      <c r="D28" s="309"/>
      <c r="E28" s="309"/>
      <c r="F28" s="309"/>
      <c r="G28" s="309"/>
      <c r="H28" s="65">
        <f t="shared" ref="H28" si="9">SUM(H29:H32)</f>
        <v>150000</v>
      </c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5093</v>
      </c>
      <c r="C29" s="27">
        <f>+H29+V29</f>
        <v>150000</v>
      </c>
      <c r="D29" s="309"/>
      <c r="E29" s="309"/>
      <c r="F29" s="309"/>
      <c r="G29" s="309"/>
      <c r="H29" s="115">
        <f>SUMIFS('Unos prihoda i primitaka'!$I$3:$I$501,'Unos prihoda i primitaka'!$C$3:$C$501,"=43",'Unos prihoda i primitaka'!$L$3:$L$501,"=81")</f>
        <v>150000</v>
      </c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115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5094</v>
      </c>
      <c r="C30" s="27">
        <f t="shared" ref="C30:C32" si="11">+H30+V30</f>
        <v>0</v>
      </c>
      <c r="D30" s="309"/>
      <c r="E30" s="309"/>
      <c r="F30" s="309"/>
      <c r="G30" s="309"/>
      <c r="H30" s="115">
        <f>SUMIFS('Unos prihoda i primitaka'!$I$3:$I$501,'Unos prihoda i primitaka'!$C$3:$C$501,"=43",'Unos prihoda i primitaka'!$L$3:$L$501,"=82")</f>
        <v>0</v>
      </c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115">
        <f>SUMIFS('Unos prihoda i primitaka'!$I$3:$I$501,'Unos prihoda i primitaka'!$C$3:$C$501,"=81",'Unos prihoda i primitaka'!$L$3:$L$501,"=82")</f>
        <v>0</v>
      </c>
    </row>
    <row r="31" spans="1:262" s="38" customFormat="1">
      <c r="A31" s="161">
        <v>83</v>
      </c>
      <c r="B31" s="49" t="s">
        <v>5095</v>
      </c>
      <c r="C31" s="27">
        <f t="shared" si="11"/>
        <v>0</v>
      </c>
      <c r="D31" s="309"/>
      <c r="E31" s="309"/>
      <c r="F31" s="309"/>
      <c r="G31" s="309"/>
      <c r="H31" s="115">
        <f>SUMIFS('Unos prihoda i primitaka'!$I$3:$I$501,'Unos prihoda i primitaka'!$C$3:$C$501,"=43",'Unos prihoda i primitaka'!$L$3:$L$501,"=83")</f>
        <v>0</v>
      </c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115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5096</v>
      </c>
      <c r="C32" s="27">
        <f t="shared" si="11"/>
        <v>0</v>
      </c>
      <c r="D32" s="309"/>
      <c r="E32" s="309"/>
      <c r="F32" s="309"/>
      <c r="G32" s="309"/>
      <c r="H32" s="115">
        <f>SUMIFS('Unos prihoda i primitaka'!$I$3:$I$501,'Unos prihoda i primitaka'!$C$3:$C$501,"=43",'Unos prihoda i primitaka'!$L$3:$L$501,"=84")</f>
        <v>0</v>
      </c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115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256</v>
      </c>
      <c r="C34" s="27">
        <f t="shared" ref="C34:C35" si="13">SUM(D34:V34)</f>
        <v>0</v>
      </c>
      <c r="D34" s="72">
        <f>SUMIFS('Unos rashoda i izdataka'!$L$3:$L$498,'Unos rashoda i izdataka'!$C$3:$C$498,"=11",'Unos rashoda i izdataka'!$P$3:$P$498,"=51")+SUMIFS('Unos rashoda P4'!$J$3:$J$492,'Unos rashoda P4'!$A$3:$A$492,"=11",'Unos rashoda P4'!$S$3:$S$492,"=51")</f>
        <v>0</v>
      </c>
      <c r="E34" s="72">
        <f>SUMIFS('Unos rashoda i izdataka'!$L$3:$L$498,'Unos rashoda i izdataka'!$C$3:$C$498,"=12",'Unos rashoda i izdataka'!$P$3:$P$498,"=51")+SUMIFS('Unos rashoda P4'!$J$3:$J$492,'Unos rashoda P4'!$A$3:$A$492,"=12",'Unos rashoda P4'!$S$3:$S$492,"=51")</f>
        <v>0</v>
      </c>
      <c r="F34" s="72">
        <f>SUMIFS('Unos rashoda i izdataka'!$L$3:$L$498,'Unos rashoda i izdataka'!$C$3:$C$498,"=31",'Unos rashoda i izdataka'!$P$3:$P$498,"=51")+SUMIFS('Unos rashoda P4'!$J$3:$J$492,'Unos rashoda P4'!$A$3:$A$492,"=31",'Unos rashoda P4'!$S$3:$S$492,"=51")</f>
        <v>0</v>
      </c>
      <c r="G34" s="72">
        <f>SUMIFS('Unos rashoda i izdataka'!$L$3:$L$498,'Unos rashoda i izdataka'!$C$3:$C$498,"=41",'Unos rashoda i izdataka'!$P$3:$P$498,"=51")+SUMIFS('Unos rashoda P4'!$J$3:$J$492,'Unos rashoda P4'!$A$3:$A$492,"=41",'Unos rashoda P4'!$S$3:$S$492,"=51")</f>
        <v>0</v>
      </c>
      <c r="H34" s="72">
        <f>SUMIFS('Unos rashoda i izdataka'!$L$3:$L$498,'Unos rashoda i izdataka'!$C$3:$C$498,"=43",'Unos rashoda i izdataka'!$P$3:$P$498,"=51")+SUMIFS('Unos rashoda P4'!$J$3:$J$492,'Unos rashoda P4'!$A$3:$A$492,"=43",'Unos rashoda P4'!$S$3:$S$492,"=51")</f>
        <v>0</v>
      </c>
      <c r="I34" s="72">
        <f>SUMIFS('Unos rashoda i izdataka'!$L$3:$L$498,'Unos rashoda i izdataka'!$C$3:$C$498,"=51",'Unos rashoda i izdataka'!$P$3:$P$498,"=51")+SUMIFS('Unos rashoda P4'!$J$3:$J$492,'Unos rashoda P4'!$A$3:$A$492,"=51",'Unos rashoda P4'!$S$3:$S$492,"=51")</f>
        <v>0</v>
      </c>
      <c r="J34" s="72">
        <f>SUMIFS('Unos rashoda i izdataka'!$L$3:$L$498,'Unos rashoda i izdataka'!$C$3:$C$498,"=52",'Unos rashoda i izdataka'!$P$3:$P$498,"=51")+SUMIFS('Unos rashoda P4'!$J$3:$J$492,'Unos rashoda P4'!$A$3:$A$492,"=52",'Unos rashoda P4'!$S$3:$S$492,"=51")</f>
        <v>0</v>
      </c>
      <c r="K34" s="72">
        <f>SUMIFS('Unos rashoda i izdataka'!$L$3:$L$498,'Unos rashoda i izdataka'!$C$3:$C$498,"=552",'Unos rashoda i izdataka'!$P$3:$P$498,"=51")+SUMIFS('Unos rashoda P4'!$J$3:$J$492,'Unos rashoda P4'!$A$3:$A$492,"=552",'Unos rashoda P4'!$S$3:$S$492,"=51")</f>
        <v>0</v>
      </c>
      <c r="L34" s="72">
        <f>SUMIFS('Unos rashoda i izdataka'!$L$3:$L$498,'Unos rashoda i izdataka'!$C$3:$C$498,"=559",'Unos rashoda i izdataka'!$P$3:$P$498,"=51")+SUMIFS('Unos rashoda P4'!$J$3:$J$492,'Unos rashoda P4'!$A$3:$A$492,"=559",'Unos rashoda P4'!$S$3:$S$492,"=51")</f>
        <v>0</v>
      </c>
      <c r="M34" s="72">
        <f>SUMIFS('Unos rashoda i izdataka'!$L$3:$L$498,'Unos rashoda i izdataka'!$C$3:$C$498,"=561",'Unos rashoda i izdataka'!$P$3:$P$498,"=51")+SUMIFS('Unos rashoda P4'!$J$3:$J$492,'Unos rashoda P4'!$A$3:$A$492,"=561",'Unos rashoda P4'!$S$3:$S$492,"=51")</f>
        <v>0</v>
      </c>
      <c r="N34" s="72">
        <f>SUMIFS('Unos rashoda i izdataka'!$L$3:$L$498,'Unos rashoda i izdataka'!$C$3:$C$498,"=563",'Unos rashoda i izdataka'!$P$3:$P$498,"=51")+SUMIFS('Unos rashoda P4'!$J$3:$J$492,'Unos rashoda P4'!$A$3:$A$492,"=563",'Unos rashoda P4'!$S$3:$S$492,"=51")</f>
        <v>0</v>
      </c>
      <c r="O34" s="72">
        <f>SUMIFS('Unos rashoda i izdataka'!$L$3:$L$498,'Unos rashoda i izdataka'!$C$3:$C$498,"=573",'Unos rashoda i izdataka'!$P$3:$P$498,"=51")+SUMIFS('Unos rashoda P4'!$J$3:$J$492,'Unos rashoda P4'!$A$3:$A$492,"=573",'Unos rashoda P4'!$S$3:$S$492,"=51")</f>
        <v>0</v>
      </c>
      <c r="P34" s="72">
        <f>SUMIFS('Unos rashoda i izdataka'!$L$3:$L$498,'Unos rashoda i izdataka'!$C$3:$C$498,"=575",'Unos rashoda i izdataka'!$P$3:$P$498,"=51")+SUMIFS('Unos rashoda P4'!$J$3:$J$492,'Unos rashoda P4'!$A$3:$A$492,"=575",'Unos rashoda P4'!$S$3:$S$492,"=51")</f>
        <v>0</v>
      </c>
      <c r="Q34" s="72">
        <f>SUMIFS('Unos rashoda i izdataka'!$L$3:$L$498,'Unos rashoda i izdataka'!$Q$3:$Q$498,"=576",'Unos rashoda i izdataka'!$P$3:$P$498,"=51")+SUMIFS('Unos rashoda P4'!$J$3:$J$492,'Unos rashoda P4'!$A$3:$A$492,"=576",'Unos rashoda P4'!$S$3:$S$492,"=51")</f>
        <v>0</v>
      </c>
      <c r="R34" s="72">
        <f>SUMIFS('Unos rashoda i izdataka'!$L$3:$L$498,'Unos rashoda i izdataka'!$C$3:$C$498,"=581",'Unos rashoda i izdataka'!$P$3:$P$498,"=51")+SUMIFS('Unos rashoda P4'!$J$3:$J$492,'Unos rashoda P4'!$A$3:$A$492,"=581",'Unos rashoda P4'!$S$3:$S$492,"=51")</f>
        <v>0</v>
      </c>
      <c r="S34" s="72">
        <f>SUMIFS('Unos rashoda i izdataka'!$L$3:$L$498,'Unos rashoda i izdataka'!$C$3:$C$498,"=61",'Unos rashoda i izdataka'!$P$3:$P$498,"=51")+SUMIFS('Unos rashoda P4'!$J$3:$J$492,'Unos rashoda P4'!$A$3:$A$492,"=61",'Unos rashoda P4'!$S$3:$S$492,"=51")</f>
        <v>0</v>
      </c>
      <c r="T34" s="72">
        <f>SUMIFS('Unos rashoda i izdataka'!$L$3:$L$498,'Unos rashoda i izdataka'!$C$3:$C$498,"=63",'Unos rashoda i izdataka'!$P$3:$P$498,"=51")+SUMIFS('Unos rashoda P4'!$J$3:$J$492,'Unos rashoda P4'!$A$3:$A$492,"=63",'Unos rashoda P4'!$S$3:$S$492,"=51")</f>
        <v>0</v>
      </c>
      <c r="U34" s="72">
        <f>SUMIFS('Unos rashoda i izdataka'!$L$3:$L$498,'Unos rashoda i izdataka'!$C$3:$C$498,"=71",'Unos rashoda i izdataka'!$P$3:$P$498,"=51")+SUMIFS('Unos rashoda P4'!$J$3:$J$492,'Unos rashoda P4'!$A$3:$A$492,"=71",'Unos rashoda P4'!$S$3:$S$492,"=51")</f>
        <v>0</v>
      </c>
      <c r="V34" s="72">
        <f>SUMIFS('Unos rashoda i izdataka'!$L$3:$L$498,'Unos rashoda i izdataka'!$C$3:$C$498,"=81",'Unos rashoda i izdataka'!$P$3:$P$498,"=51")+SUMIFS('Unos rashoda P4'!$J$3:$J$492,'Unos rashoda P4'!$A$3:$A$492,"=81",'Unos rashoda P4'!$S$3:$S$492,"=51")</f>
        <v>0</v>
      </c>
    </row>
    <row r="35" spans="1:262" s="38" customFormat="1">
      <c r="A35" s="48">
        <v>54</v>
      </c>
      <c r="B35" s="49" t="s">
        <v>257</v>
      </c>
      <c r="C35" s="27">
        <f t="shared" si="13"/>
        <v>0</v>
      </c>
      <c r="D35" s="72">
        <f>SUMIFS('Unos rashoda i izdataka'!$L$3:$L$498,'Unos rashoda i izdataka'!$C$3:$C$498,"=11",'Unos rashoda i izdataka'!$P$3:$P$498,"=54")+SUMIFS('Unos rashoda P4'!$J$3:$J$492,'Unos rashoda P4'!$A$3:$A$492,"=11",'Unos rashoda P4'!$S$3:$S$492,"=54")</f>
        <v>0</v>
      </c>
      <c r="E35" s="72">
        <f>SUMIFS('Unos rashoda i izdataka'!$L$3:$L$498,'Unos rashoda i izdataka'!$C$3:$C$498,"=12",'Unos rashoda i izdataka'!$P$3:$P$498,"=54")+SUMIFS('Unos rashoda P4'!$J$3:$J$492,'Unos rashoda P4'!$A$3:$A$492,"=12",'Unos rashoda P4'!$S$3:$S$492,"=54")</f>
        <v>0</v>
      </c>
      <c r="F35" s="72">
        <f>SUMIFS('Unos rashoda i izdataka'!$L$3:$L$498,'Unos rashoda i izdataka'!$C$3:$C$498,"=31",'Unos rashoda i izdataka'!$P$3:$P$498,"=54")+SUMIFS('Unos rashoda P4'!$J$3:$J$492,'Unos rashoda P4'!$A$3:$A$492,"=31",'Unos rashoda P4'!$S$3:$S$492,"=54")</f>
        <v>0</v>
      </c>
      <c r="G35" s="72">
        <f>SUMIFS('Unos rashoda i izdataka'!$L$3:$L$498,'Unos rashoda i izdataka'!$C$3:$C$498,"=41",'Unos rashoda i izdataka'!$P$3:$P$498,"=54")+SUMIFS('Unos rashoda P4'!$J$3:$J$492,'Unos rashoda P4'!$A$3:$A$492,"=41",'Unos rashoda P4'!$S$3:$S$492,"=54")</f>
        <v>0</v>
      </c>
      <c r="H35" s="72">
        <f>SUMIFS('Unos rashoda i izdataka'!$L$3:$L$498,'Unos rashoda i izdataka'!$C$3:$C$498,"=43",'Unos rashoda i izdataka'!$P$3:$P$498,"=54")+SUMIFS('Unos rashoda P4'!$J$3:$J$492,'Unos rashoda P4'!$A$3:$A$492,"=43",'Unos rashoda P4'!$S$3:$S$492,"=54")</f>
        <v>0</v>
      </c>
      <c r="I35" s="72">
        <f>SUMIFS('Unos rashoda i izdataka'!$L$3:$L$498,'Unos rashoda i izdataka'!$C$3:$C$498,"=51",'Unos rashoda i izdataka'!$P$3:$P$498,"=54")+SUMIFS('Unos rashoda P4'!$J$3:$J$492,'Unos rashoda P4'!$A$3:$A$492,"=51",'Unos rashoda P4'!$S$3:$S$492,"=54")</f>
        <v>0</v>
      </c>
      <c r="J35" s="72">
        <f>SUMIFS('Unos rashoda i izdataka'!$L$3:$L$498,'Unos rashoda i izdataka'!$C$3:$C$498,"=52",'Unos rashoda i izdataka'!$P$3:$P$498,"=54")+SUMIFS('Unos rashoda P4'!$J$3:$J$492,'Unos rashoda P4'!$A$3:$A$492,"=52",'Unos rashoda P4'!$S$3:$S$492,"=54")</f>
        <v>0</v>
      </c>
      <c r="K35" s="72">
        <f>SUMIFS('Unos rashoda i izdataka'!$L$3:$L$498,'Unos rashoda i izdataka'!$C$3:$C$498,"=552",'Unos rashoda i izdataka'!$P$3:$P$498,"=54")+SUMIFS('Unos rashoda P4'!$J$3:$J$492,'Unos rashoda P4'!$A$3:$A$492,"=552",'Unos rashoda P4'!$S$3:$S$492,"=54")</f>
        <v>0</v>
      </c>
      <c r="L35" s="72">
        <f>SUMIFS('Unos rashoda i izdataka'!$L$3:$L$498,'Unos rashoda i izdataka'!$C$3:$C$498,"=559",'Unos rashoda i izdataka'!$P$3:$P$498,"=54")+SUMIFS('Unos rashoda P4'!$J$3:$J$492,'Unos rashoda P4'!$A$3:$A$492,"=559",'Unos rashoda P4'!$S$3:$S$492,"=54")</f>
        <v>0</v>
      </c>
      <c r="M35" s="72">
        <f>SUMIFS('Unos rashoda i izdataka'!$L$3:$L$498,'Unos rashoda i izdataka'!$C$3:$C$498,"=561",'Unos rashoda i izdataka'!$P$3:$P$498,"=54")+SUMIFS('Unos rashoda P4'!$J$3:$J$492,'Unos rashoda P4'!$A$3:$A$492,"=561",'Unos rashoda P4'!$S$3:$S$492,"=54")</f>
        <v>0</v>
      </c>
      <c r="N35" s="72">
        <f>SUMIFS('Unos rashoda i izdataka'!$L$3:$L$498,'Unos rashoda i izdataka'!$C$3:$C$498,"=563",'Unos rashoda i izdataka'!$P$3:$P$498,"=54")+SUMIFS('Unos rashoda P4'!$J$3:$J$492,'Unos rashoda P4'!$A$3:$A$492,"=563",'Unos rashoda P4'!$S$3:$S$492,"=54")</f>
        <v>0</v>
      </c>
      <c r="O35" s="72">
        <f>SUMIFS('Unos rashoda i izdataka'!$L$3:$L$498,'Unos rashoda i izdataka'!$C$3:$C$498,"=573",'Unos rashoda i izdataka'!$P$3:$P$498,"=54")+SUMIFS('Unos rashoda P4'!$J$3:$J$492,'Unos rashoda P4'!$A$3:$A$492,"=573",'Unos rashoda P4'!$S$3:$S$492,"=54")</f>
        <v>0</v>
      </c>
      <c r="P35" s="72">
        <f>SUMIFS('Unos rashoda i izdataka'!$L$3:$L$498,'Unos rashoda i izdataka'!$C$3:$C$498,"=575",'Unos rashoda i izdataka'!$P$3:$P$498,"=54")+SUMIFS('Unos rashoda P4'!$J$3:$J$492,'Unos rashoda P4'!$A$3:$A$492,"=575",'Unos rashoda P4'!$S$3:$S$492,"=54")</f>
        <v>0</v>
      </c>
      <c r="Q35" s="72">
        <f>SUMIFS('Unos rashoda i izdataka'!$L$3:$L$498,'Unos rashoda i izdataka'!$Q$3:$Q$498,"=576",'Unos rashoda i izdataka'!$P$3:$P$498,"=54")+SUMIFS('Unos rashoda P4'!$J$3:$J$492,'Unos rashoda P4'!$A$3:$A$492,"=576",'Unos rashoda P4'!$S$3:$S$492,"=54")</f>
        <v>0</v>
      </c>
      <c r="R35" s="72">
        <f>SUMIFS('Unos rashoda i izdataka'!$L$3:$L$498,'Unos rashoda i izdataka'!$C$3:$C$498,"=581",'Unos rashoda i izdataka'!$P$3:$P$498,"=54")+SUMIFS('Unos rashoda P4'!$J$3:$J$492,'Unos rashoda P4'!$A$3:$A$492,"=581",'Unos rashoda P4'!$S$3:$S$492,"=54")</f>
        <v>0</v>
      </c>
      <c r="S35" s="72">
        <f>SUMIFS('Unos rashoda i izdataka'!$L$3:$L$498,'Unos rashoda i izdataka'!$C$3:$C$498,"=61",'Unos rashoda i izdataka'!$P$3:$P$498,"=54")+SUMIFS('Unos rashoda P4'!$J$3:$J$492,'Unos rashoda P4'!$A$3:$A$492,"=61",'Unos rashoda P4'!$S$3:$S$492,"=54")</f>
        <v>0</v>
      </c>
      <c r="T35" s="72">
        <f>SUMIFS('Unos rashoda i izdataka'!$L$3:$L$498,'Unos rashoda i izdataka'!$C$3:$C$498,"=63",'Unos rashoda i izdataka'!$P$3:$P$498,"=54")+SUMIFS('Unos rashoda P4'!$J$3:$J$492,'Unos rashoda P4'!$A$3:$A$492,"=63",'Unos rashoda P4'!$S$3:$S$492,"=54")</f>
        <v>0</v>
      </c>
      <c r="U35" s="72">
        <f>SUMIFS('Unos rashoda i izdataka'!$L$3:$L$498,'Unos rashoda i izdataka'!$C$3:$C$498,"=71",'Unos rashoda i izdataka'!$P$3:$P$498,"=54")+SUMIFS('Unos rashoda P4'!$J$3:$J$492,'Unos rashoda P4'!$A$3:$A$492,"=71",'Unos rashoda P4'!$S$3:$S$492,"=54")</f>
        <v>0</v>
      </c>
      <c r="V35" s="72">
        <f>SUMIFS('Unos rashoda i izdataka'!$L$3:$L$498,'Unos rashoda i izdataka'!$C$3:$C$498,"=81",'Unos rashoda i izdataka'!$P$3:$P$498,"=54")+SUMIFS('Unos rashoda P4'!$J$3:$J$492,'Unos rashoda P4'!$A$3:$A$492,"=81",'Unos rashoda P4'!$S$3:$S$492,"=54")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workbookViewId="0">
      <selection activeCell="D11" sqref="D11"/>
    </sheetView>
  </sheetViews>
  <sheetFormatPr defaultRowHeight="15"/>
  <cols>
    <col min="1" max="1" width="14" style="129" customWidth="1"/>
    <col min="2" max="2" width="41.42578125" style="129" customWidth="1"/>
    <col min="4" max="4" width="62.7109375" customWidth="1"/>
    <col min="5" max="5" width="9.140625" style="310"/>
    <col min="6" max="6" width="43.140625" bestFit="1" customWidth="1"/>
    <col min="7" max="8" width="9.28515625" style="295" customWidth="1"/>
  </cols>
  <sheetData>
    <row r="1" spans="1:8" ht="25.5">
      <c r="A1" s="167" t="s">
        <v>928</v>
      </c>
      <c r="B1" s="166" t="s">
        <v>488</v>
      </c>
    </row>
    <row r="2" spans="1:8" s="129" customFormat="1">
      <c r="A2" s="128" t="s">
        <v>938</v>
      </c>
      <c r="B2" s="138" t="s">
        <v>939</v>
      </c>
      <c r="E2" s="311"/>
      <c r="G2" s="296"/>
      <c r="H2" s="296"/>
    </row>
    <row r="3" spans="1:8">
      <c r="A3" s="292" t="s">
        <v>5131</v>
      </c>
      <c r="B3" s="292" t="s">
        <v>5249</v>
      </c>
      <c r="C3" s="292" t="s">
        <v>5132</v>
      </c>
      <c r="D3" s="292" t="s">
        <v>5249</v>
      </c>
      <c r="E3" s="312" t="s">
        <v>5133</v>
      </c>
      <c r="F3" s="294" t="s">
        <v>5249</v>
      </c>
      <c r="G3" s="297" t="s">
        <v>5249</v>
      </c>
      <c r="H3" s="297" t="s">
        <v>5249</v>
      </c>
    </row>
    <row r="4" spans="1:8">
      <c r="A4" s="293" t="s">
        <v>936</v>
      </c>
      <c r="B4" s="293" t="s">
        <v>937</v>
      </c>
      <c r="C4" s="293" t="s">
        <v>1784</v>
      </c>
      <c r="D4" s="293" t="s">
        <v>1785</v>
      </c>
      <c r="E4" s="313" t="s">
        <v>5134</v>
      </c>
      <c r="F4" s="293" t="s">
        <v>5135</v>
      </c>
      <c r="G4" s="298" t="s">
        <v>5160</v>
      </c>
      <c r="H4" s="298" t="s">
        <v>5167</v>
      </c>
    </row>
    <row r="5" spans="1:8">
      <c r="A5" s="293" t="s">
        <v>936</v>
      </c>
      <c r="B5" s="293" t="s">
        <v>937</v>
      </c>
      <c r="C5" s="293" t="s">
        <v>1786</v>
      </c>
      <c r="D5" s="293" t="s">
        <v>1787</v>
      </c>
      <c r="E5" s="313" t="s">
        <v>5136</v>
      </c>
      <c r="F5" s="293" t="s">
        <v>5137</v>
      </c>
      <c r="G5" s="298" t="s">
        <v>5162</v>
      </c>
      <c r="H5" s="298" t="s">
        <v>5163</v>
      </c>
    </row>
    <row r="6" spans="1:8">
      <c r="A6" s="293" t="s">
        <v>936</v>
      </c>
      <c r="B6" s="293" t="s">
        <v>937</v>
      </c>
      <c r="C6" s="293" t="s">
        <v>1788</v>
      </c>
      <c r="D6" s="293" t="s">
        <v>1789</v>
      </c>
      <c r="E6" s="313" t="s">
        <v>5138</v>
      </c>
      <c r="F6" s="293" t="s">
        <v>5139</v>
      </c>
      <c r="G6" s="298" t="s">
        <v>5160</v>
      </c>
      <c r="H6" s="298" t="s">
        <v>5170</v>
      </c>
    </row>
    <row r="7" spans="1:8">
      <c r="A7" s="293" t="s">
        <v>936</v>
      </c>
      <c r="B7" s="293" t="s">
        <v>937</v>
      </c>
      <c r="C7" s="293" t="s">
        <v>1612</v>
      </c>
      <c r="D7" s="293" t="s">
        <v>1613</v>
      </c>
      <c r="E7" s="313" t="s">
        <v>5138</v>
      </c>
      <c r="F7" s="293" t="s">
        <v>5139</v>
      </c>
      <c r="G7" s="298" t="s">
        <v>5160</v>
      </c>
      <c r="H7" s="298" t="s">
        <v>5170</v>
      </c>
    </row>
    <row r="8" spans="1:8">
      <c r="A8" s="293" t="s">
        <v>936</v>
      </c>
      <c r="B8" s="293" t="s">
        <v>937</v>
      </c>
      <c r="C8" s="293" t="s">
        <v>1612</v>
      </c>
      <c r="D8" s="293" t="s">
        <v>1613</v>
      </c>
      <c r="E8" s="313" t="s">
        <v>5140</v>
      </c>
      <c r="F8" s="293" t="s">
        <v>5141</v>
      </c>
      <c r="G8" s="298" t="s">
        <v>5160</v>
      </c>
      <c r="H8" s="298" t="s">
        <v>5169</v>
      </c>
    </row>
    <row r="9" spans="1:8">
      <c r="A9" s="293" t="s">
        <v>936</v>
      </c>
      <c r="B9" s="293" t="s">
        <v>937</v>
      </c>
      <c r="C9" s="293" t="s">
        <v>1614</v>
      </c>
      <c r="D9" s="293" t="s">
        <v>1615</v>
      </c>
      <c r="E9" s="313" t="s">
        <v>5138</v>
      </c>
      <c r="F9" s="293" t="s">
        <v>5139</v>
      </c>
      <c r="G9" s="298" t="s">
        <v>5160</v>
      </c>
      <c r="H9" s="298" t="s">
        <v>5170</v>
      </c>
    </row>
    <row r="10" spans="1:8">
      <c r="A10" s="293" t="s">
        <v>936</v>
      </c>
      <c r="B10" s="293" t="s">
        <v>937</v>
      </c>
      <c r="C10" s="293" t="s">
        <v>1790</v>
      </c>
      <c r="D10" s="293" t="s">
        <v>1791</v>
      </c>
      <c r="E10" s="313" t="s">
        <v>5138</v>
      </c>
      <c r="F10" s="293" t="s">
        <v>5139</v>
      </c>
      <c r="G10" s="298" t="s">
        <v>5160</v>
      </c>
      <c r="H10" s="298" t="s">
        <v>5170</v>
      </c>
    </row>
    <row r="11" spans="1:8">
      <c r="A11" s="293" t="s">
        <v>936</v>
      </c>
      <c r="B11" s="293" t="s">
        <v>937</v>
      </c>
      <c r="C11" s="293" t="s">
        <v>1792</v>
      </c>
      <c r="D11" s="293" t="s">
        <v>1793</v>
      </c>
      <c r="E11" s="313" t="s">
        <v>5142</v>
      </c>
      <c r="F11" s="293" t="s">
        <v>5143</v>
      </c>
      <c r="G11" s="298" t="s">
        <v>5160</v>
      </c>
      <c r="H11" s="298" t="s">
        <v>5168</v>
      </c>
    </row>
    <row r="12" spans="1:8">
      <c r="A12" s="293" t="s">
        <v>936</v>
      </c>
      <c r="B12" s="293" t="s">
        <v>937</v>
      </c>
      <c r="C12" s="293" t="s">
        <v>1794</v>
      </c>
      <c r="D12" s="293" t="s">
        <v>1795</v>
      </c>
      <c r="E12" s="313" t="s">
        <v>5134</v>
      </c>
      <c r="F12" s="293" t="s">
        <v>5135</v>
      </c>
      <c r="G12" s="298" t="s">
        <v>5160</v>
      </c>
      <c r="H12" s="298" t="s">
        <v>5167</v>
      </c>
    </row>
    <row r="13" spans="1:8">
      <c r="A13" s="293" t="s">
        <v>936</v>
      </c>
      <c r="B13" s="293" t="s">
        <v>937</v>
      </c>
      <c r="C13" s="293" t="s">
        <v>940</v>
      </c>
      <c r="D13" s="293" t="s">
        <v>941</v>
      </c>
      <c r="E13" s="313" t="s">
        <v>5144</v>
      </c>
      <c r="F13" s="293" t="s">
        <v>5145</v>
      </c>
      <c r="G13" s="298" t="s">
        <v>5161</v>
      </c>
      <c r="H13" s="298" t="s">
        <v>5166</v>
      </c>
    </row>
    <row r="14" spans="1:8">
      <c r="A14" s="293" t="s">
        <v>936</v>
      </c>
      <c r="B14" s="293" t="s">
        <v>937</v>
      </c>
      <c r="C14" s="293" t="s">
        <v>1616</v>
      </c>
      <c r="D14" s="293" t="s">
        <v>1617</v>
      </c>
      <c r="E14" s="313" t="s">
        <v>5138</v>
      </c>
      <c r="F14" s="293" t="s">
        <v>5139</v>
      </c>
      <c r="G14" s="298" t="s">
        <v>5160</v>
      </c>
      <c r="H14" s="298" t="s">
        <v>5170</v>
      </c>
    </row>
    <row r="15" spans="1:8">
      <c r="A15" s="293" t="s">
        <v>936</v>
      </c>
      <c r="B15" s="293" t="s">
        <v>937</v>
      </c>
      <c r="C15" s="293" t="s">
        <v>942</v>
      </c>
      <c r="D15" s="293" t="s">
        <v>943</v>
      </c>
      <c r="E15" s="313" t="s">
        <v>5138</v>
      </c>
      <c r="F15" s="293" t="s">
        <v>5139</v>
      </c>
      <c r="G15" s="298" t="s">
        <v>5160</v>
      </c>
      <c r="H15" s="298" t="s">
        <v>5170</v>
      </c>
    </row>
    <row r="16" spans="1:8">
      <c r="A16" s="293" t="s">
        <v>936</v>
      </c>
      <c r="B16" s="293" t="s">
        <v>937</v>
      </c>
      <c r="C16" s="293" t="s">
        <v>1796</v>
      </c>
      <c r="D16" s="293" t="s">
        <v>1797</v>
      </c>
      <c r="E16" s="313" t="s">
        <v>5138</v>
      </c>
      <c r="F16" s="293" t="s">
        <v>5139</v>
      </c>
      <c r="G16" s="298" t="s">
        <v>5160</v>
      </c>
      <c r="H16" s="298" t="s">
        <v>5170</v>
      </c>
    </row>
    <row r="17" spans="1:8">
      <c r="A17" s="293" t="s">
        <v>936</v>
      </c>
      <c r="B17" s="293" t="s">
        <v>937</v>
      </c>
      <c r="C17" s="293" t="s">
        <v>1618</v>
      </c>
      <c r="D17" s="293" t="s">
        <v>1619</v>
      </c>
      <c r="E17" s="313" t="s">
        <v>5138</v>
      </c>
      <c r="F17" s="293" t="s">
        <v>5139</v>
      </c>
      <c r="G17" s="298" t="s">
        <v>5160</v>
      </c>
      <c r="H17" s="298" t="s">
        <v>5170</v>
      </c>
    </row>
    <row r="18" spans="1:8">
      <c r="A18" s="293" t="s">
        <v>936</v>
      </c>
      <c r="B18" s="293" t="s">
        <v>937</v>
      </c>
      <c r="C18" s="293" t="s">
        <v>1798</v>
      </c>
      <c r="D18" s="293" t="s">
        <v>1799</v>
      </c>
      <c r="E18" s="313" t="s">
        <v>5134</v>
      </c>
      <c r="F18" s="293" t="s">
        <v>5135</v>
      </c>
      <c r="G18" s="298" t="s">
        <v>5160</v>
      </c>
      <c r="H18" s="298" t="s">
        <v>5167</v>
      </c>
    </row>
    <row r="19" spans="1:8">
      <c r="A19" s="293" t="s">
        <v>936</v>
      </c>
      <c r="B19" s="293" t="s">
        <v>937</v>
      </c>
      <c r="C19" s="293" t="s">
        <v>1800</v>
      </c>
      <c r="D19" s="293" t="s">
        <v>1801</v>
      </c>
      <c r="E19" s="313" t="s">
        <v>5138</v>
      </c>
      <c r="F19" s="293" t="s">
        <v>5139</v>
      </c>
      <c r="G19" s="298" t="s">
        <v>5160</v>
      </c>
      <c r="H19" s="298" t="s">
        <v>5170</v>
      </c>
    </row>
    <row r="20" spans="1:8">
      <c r="A20" s="293" t="s">
        <v>936</v>
      </c>
      <c r="B20" s="293" t="s">
        <v>937</v>
      </c>
      <c r="C20" s="293" t="s">
        <v>1802</v>
      </c>
      <c r="D20" s="293" t="s">
        <v>1803</v>
      </c>
      <c r="E20" s="313" t="s">
        <v>5140</v>
      </c>
      <c r="F20" s="293" t="s">
        <v>5141</v>
      </c>
      <c r="G20" s="298" t="s">
        <v>5160</v>
      </c>
      <c r="H20" s="298" t="s">
        <v>5169</v>
      </c>
    </row>
    <row r="21" spans="1:8">
      <c r="A21" s="293" t="s">
        <v>936</v>
      </c>
      <c r="B21" s="293" t="s">
        <v>937</v>
      </c>
      <c r="C21" s="293" t="s">
        <v>1804</v>
      </c>
      <c r="D21" s="293" t="s">
        <v>1805</v>
      </c>
      <c r="E21" s="313" t="s">
        <v>5146</v>
      </c>
      <c r="F21" s="293" t="s">
        <v>5147</v>
      </c>
      <c r="G21" s="298" t="s">
        <v>5160</v>
      </c>
      <c r="H21" s="298" t="s">
        <v>5167</v>
      </c>
    </row>
    <row r="22" spans="1:8">
      <c r="A22" s="293" t="s">
        <v>936</v>
      </c>
      <c r="B22" s="293" t="s">
        <v>937</v>
      </c>
      <c r="C22" s="293" t="s">
        <v>1806</v>
      </c>
      <c r="D22" s="293" t="s">
        <v>1807</v>
      </c>
      <c r="E22" s="313" t="s">
        <v>5146</v>
      </c>
      <c r="F22" s="293" t="s">
        <v>5147</v>
      </c>
      <c r="G22" s="298" t="s">
        <v>5160</v>
      </c>
      <c r="H22" s="298" t="s">
        <v>5167</v>
      </c>
    </row>
    <row r="23" spans="1:8">
      <c r="A23" s="293" t="s">
        <v>936</v>
      </c>
      <c r="B23" s="293" t="s">
        <v>937</v>
      </c>
      <c r="C23" s="293" t="s">
        <v>1808</v>
      </c>
      <c r="D23" s="293" t="s">
        <v>1809</v>
      </c>
      <c r="E23" s="313" t="s">
        <v>5146</v>
      </c>
      <c r="F23" s="293" t="s">
        <v>5147</v>
      </c>
      <c r="G23" s="298" t="s">
        <v>5160</v>
      </c>
      <c r="H23" s="298" t="s">
        <v>5167</v>
      </c>
    </row>
    <row r="24" spans="1:8">
      <c r="A24" s="293" t="s">
        <v>936</v>
      </c>
      <c r="B24" s="293" t="s">
        <v>937</v>
      </c>
      <c r="C24" s="293" t="s">
        <v>1810</v>
      </c>
      <c r="D24" s="293" t="s">
        <v>1811</v>
      </c>
      <c r="E24" s="313" t="s">
        <v>5146</v>
      </c>
      <c r="F24" s="293" t="s">
        <v>5147</v>
      </c>
      <c r="G24" s="298" t="s">
        <v>5160</v>
      </c>
      <c r="H24" s="298" t="s">
        <v>5167</v>
      </c>
    </row>
    <row r="25" spans="1:8">
      <c r="A25" s="293" t="s">
        <v>936</v>
      </c>
      <c r="B25" s="293" t="s">
        <v>937</v>
      </c>
      <c r="C25" s="293" t="s">
        <v>944</v>
      </c>
      <c r="D25" s="293" t="s">
        <v>945</v>
      </c>
      <c r="E25" s="313" t="s">
        <v>5138</v>
      </c>
      <c r="F25" s="293" t="s">
        <v>5139</v>
      </c>
      <c r="G25" s="298" t="s">
        <v>5160</v>
      </c>
      <c r="H25" s="298" t="s">
        <v>5170</v>
      </c>
    </row>
    <row r="26" spans="1:8">
      <c r="A26" s="293" t="s">
        <v>936</v>
      </c>
      <c r="B26" s="293" t="s">
        <v>937</v>
      </c>
      <c r="C26" s="293" t="s">
        <v>1812</v>
      </c>
      <c r="D26" s="293" t="s">
        <v>1813</v>
      </c>
      <c r="E26" s="313" t="s">
        <v>5140</v>
      </c>
      <c r="F26" s="293" t="s">
        <v>5141</v>
      </c>
      <c r="G26" s="298" t="s">
        <v>5160</v>
      </c>
      <c r="H26" s="298" t="s">
        <v>5169</v>
      </c>
    </row>
    <row r="27" spans="1:8">
      <c r="A27" s="293" t="s">
        <v>936</v>
      </c>
      <c r="B27" s="293" t="s">
        <v>937</v>
      </c>
      <c r="C27" s="293" t="s">
        <v>1814</v>
      </c>
      <c r="D27" s="293" t="s">
        <v>1815</v>
      </c>
      <c r="E27" s="313" t="s">
        <v>5138</v>
      </c>
      <c r="F27" s="293" t="s">
        <v>5139</v>
      </c>
      <c r="G27" s="298" t="s">
        <v>5160</v>
      </c>
      <c r="H27" s="298" t="s">
        <v>5170</v>
      </c>
    </row>
    <row r="28" spans="1:8">
      <c r="A28" s="293" t="s">
        <v>936</v>
      </c>
      <c r="B28" s="293" t="s">
        <v>937</v>
      </c>
      <c r="C28" s="293" t="s">
        <v>1816</v>
      </c>
      <c r="D28" s="293" t="s">
        <v>1817</v>
      </c>
      <c r="E28" s="313" t="s">
        <v>5136</v>
      </c>
      <c r="F28" s="293" t="s">
        <v>5137</v>
      </c>
      <c r="G28" s="298" t="s">
        <v>5162</v>
      </c>
      <c r="H28" s="298" t="s">
        <v>5163</v>
      </c>
    </row>
    <row r="29" spans="1:8">
      <c r="A29" s="293" t="s">
        <v>936</v>
      </c>
      <c r="B29" s="293" t="s">
        <v>937</v>
      </c>
      <c r="C29" s="293" t="s">
        <v>1818</v>
      </c>
      <c r="D29" s="293" t="s">
        <v>1819</v>
      </c>
      <c r="E29" s="313" t="s">
        <v>5136</v>
      </c>
      <c r="F29" s="293" t="s">
        <v>5137</v>
      </c>
      <c r="G29" s="298" t="s">
        <v>5162</v>
      </c>
      <c r="H29" s="298" t="s">
        <v>5163</v>
      </c>
    </row>
    <row r="30" spans="1:8">
      <c r="A30" s="293" t="s">
        <v>936</v>
      </c>
      <c r="B30" s="293" t="s">
        <v>937</v>
      </c>
      <c r="C30" s="293" t="s">
        <v>1820</v>
      </c>
      <c r="D30" s="293" t="s">
        <v>1821</v>
      </c>
      <c r="E30" s="313" t="s">
        <v>5138</v>
      </c>
      <c r="F30" s="293" t="s">
        <v>5139</v>
      </c>
      <c r="G30" s="298" t="s">
        <v>5160</v>
      </c>
      <c r="H30" s="298" t="s">
        <v>5170</v>
      </c>
    </row>
    <row r="31" spans="1:8">
      <c r="A31" s="293" t="s">
        <v>936</v>
      </c>
      <c r="B31" s="293" t="s">
        <v>937</v>
      </c>
      <c r="C31" s="293" t="s">
        <v>1822</v>
      </c>
      <c r="D31" s="293" t="s">
        <v>1823</v>
      </c>
      <c r="E31" s="313" t="s">
        <v>5136</v>
      </c>
      <c r="F31" s="293" t="s">
        <v>5137</v>
      </c>
      <c r="G31" s="298" t="s">
        <v>5162</v>
      </c>
      <c r="H31" s="298" t="s">
        <v>5163</v>
      </c>
    </row>
    <row r="32" spans="1:8">
      <c r="A32" s="293" t="s">
        <v>936</v>
      </c>
      <c r="B32" s="293" t="s">
        <v>937</v>
      </c>
      <c r="C32" s="293" t="s">
        <v>1620</v>
      </c>
      <c r="D32" s="293" t="s">
        <v>1621</v>
      </c>
      <c r="E32" s="313" t="s">
        <v>5138</v>
      </c>
      <c r="F32" s="293" t="s">
        <v>5139</v>
      </c>
      <c r="G32" s="298" t="s">
        <v>5160</v>
      </c>
      <c r="H32" s="298" t="s">
        <v>5170</v>
      </c>
    </row>
    <row r="33" spans="1:8">
      <c r="A33" s="293" t="s">
        <v>936</v>
      </c>
      <c r="B33" s="293" t="s">
        <v>937</v>
      </c>
      <c r="C33" s="293" t="s">
        <v>1622</v>
      </c>
      <c r="D33" s="293" t="s">
        <v>1623</v>
      </c>
      <c r="E33" s="313" t="s">
        <v>5138</v>
      </c>
      <c r="F33" s="293" t="s">
        <v>5139</v>
      </c>
      <c r="G33" s="298" t="s">
        <v>5160</v>
      </c>
      <c r="H33" s="298" t="s">
        <v>5170</v>
      </c>
    </row>
    <row r="34" spans="1:8">
      <c r="A34" s="293" t="s">
        <v>936</v>
      </c>
      <c r="B34" s="293" t="s">
        <v>937</v>
      </c>
      <c r="C34" s="293" t="s">
        <v>1824</v>
      </c>
      <c r="D34" s="293" t="s">
        <v>1825</v>
      </c>
      <c r="E34" s="313" t="s">
        <v>5138</v>
      </c>
      <c r="F34" s="293" t="s">
        <v>5139</v>
      </c>
      <c r="G34" s="298" t="s">
        <v>5160</v>
      </c>
      <c r="H34" s="298" t="s">
        <v>5170</v>
      </c>
    </row>
    <row r="35" spans="1:8">
      <c r="A35" s="293" t="s">
        <v>936</v>
      </c>
      <c r="B35" s="293" t="s">
        <v>937</v>
      </c>
      <c r="C35" s="293" t="s">
        <v>1826</v>
      </c>
      <c r="D35" s="293" t="s">
        <v>1827</v>
      </c>
      <c r="E35" s="313" t="s">
        <v>5148</v>
      </c>
      <c r="F35" s="293" t="s">
        <v>5149</v>
      </c>
      <c r="G35" s="298" t="s">
        <v>5162</v>
      </c>
      <c r="H35" s="298" t="s">
        <v>5175</v>
      </c>
    </row>
    <row r="36" spans="1:8">
      <c r="A36" s="293" t="s">
        <v>936</v>
      </c>
      <c r="B36" s="293" t="s">
        <v>937</v>
      </c>
      <c r="C36" s="293" t="s">
        <v>1826</v>
      </c>
      <c r="D36" s="293" t="s">
        <v>1827</v>
      </c>
      <c r="E36" s="313" t="s">
        <v>5134</v>
      </c>
      <c r="F36" s="293" t="s">
        <v>5135</v>
      </c>
      <c r="G36" s="298" t="s">
        <v>5160</v>
      </c>
      <c r="H36" s="298" t="s">
        <v>5167</v>
      </c>
    </row>
    <row r="37" spans="1:8">
      <c r="A37" s="293" t="s">
        <v>936</v>
      </c>
      <c r="B37" s="293" t="s">
        <v>937</v>
      </c>
      <c r="C37" s="293" t="s">
        <v>1828</v>
      </c>
      <c r="D37" s="293" t="s">
        <v>1829</v>
      </c>
      <c r="E37" s="313" t="s">
        <v>5134</v>
      </c>
      <c r="F37" s="293" t="s">
        <v>5135</v>
      </c>
      <c r="G37" s="298" t="s">
        <v>5160</v>
      </c>
      <c r="H37" s="298" t="s">
        <v>5167</v>
      </c>
    </row>
    <row r="38" spans="1:8">
      <c r="A38" s="293" t="s">
        <v>936</v>
      </c>
      <c r="B38" s="293" t="s">
        <v>937</v>
      </c>
      <c r="C38" s="293" t="s">
        <v>1830</v>
      </c>
      <c r="D38" s="293" t="s">
        <v>1831</v>
      </c>
      <c r="E38" s="313" t="s">
        <v>5138</v>
      </c>
      <c r="F38" s="293" t="s">
        <v>5139</v>
      </c>
      <c r="G38" s="298" t="s">
        <v>5160</v>
      </c>
      <c r="H38" s="298" t="s">
        <v>5170</v>
      </c>
    </row>
    <row r="39" spans="1:8">
      <c r="A39" s="293" t="s">
        <v>936</v>
      </c>
      <c r="B39" s="293" t="s">
        <v>937</v>
      </c>
      <c r="C39" s="293" t="s">
        <v>1832</v>
      </c>
      <c r="D39" s="293" t="s">
        <v>929</v>
      </c>
      <c r="E39" s="313" t="s">
        <v>5148</v>
      </c>
      <c r="F39" s="293" t="s">
        <v>5149</v>
      </c>
      <c r="G39" s="298" t="s">
        <v>5162</v>
      </c>
      <c r="H39" s="298" t="s">
        <v>5175</v>
      </c>
    </row>
    <row r="40" spans="1:8">
      <c r="A40" s="293" t="s">
        <v>936</v>
      </c>
      <c r="B40" s="293" t="s">
        <v>937</v>
      </c>
      <c r="C40" s="293" t="s">
        <v>1832</v>
      </c>
      <c r="D40" s="293" t="s">
        <v>929</v>
      </c>
      <c r="E40" s="313" t="s">
        <v>5134</v>
      </c>
      <c r="F40" s="293" t="s">
        <v>5135</v>
      </c>
      <c r="G40" s="298" t="s">
        <v>5160</v>
      </c>
      <c r="H40" s="298" t="s">
        <v>5167</v>
      </c>
    </row>
    <row r="41" spans="1:8">
      <c r="A41" s="293" t="s">
        <v>936</v>
      </c>
      <c r="B41" s="293" t="s">
        <v>937</v>
      </c>
      <c r="C41" s="293" t="s">
        <v>1624</v>
      </c>
      <c r="D41" s="293" t="s">
        <v>1625</v>
      </c>
      <c r="E41" s="313" t="s">
        <v>5134</v>
      </c>
      <c r="F41" s="293" t="s">
        <v>5135</v>
      </c>
      <c r="G41" s="298" t="s">
        <v>5160</v>
      </c>
      <c r="H41" s="298" t="s">
        <v>5167</v>
      </c>
    </row>
    <row r="42" spans="1:8">
      <c r="A42" s="293" t="s">
        <v>936</v>
      </c>
      <c r="B42" s="293" t="s">
        <v>937</v>
      </c>
      <c r="C42" s="293" t="s">
        <v>1833</v>
      </c>
      <c r="D42" s="293" t="s">
        <v>1834</v>
      </c>
      <c r="E42" s="313" t="s">
        <v>5148</v>
      </c>
      <c r="F42" s="293" t="s">
        <v>5149</v>
      </c>
      <c r="G42" s="298" t="s">
        <v>5162</v>
      </c>
      <c r="H42" s="298" t="s">
        <v>5175</v>
      </c>
    </row>
    <row r="43" spans="1:8">
      <c r="A43" s="293" t="s">
        <v>936</v>
      </c>
      <c r="B43" s="293" t="s">
        <v>937</v>
      </c>
      <c r="C43" s="293" t="s">
        <v>1833</v>
      </c>
      <c r="D43" s="293" t="s">
        <v>1834</v>
      </c>
      <c r="E43" s="313" t="s">
        <v>5150</v>
      </c>
      <c r="F43" s="293" t="s">
        <v>5151</v>
      </c>
      <c r="G43" s="298" t="s">
        <v>5160</v>
      </c>
      <c r="H43" s="298" t="s">
        <v>5171</v>
      </c>
    </row>
    <row r="44" spans="1:8">
      <c r="A44" s="293" t="s">
        <v>936</v>
      </c>
      <c r="B44" s="293" t="s">
        <v>937</v>
      </c>
      <c r="C44" s="293" t="s">
        <v>1835</v>
      </c>
      <c r="D44" s="293" t="s">
        <v>1836</v>
      </c>
      <c r="E44" s="313" t="s">
        <v>5150</v>
      </c>
      <c r="F44" s="293" t="s">
        <v>5151</v>
      </c>
      <c r="G44" s="298" t="s">
        <v>5160</v>
      </c>
      <c r="H44" s="298" t="s">
        <v>5171</v>
      </c>
    </row>
    <row r="45" spans="1:8">
      <c r="A45" s="293" t="s">
        <v>936</v>
      </c>
      <c r="B45" s="293" t="s">
        <v>937</v>
      </c>
      <c r="C45" s="293" t="s">
        <v>1837</v>
      </c>
      <c r="D45" s="293" t="s">
        <v>1838</v>
      </c>
      <c r="E45" s="313" t="s">
        <v>5150</v>
      </c>
      <c r="F45" s="293" t="s">
        <v>5151</v>
      </c>
      <c r="G45" s="298" t="s">
        <v>5160</v>
      </c>
      <c r="H45" s="298" t="s">
        <v>5171</v>
      </c>
    </row>
    <row r="46" spans="1:8">
      <c r="A46" s="293" t="s">
        <v>936</v>
      </c>
      <c r="B46" s="293" t="s">
        <v>937</v>
      </c>
      <c r="C46" s="293" t="s">
        <v>1839</v>
      </c>
      <c r="D46" s="293" t="s">
        <v>929</v>
      </c>
      <c r="E46" s="313" t="s">
        <v>5148</v>
      </c>
      <c r="F46" s="293" t="s">
        <v>5149</v>
      </c>
      <c r="G46" s="298" t="s">
        <v>5162</v>
      </c>
      <c r="H46" s="298" t="s">
        <v>5175</v>
      </c>
    </row>
    <row r="47" spans="1:8">
      <c r="A47" s="293" t="s">
        <v>936</v>
      </c>
      <c r="B47" s="293" t="s">
        <v>937</v>
      </c>
      <c r="C47" s="293" t="s">
        <v>1626</v>
      </c>
      <c r="D47" s="293" t="s">
        <v>1112</v>
      </c>
      <c r="E47" s="313" t="s">
        <v>5150</v>
      </c>
      <c r="F47" s="293" t="s">
        <v>5151</v>
      </c>
      <c r="G47" s="298" t="s">
        <v>5160</v>
      </c>
      <c r="H47" s="298" t="s">
        <v>5171</v>
      </c>
    </row>
    <row r="48" spans="1:8">
      <c r="A48" s="293" t="s">
        <v>936</v>
      </c>
      <c r="B48" s="293" t="s">
        <v>937</v>
      </c>
      <c r="C48" s="293" t="s">
        <v>1840</v>
      </c>
      <c r="D48" s="293" t="s">
        <v>1841</v>
      </c>
      <c r="E48" s="313" t="s">
        <v>5150</v>
      </c>
      <c r="F48" s="293" t="s">
        <v>5151</v>
      </c>
      <c r="G48" s="298" t="s">
        <v>5160</v>
      </c>
      <c r="H48" s="298" t="s">
        <v>5171</v>
      </c>
    </row>
    <row r="49" spans="1:8">
      <c r="A49" s="293" t="s">
        <v>936</v>
      </c>
      <c r="B49" s="293" t="s">
        <v>937</v>
      </c>
      <c r="C49" s="293" t="s">
        <v>1627</v>
      </c>
      <c r="D49" s="293" t="s">
        <v>1628</v>
      </c>
      <c r="E49" s="313" t="s">
        <v>5150</v>
      </c>
      <c r="F49" s="293" t="s">
        <v>5151</v>
      </c>
      <c r="G49" s="298" t="s">
        <v>5160</v>
      </c>
      <c r="H49" s="298" t="s">
        <v>5171</v>
      </c>
    </row>
    <row r="50" spans="1:8">
      <c r="A50" s="293" t="s">
        <v>936</v>
      </c>
      <c r="B50" s="293" t="s">
        <v>937</v>
      </c>
      <c r="C50" s="293" t="s">
        <v>1842</v>
      </c>
      <c r="D50" s="293" t="s">
        <v>1843</v>
      </c>
      <c r="E50" s="313" t="s">
        <v>5152</v>
      </c>
      <c r="F50" s="293" t="s">
        <v>5153</v>
      </c>
      <c r="G50" s="298" t="s">
        <v>5160</v>
      </c>
      <c r="H50" s="298" t="s">
        <v>5173</v>
      </c>
    </row>
    <row r="51" spans="1:8">
      <c r="A51" s="293" t="s">
        <v>936</v>
      </c>
      <c r="B51" s="293" t="s">
        <v>937</v>
      </c>
      <c r="C51" s="293" t="s">
        <v>1844</v>
      </c>
      <c r="D51" s="293" t="s">
        <v>1845</v>
      </c>
      <c r="E51" s="313" t="s">
        <v>5152</v>
      </c>
      <c r="F51" s="293" t="s">
        <v>5153</v>
      </c>
      <c r="G51" s="298" t="s">
        <v>5160</v>
      </c>
      <c r="H51" s="298" t="s">
        <v>5173</v>
      </c>
    </row>
    <row r="52" spans="1:8">
      <c r="A52" s="293" t="s">
        <v>936</v>
      </c>
      <c r="B52" s="293" t="s">
        <v>937</v>
      </c>
      <c r="C52" s="293" t="s">
        <v>1846</v>
      </c>
      <c r="D52" s="293" t="s">
        <v>1847</v>
      </c>
      <c r="E52" s="313" t="s">
        <v>5152</v>
      </c>
      <c r="F52" s="293" t="s">
        <v>5153</v>
      </c>
      <c r="G52" s="298" t="s">
        <v>5160</v>
      </c>
      <c r="H52" s="298" t="s">
        <v>5173</v>
      </c>
    </row>
    <row r="53" spans="1:8">
      <c r="A53" s="293" t="s">
        <v>936</v>
      </c>
      <c r="B53" s="293" t="s">
        <v>937</v>
      </c>
      <c r="C53" s="293" t="s">
        <v>1848</v>
      </c>
      <c r="D53" s="293" t="s">
        <v>1849</v>
      </c>
      <c r="E53" s="313" t="s">
        <v>5152</v>
      </c>
      <c r="F53" s="293" t="s">
        <v>5153</v>
      </c>
      <c r="G53" s="298" t="s">
        <v>5160</v>
      </c>
      <c r="H53" s="298" t="s">
        <v>5173</v>
      </c>
    </row>
    <row r="54" spans="1:8">
      <c r="A54" s="293" t="s">
        <v>936</v>
      </c>
      <c r="B54" s="293" t="s">
        <v>937</v>
      </c>
      <c r="C54" s="293" t="s">
        <v>1850</v>
      </c>
      <c r="D54" s="293" t="s">
        <v>1851</v>
      </c>
      <c r="E54" s="313" t="s">
        <v>5152</v>
      </c>
      <c r="F54" s="293" t="s">
        <v>5153</v>
      </c>
      <c r="G54" s="298" t="s">
        <v>5160</v>
      </c>
      <c r="H54" s="298" t="s">
        <v>5173</v>
      </c>
    </row>
    <row r="55" spans="1:8">
      <c r="A55" s="293" t="s">
        <v>936</v>
      </c>
      <c r="B55" s="293" t="s">
        <v>937</v>
      </c>
      <c r="C55" s="293" t="s">
        <v>1852</v>
      </c>
      <c r="D55" s="293" t="s">
        <v>1853</v>
      </c>
      <c r="E55" s="313" t="s">
        <v>5152</v>
      </c>
      <c r="F55" s="293" t="s">
        <v>5153</v>
      </c>
      <c r="G55" s="298" t="s">
        <v>5160</v>
      </c>
      <c r="H55" s="298" t="s">
        <v>5173</v>
      </c>
    </row>
    <row r="56" spans="1:8">
      <c r="A56" s="293" t="s">
        <v>936</v>
      </c>
      <c r="B56" s="293" t="s">
        <v>937</v>
      </c>
      <c r="C56" s="293" t="s">
        <v>1854</v>
      </c>
      <c r="D56" s="293" t="s">
        <v>1855</v>
      </c>
      <c r="E56" s="313" t="s">
        <v>5152</v>
      </c>
      <c r="F56" s="293" t="s">
        <v>5153</v>
      </c>
      <c r="G56" s="298" t="s">
        <v>5160</v>
      </c>
      <c r="H56" s="298" t="s">
        <v>5173</v>
      </c>
    </row>
    <row r="57" spans="1:8">
      <c r="A57" s="293" t="s">
        <v>936</v>
      </c>
      <c r="B57" s="293" t="s">
        <v>937</v>
      </c>
      <c r="C57" s="293" t="s">
        <v>1856</v>
      </c>
      <c r="D57" s="293" t="s">
        <v>1857</v>
      </c>
      <c r="E57" s="313" t="s">
        <v>5152</v>
      </c>
      <c r="F57" s="293" t="s">
        <v>5153</v>
      </c>
      <c r="G57" s="298" t="s">
        <v>5160</v>
      </c>
      <c r="H57" s="298" t="s">
        <v>5173</v>
      </c>
    </row>
    <row r="58" spans="1:8">
      <c r="A58" s="293" t="s">
        <v>936</v>
      </c>
      <c r="B58" s="293" t="s">
        <v>937</v>
      </c>
      <c r="C58" s="293" t="s">
        <v>1858</v>
      </c>
      <c r="D58" s="293" t="s">
        <v>1859</v>
      </c>
      <c r="E58" s="313" t="s">
        <v>5152</v>
      </c>
      <c r="F58" s="293" t="s">
        <v>5153</v>
      </c>
      <c r="G58" s="298" t="s">
        <v>5160</v>
      </c>
      <c r="H58" s="298" t="s">
        <v>5173</v>
      </c>
    </row>
    <row r="59" spans="1:8">
      <c r="A59" s="293" t="s">
        <v>936</v>
      </c>
      <c r="B59" s="293" t="s">
        <v>937</v>
      </c>
      <c r="C59" s="293" t="s">
        <v>1860</v>
      </c>
      <c r="D59" s="293" t="s">
        <v>1861</v>
      </c>
      <c r="E59" s="313" t="s">
        <v>5142</v>
      </c>
      <c r="F59" s="293" t="s">
        <v>5143</v>
      </c>
      <c r="G59" s="298" t="s">
        <v>5160</v>
      </c>
      <c r="H59" s="298" t="s">
        <v>5168</v>
      </c>
    </row>
    <row r="60" spans="1:8">
      <c r="A60" s="293" t="s">
        <v>936</v>
      </c>
      <c r="B60" s="293" t="s">
        <v>937</v>
      </c>
      <c r="C60" s="293" t="s">
        <v>1862</v>
      </c>
      <c r="D60" s="293" t="s">
        <v>1863</v>
      </c>
      <c r="E60" s="313" t="s">
        <v>5142</v>
      </c>
      <c r="F60" s="293" t="s">
        <v>5143</v>
      </c>
      <c r="G60" s="298" t="s">
        <v>5160</v>
      </c>
      <c r="H60" s="298" t="s">
        <v>5168</v>
      </c>
    </row>
    <row r="61" spans="1:8">
      <c r="A61" s="293" t="s">
        <v>936</v>
      </c>
      <c r="B61" s="293" t="s">
        <v>937</v>
      </c>
      <c r="C61" s="293" t="s">
        <v>1864</v>
      </c>
      <c r="D61" s="293" t="s">
        <v>1865</v>
      </c>
      <c r="E61" s="313" t="s">
        <v>5142</v>
      </c>
      <c r="F61" s="293" t="s">
        <v>5143</v>
      </c>
      <c r="G61" s="298" t="s">
        <v>5160</v>
      </c>
      <c r="H61" s="298" t="s">
        <v>5168</v>
      </c>
    </row>
    <row r="62" spans="1:8">
      <c r="A62" s="293" t="s">
        <v>936</v>
      </c>
      <c r="B62" s="293" t="s">
        <v>937</v>
      </c>
      <c r="C62" s="293" t="s">
        <v>1866</v>
      </c>
      <c r="D62" s="293" t="s">
        <v>1867</v>
      </c>
      <c r="E62" s="313" t="s">
        <v>5152</v>
      </c>
      <c r="F62" s="293" t="s">
        <v>5153</v>
      </c>
      <c r="G62" s="298" t="s">
        <v>5160</v>
      </c>
      <c r="H62" s="298" t="s">
        <v>5173</v>
      </c>
    </row>
    <row r="63" spans="1:8">
      <c r="A63" s="293" t="s">
        <v>936</v>
      </c>
      <c r="B63" s="293" t="s">
        <v>937</v>
      </c>
      <c r="C63" s="293" t="s">
        <v>1869</v>
      </c>
      <c r="D63" s="293" t="s">
        <v>1870</v>
      </c>
      <c r="E63" s="313" t="s">
        <v>5142</v>
      </c>
      <c r="F63" s="293" t="s">
        <v>5143</v>
      </c>
      <c r="G63" s="298" t="s">
        <v>5160</v>
      </c>
      <c r="H63" s="298" t="s">
        <v>5168</v>
      </c>
    </row>
    <row r="64" spans="1:8">
      <c r="A64" s="293" t="s">
        <v>936</v>
      </c>
      <c r="B64" s="293" t="s">
        <v>937</v>
      </c>
      <c r="C64" s="293" t="s">
        <v>1871</v>
      </c>
      <c r="D64" s="293" t="s">
        <v>1872</v>
      </c>
      <c r="E64" s="313" t="s">
        <v>5136</v>
      </c>
      <c r="F64" s="293" t="s">
        <v>5137</v>
      </c>
      <c r="G64" s="298" t="s">
        <v>5162</v>
      </c>
      <c r="H64" s="298" t="s">
        <v>5163</v>
      </c>
    </row>
    <row r="65" spans="1:8" s="136" customFormat="1">
      <c r="A65" s="352" t="s">
        <v>936</v>
      </c>
      <c r="B65" s="352" t="s">
        <v>937</v>
      </c>
      <c r="C65" s="352" t="s">
        <v>1873</v>
      </c>
      <c r="D65" s="352" t="s">
        <v>1874</v>
      </c>
      <c r="E65" s="353" t="s">
        <v>5136</v>
      </c>
      <c r="F65" s="352" t="s">
        <v>5137</v>
      </c>
      <c r="G65" s="354" t="s">
        <v>5162</v>
      </c>
      <c r="H65" s="354" t="s">
        <v>5163</v>
      </c>
    </row>
    <row r="66" spans="1:8">
      <c r="A66" s="293" t="s">
        <v>936</v>
      </c>
      <c r="B66" s="293" t="s">
        <v>937</v>
      </c>
      <c r="C66" s="293" t="s">
        <v>1875</v>
      </c>
      <c r="D66" s="293" t="s">
        <v>1876</v>
      </c>
      <c r="E66" s="313" t="s">
        <v>5136</v>
      </c>
      <c r="F66" s="293" t="s">
        <v>5137</v>
      </c>
      <c r="G66" s="298" t="s">
        <v>5162</v>
      </c>
      <c r="H66" s="298" t="s">
        <v>5163</v>
      </c>
    </row>
    <row r="67" spans="1:8" s="136" customFormat="1">
      <c r="A67" s="352" t="s">
        <v>936</v>
      </c>
      <c r="B67" s="352" t="s">
        <v>937</v>
      </c>
      <c r="C67" s="352" t="s">
        <v>1877</v>
      </c>
      <c r="D67" s="352" t="s">
        <v>1878</v>
      </c>
      <c r="E67" s="353" t="s">
        <v>5136</v>
      </c>
      <c r="F67" s="352" t="s">
        <v>5137</v>
      </c>
      <c r="G67" s="354" t="s">
        <v>5162</v>
      </c>
      <c r="H67" s="354" t="s">
        <v>5163</v>
      </c>
    </row>
    <row r="68" spans="1:8">
      <c r="A68" s="293" t="s">
        <v>936</v>
      </c>
      <c r="B68" s="293" t="s">
        <v>937</v>
      </c>
      <c r="C68" s="293" t="s">
        <v>1879</v>
      </c>
      <c r="D68" s="293" t="s">
        <v>1880</v>
      </c>
      <c r="E68" s="313" t="s">
        <v>5136</v>
      </c>
      <c r="F68" s="293" t="s">
        <v>5137</v>
      </c>
      <c r="G68" s="298" t="s">
        <v>5162</v>
      </c>
      <c r="H68" s="298" t="s">
        <v>5163</v>
      </c>
    </row>
    <row r="69" spans="1:8">
      <c r="A69" s="293" t="s">
        <v>936</v>
      </c>
      <c r="B69" s="293" t="s">
        <v>937</v>
      </c>
      <c r="C69" s="293" t="s">
        <v>1881</v>
      </c>
      <c r="D69" s="293" t="s">
        <v>1882</v>
      </c>
      <c r="E69" s="313" t="s">
        <v>5136</v>
      </c>
      <c r="F69" s="293" t="s">
        <v>5137</v>
      </c>
      <c r="G69" s="298" t="s">
        <v>5162</v>
      </c>
      <c r="H69" s="298" t="s">
        <v>5163</v>
      </c>
    </row>
    <row r="70" spans="1:8">
      <c r="A70" s="293" t="s">
        <v>936</v>
      </c>
      <c r="B70" s="293" t="s">
        <v>937</v>
      </c>
      <c r="C70" s="293" t="s">
        <v>953</v>
      </c>
      <c r="D70" s="293" t="s">
        <v>954</v>
      </c>
      <c r="E70" s="313" t="s">
        <v>5136</v>
      </c>
      <c r="F70" s="293" t="s">
        <v>5137</v>
      </c>
      <c r="G70" s="298" t="s">
        <v>5162</v>
      </c>
      <c r="H70" s="298" t="s">
        <v>5163</v>
      </c>
    </row>
    <row r="71" spans="1:8">
      <c r="A71" s="293" t="s">
        <v>936</v>
      </c>
      <c r="B71" s="293" t="s">
        <v>937</v>
      </c>
      <c r="C71" s="293" t="s">
        <v>1883</v>
      </c>
      <c r="D71" s="293" t="s">
        <v>1884</v>
      </c>
      <c r="E71" s="313" t="s">
        <v>5138</v>
      </c>
      <c r="F71" s="293" t="s">
        <v>5139</v>
      </c>
      <c r="G71" s="298" t="s">
        <v>5160</v>
      </c>
      <c r="H71" s="298" t="s">
        <v>5170</v>
      </c>
    </row>
    <row r="72" spans="1:8">
      <c r="A72" s="293" t="s">
        <v>936</v>
      </c>
      <c r="B72" s="293" t="s">
        <v>937</v>
      </c>
      <c r="C72" s="293" t="s">
        <v>3458</v>
      </c>
      <c r="D72" s="293" t="s">
        <v>3459</v>
      </c>
      <c r="E72" s="313" t="s">
        <v>5138</v>
      </c>
      <c r="F72" s="293" t="s">
        <v>5139</v>
      </c>
      <c r="G72" s="298" t="s">
        <v>5160</v>
      </c>
      <c r="H72" s="298" t="s">
        <v>5170</v>
      </c>
    </row>
    <row r="73" spans="1:8">
      <c r="A73" s="293" t="s">
        <v>936</v>
      </c>
      <c r="B73" s="293" t="s">
        <v>937</v>
      </c>
      <c r="C73" s="293" t="s">
        <v>1885</v>
      </c>
      <c r="D73" s="293" t="s">
        <v>1886</v>
      </c>
      <c r="E73" s="313" t="s">
        <v>5136</v>
      </c>
      <c r="F73" s="293" t="s">
        <v>5137</v>
      </c>
      <c r="G73" s="298" t="s">
        <v>5162</v>
      </c>
      <c r="H73" s="298" t="s">
        <v>5163</v>
      </c>
    </row>
    <row r="74" spans="1:8">
      <c r="A74" s="293" t="s">
        <v>936</v>
      </c>
      <c r="B74" s="293" t="s">
        <v>937</v>
      </c>
      <c r="C74" s="293" t="s">
        <v>1887</v>
      </c>
      <c r="D74" s="293" t="s">
        <v>1888</v>
      </c>
      <c r="E74" s="313" t="s">
        <v>5138</v>
      </c>
      <c r="F74" s="293" t="s">
        <v>5139</v>
      </c>
      <c r="G74" s="298" t="s">
        <v>5160</v>
      </c>
      <c r="H74" s="298" t="s">
        <v>5170</v>
      </c>
    </row>
    <row r="75" spans="1:8">
      <c r="A75" s="293" t="s">
        <v>936</v>
      </c>
      <c r="B75" s="293" t="s">
        <v>937</v>
      </c>
      <c r="C75" s="293" t="s">
        <v>1889</v>
      </c>
      <c r="D75" s="293" t="s">
        <v>1890</v>
      </c>
      <c r="E75" s="313" t="s">
        <v>5138</v>
      </c>
      <c r="F75" s="293" t="s">
        <v>5139</v>
      </c>
      <c r="G75" s="298" t="s">
        <v>5160</v>
      </c>
      <c r="H75" s="298" t="s">
        <v>5170</v>
      </c>
    </row>
    <row r="76" spans="1:8">
      <c r="A76" s="293" t="s">
        <v>936</v>
      </c>
      <c r="B76" s="293" t="s">
        <v>937</v>
      </c>
      <c r="C76" s="293" t="s">
        <v>1629</v>
      </c>
      <c r="D76" s="293" t="s">
        <v>1630</v>
      </c>
      <c r="E76" s="313" t="s">
        <v>5136</v>
      </c>
      <c r="F76" s="293" t="s">
        <v>5137</v>
      </c>
      <c r="G76" s="298" t="s">
        <v>5162</v>
      </c>
      <c r="H76" s="298" t="s">
        <v>5163</v>
      </c>
    </row>
    <row r="77" spans="1:8">
      <c r="A77" s="293" t="s">
        <v>936</v>
      </c>
      <c r="B77" s="293" t="s">
        <v>937</v>
      </c>
      <c r="C77" s="293" t="s">
        <v>1891</v>
      </c>
      <c r="D77" s="293" t="s">
        <v>1892</v>
      </c>
      <c r="E77" s="313" t="s">
        <v>5138</v>
      </c>
      <c r="F77" s="293" t="s">
        <v>5139</v>
      </c>
      <c r="G77" s="298" t="s">
        <v>5160</v>
      </c>
      <c r="H77" s="298" t="s">
        <v>5170</v>
      </c>
    </row>
    <row r="78" spans="1:8">
      <c r="A78" s="293" t="s">
        <v>936</v>
      </c>
      <c r="B78" s="293" t="s">
        <v>937</v>
      </c>
      <c r="C78" s="293" t="s">
        <v>1893</v>
      </c>
      <c r="D78" s="293" t="s">
        <v>1894</v>
      </c>
      <c r="E78" s="313" t="s">
        <v>5142</v>
      </c>
      <c r="F78" s="293" t="s">
        <v>5143</v>
      </c>
      <c r="G78" s="298" t="s">
        <v>5160</v>
      </c>
      <c r="H78" s="298" t="s">
        <v>5168</v>
      </c>
    </row>
    <row r="79" spans="1:8">
      <c r="A79" s="293" t="s">
        <v>936</v>
      </c>
      <c r="B79" s="293" t="s">
        <v>937</v>
      </c>
      <c r="C79" s="293" t="s">
        <v>1895</v>
      </c>
      <c r="D79" s="293" t="s">
        <v>1896</v>
      </c>
      <c r="E79" s="313" t="s">
        <v>5142</v>
      </c>
      <c r="F79" s="293" t="s">
        <v>5143</v>
      </c>
      <c r="G79" s="298" t="s">
        <v>5160</v>
      </c>
      <c r="H79" s="298" t="s">
        <v>5168</v>
      </c>
    </row>
    <row r="80" spans="1:8">
      <c r="A80" s="293" t="s">
        <v>936</v>
      </c>
      <c r="B80" s="293" t="s">
        <v>937</v>
      </c>
      <c r="C80" s="293" t="s">
        <v>1897</v>
      </c>
      <c r="D80" s="293" t="s">
        <v>1898</v>
      </c>
      <c r="E80" s="313" t="s">
        <v>5142</v>
      </c>
      <c r="F80" s="293" t="s">
        <v>5143</v>
      </c>
      <c r="G80" s="298" t="s">
        <v>5160</v>
      </c>
      <c r="H80" s="298" t="s">
        <v>5168</v>
      </c>
    </row>
    <row r="81" spans="1:8">
      <c r="A81" s="293" t="s">
        <v>936</v>
      </c>
      <c r="B81" s="293" t="s">
        <v>937</v>
      </c>
      <c r="C81" s="293" t="s">
        <v>1899</v>
      </c>
      <c r="D81" s="293" t="s">
        <v>1900</v>
      </c>
      <c r="E81" s="313" t="s">
        <v>5142</v>
      </c>
      <c r="F81" s="293" t="s">
        <v>5143</v>
      </c>
      <c r="G81" s="298" t="s">
        <v>5160</v>
      </c>
      <c r="H81" s="298" t="s">
        <v>5168</v>
      </c>
    </row>
    <row r="82" spans="1:8">
      <c r="A82" s="293" t="s">
        <v>936</v>
      </c>
      <c r="B82" s="293" t="s">
        <v>937</v>
      </c>
      <c r="C82" s="293" t="s">
        <v>1901</v>
      </c>
      <c r="D82" s="293" t="s">
        <v>1902</v>
      </c>
      <c r="E82" s="313" t="s">
        <v>5142</v>
      </c>
      <c r="F82" s="293" t="s">
        <v>5143</v>
      </c>
      <c r="G82" s="298" t="s">
        <v>5160</v>
      </c>
      <c r="H82" s="298" t="s">
        <v>5168</v>
      </c>
    </row>
    <row r="83" spans="1:8">
      <c r="A83" s="293" t="s">
        <v>936</v>
      </c>
      <c r="B83" s="293" t="s">
        <v>937</v>
      </c>
      <c r="C83" s="293" t="s">
        <v>1915</v>
      </c>
      <c r="D83" s="293" t="s">
        <v>1916</v>
      </c>
      <c r="E83" s="313" t="s">
        <v>5138</v>
      </c>
      <c r="F83" s="293" t="s">
        <v>5139</v>
      </c>
      <c r="G83" s="298" t="s">
        <v>5160</v>
      </c>
      <c r="H83" s="298" t="s">
        <v>5170</v>
      </c>
    </row>
    <row r="84" spans="1:8">
      <c r="A84" s="293" t="s">
        <v>936</v>
      </c>
      <c r="B84" s="293" t="s">
        <v>937</v>
      </c>
      <c r="C84" s="293" t="s">
        <v>1631</v>
      </c>
      <c r="D84" s="293" t="s">
        <v>1632</v>
      </c>
      <c r="E84" s="313" t="s">
        <v>5136</v>
      </c>
      <c r="F84" s="293" t="s">
        <v>5137</v>
      </c>
      <c r="G84" s="298" t="s">
        <v>5162</v>
      </c>
      <c r="H84" s="298" t="s">
        <v>5163</v>
      </c>
    </row>
    <row r="85" spans="1:8">
      <c r="A85" s="293" t="s">
        <v>936</v>
      </c>
      <c r="B85" s="293" t="s">
        <v>937</v>
      </c>
      <c r="C85" s="293" t="s">
        <v>1631</v>
      </c>
      <c r="D85" s="293" t="s">
        <v>1632</v>
      </c>
      <c r="E85" s="313" t="s">
        <v>5138</v>
      </c>
      <c r="F85" s="293" t="s">
        <v>5139</v>
      </c>
      <c r="G85" s="298" t="s">
        <v>5160</v>
      </c>
      <c r="H85" s="298" t="s">
        <v>5170</v>
      </c>
    </row>
    <row r="86" spans="1:8">
      <c r="A86" s="293" t="s">
        <v>936</v>
      </c>
      <c r="B86" s="293" t="s">
        <v>937</v>
      </c>
      <c r="C86" s="293" t="s">
        <v>946</v>
      </c>
      <c r="D86" s="293" t="s">
        <v>947</v>
      </c>
      <c r="E86" s="313" t="s">
        <v>5138</v>
      </c>
      <c r="F86" s="293" t="s">
        <v>5139</v>
      </c>
      <c r="G86" s="298" t="s">
        <v>5160</v>
      </c>
      <c r="H86" s="298" t="s">
        <v>5170</v>
      </c>
    </row>
    <row r="87" spans="1:8">
      <c r="A87" s="293" t="s">
        <v>936</v>
      </c>
      <c r="B87" s="293" t="s">
        <v>937</v>
      </c>
      <c r="C87" s="293" t="s">
        <v>948</v>
      </c>
      <c r="D87" s="293" t="s">
        <v>949</v>
      </c>
      <c r="E87" s="313" t="s">
        <v>5138</v>
      </c>
      <c r="F87" s="293" t="s">
        <v>5139</v>
      </c>
      <c r="G87" s="298" t="s">
        <v>5160</v>
      </c>
      <c r="H87" s="298" t="s">
        <v>5170</v>
      </c>
    </row>
    <row r="88" spans="1:8">
      <c r="A88" s="293" t="s">
        <v>936</v>
      </c>
      <c r="B88" s="293" t="s">
        <v>937</v>
      </c>
      <c r="C88" s="293" t="s">
        <v>955</v>
      </c>
      <c r="D88" s="293" t="s">
        <v>956</v>
      </c>
      <c r="E88" s="313" t="s">
        <v>5136</v>
      </c>
      <c r="F88" s="293" t="s">
        <v>5137</v>
      </c>
      <c r="G88" s="298" t="s">
        <v>5162</v>
      </c>
      <c r="H88" s="298" t="s">
        <v>5163</v>
      </c>
    </row>
    <row r="89" spans="1:8">
      <c r="A89" s="293" t="s">
        <v>936</v>
      </c>
      <c r="B89" s="293" t="s">
        <v>937</v>
      </c>
      <c r="C89" s="293" t="s">
        <v>1633</v>
      </c>
      <c r="D89" s="293" t="s">
        <v>1634</v>
      </c>
      <c r="E89" s="313" t="s">
        <v>5136</v>
      </c>
      <c r="F89" s="293" t="s">
        <v>5137</v>
      </c>
      <c r="G89" s="298" t="s">
        <v>5162</v>
      </c>
      <c r="H89" s="298" t="s">
        <v>5163</v>
      </c>
    </row>
    <row r="90" spans="1:8">
      <c r="A90" s="293" t="s">
        <v>936</v>
      </c>
      <c r="B90" s="293" t="s">
        <v>937</v>
      </c>
      <c r="C90" s="293" t="s">
        <v>1917</v>
      </c>
      <c r="D90" s="293" t="s">
        <v>1918</v>
      </c>
      <c r="E90" s="313" t="s">
        <v>5136</v>
      </c>
      <c r="F90" s="293" t="s">
        <v>5137</v>
      </c>
      <c r="G90" s="298" t="s">
        <v>5162</v>
      </c>
      <c r="H90" s="298" t="s">
        <v>5163</v>
      </c>
    </row>
    <row r="91" spans="1:8">
      <c r="A91" s="293" t="s">
        <v>936</v>
      </c>
      <c r="B91" s="293" t="s">
        <v>937</v>
      </c>
      <c r="C91" s="293" t="s">
        <v>1635</v>
      </c>
      <c r="D91" s="293" t="s">
        <v>1636</v>
      </c>
      <c r="E91" s="313" t="s">
        <v>5138</v>
      </c>
      <c r="F91" s="293" t="s">
        <v>5139</v>
      </c>
      <c r="G91" s="298" t="s">
        <v>5160</v>
      </c>
      <c r="H91" s="298" t="s">
        <v>5170</v>
      </c>
    </row>
    <row r="92" spans="1:8">
      <c r="A92" s="293" t="s">
        <v>936</v>
      </c>
      <c r="B92" s="293" t="s">
        <v>937</v>
      </c>
      <c r="C92" s="293" t="s">
        <v>1919</v>
      </c>
      <c r="D92" s="293" t="s">
        <v>1920</v>
      </c>
      <c r="E92" s="313" t="s">
        <v>5138</v>
      </c>
      <c r="F92" s="293" t="s">
        <v>5139</v>
      </c>
      <c r="G92" s="298" t="s">
        <v>5160</v>
      </c>
      <c r="H92" s="298" t="s">
        <v>5170</v>
      </c>
    </row>
    <row r="93" spans="1:8">
      <c r="A93" s="293" t="s">
        <v>936</v>
      </c>
      <c r="B93" s="293" t="s">
        <v>937</v>
      </c>
      <c r="C93" s="293" t="s">
        <v>1921</v>
      </c>
      <c r="D93" s="293" t="s">
        <v>1922</v>
      </c>
      <c r="E93" s="313" t="s">
        <v>5138</v>
      </c>
      <c r="F93" s="293" t="s">
        <v>5139</v>
      </c>
      <c r="G93" s="298" t="s">
        <v>5160</v>
      </c>
      <c r="H93" s="298" t="s">
        <v>5170</v>
      </c>
    </row>
    <row r="94" spans="1:8">
      <c r="A94" s="293" t="s">
        <v>936</v>
      </c>
      <c r="B94" s="293" t="s">
        <v>937</v>
      </c>
      <c r="C94" s="293" t="s">
        <v>1923</v>
      </c>
      <c r="D94" s="293" t="s">
        <v>1924</v>
      </c>
      <c r="E94" s="313" t="s">
        <v>5138</v>
      </c>
      <c r="F94" s="293" t="s">
        <v>5139</v>
      </c>
      <c r="G94" s="298" t="s">
        <v>5160</v>
      </c>
      <c r="H94" s="298" t="s">
        <v>5170</v>
      </c>
    </row>
    <row r="95" spans="1:8">
      <c r="A95" s="293" t="s">
        <v>936</v>
      </c>
      <c r="B95" s="293" t="s">
        <v>937</v>
      </c>
      <c r="C95" s="293" t="s">
        <v>1925</v>
      </c>
      <c r="D95" s="293" t="s">
        <v>1926</v>
      </c>
      <c r="E95" s="313" t="s">
        <v>5138</v>
      </c>
      <c r="F95" s="293" t="s">
        <v>5139</v>
      </c>
      <c r="G95" s="298" t="s">
        <v>5160</v>
      </c>
      <c r="H95" s="298" t="s">
        <v>5170</v>
      </c>
    </row>
    <row r="96" spans="1:8">
      <c r="A96" s="293" t="s">
        <v>936</v>
      </c>
      <c r="B96" s="293" t="s">
        <v>937</v>
      </c>
      <c r="C96" s="293" t="s">
        <v>1927</v>
      </c>
      <c r="D96" s="293" t="s">
        <v>1928</v>
      </c>
      <c r="E96" s="313" t="s">
        <v>5138</v>
      </c>
      <c r="F96" s="293" t="s">
        <v>5139</v>
      </c>
      <c r="G96" s="298" t="s">
        <v>5160</v>
      </c>
      <c r="H96" s="298" t="s">
        <v>5170</v>
      </c>
    </row>
    <row r="97" spans="1:8">
      <c r="A97" s="293" t="s">
        <v>936</v>
      </c>
      <c r="B97" s="293" t="s">
        <v>937</v>
      </c>
      <c r="C97" s="293" t="s">
        <v>1929</v>
      </c>
      <c r="D97" s="293" t="s">
        <v>1930</v>
      </c>
      <c r="E97" s="313" t="s">
        <v>5138</v>
      </c>
      <c r="F97" s="293" t="s">
        <v>5139</v>
      </c>
      <c r="G97" s="298" t="s">
        <v>5160</v>
      </c>
      <c r="H97" s="298" t="s">
        <v>5170</v>
      </c>
    </row>
    <row r="98" spans="1:8">
      <c r="A98" s="293" t="s">
        <v>936</v>
      </c>
      <c r="B98" s="293" t="s">
        <v>937</v>
      </c>
      <c r="C98" s="293" t="s">
        <v>1931</v>
      </c>
      <c r="D98" s="293" t="s">
        <v>1932</v>
      </c>
      <c r="E98" s="313" t="s">
        <v>5138</v>
      </c>
      <c r="F98" s="293" t="s">
        <v>5139</v>
      </c>
      <c r="G98" s="298" t="s">
        <v>5160</v>
      </c>
      <c r="H98" s="298" t="s">
        <v>5170</v>
      </c>
    </row>
    <row r="99" spans="1:8">
      <c r="A99" s="293" t="s">
        <v>936</v>
      </c>
      <c r="B99" s="293" t="s">
        <v>937</v>
      </c>
      <c r="C99" s="293" t="s">
        <v>1933</v>
      </c>
      <c r="D99" s="293" t="s">
        <v>1934</v>
      </c>
      <c r="E99" s="313" t="s">
        <v>5136</v>
      </c>
      <c r="F99" s="293" t="s">
        <v>5137</v>
      </c>
      <c r="G99" s="298" t="s">
        <v>5162</v>
      </c>
      <c r="H99" s="298" t="s">
        <v>5163</v>
      </c>
    </row>
    <row r="100" spans="1:8">
      <c r="A100" s="293" t="s">
        <v>936</v>
      </c>
      <c r="B100" s="293" t="s">
        <v>937</v>
      </c>
      <c r="C100" s="293" t="s">
        <v>1637</v>
      </c>
      <c r="D100" s="293" t="s">
        <v>1638</v>
      </c>
      <c r="E100" s="313" t="s">
        <v>5150</v>
      </c>
      <c r="F100" s="293" t="s">
        <v>5151</v>
      </c>
      <c r="G100" s="298" t="s">
        <v>5160</v>
      </c>
      <c r="H100" s="298" t="s">
        <v>5171</v>
      </c>
    </row>
    <row r="101" spans="1:8">
      <c r="A101" s="293" t="s">
        <v>936</v>
      </c>
      <c r="B101" s="293" t="s">
        <v>937</v>
      </c>
      <c r="C101" s="293" t="s">
        <v>1935</v>
      </c>
      <c r="D101" s="293" t="s">
        <v>1936</v>
      </c>
      <c r="E101" s="313" t="s">
        <v>5138</v>
      </c>
      <c r="F101" s="293" t="s">
        <v>5139</v>
      </c>
      <c r="G101" s="298" t="s">
        <v>5160</v>
      </c>
      <c r="H101" s="298" t="s">
        <v>5170</v>
      </c>
    </row>
    <row r="102" spans="1:8">
      <c r="A102" s="293" t="s">
        <v>936</v>
      </c>
      <c r="B102" s="293" t="s">
        <v>937</v>
      </c>
      <c r="C102" s="293" t="s">
        <v>1639</v>
      </c>
      <c r="D102" s="293" t="s">
        <v>1640</v>
      </c>
      <c r="E102" s="313" t="s">
        <v>5136</v>
      </c>
      <c r="F102" s="293" t="s">
        <v>5137</v>
      </c>
      <c r="G102" s="298" t="s">
        <v>5162</v>
      </c>
      <c r="H102" s="298" t="s">
        <v>5163</v>
      </c>
    </row>
    <row r="103" spans="1:8">
      <c r="A103" s="293" t="s">
        <v>936</v>
      </c>
      <c r="B103" s="293" t="s">
        <v>937</v>
      </c>
      <c r="C103" s="293" t="s">
        <v>957</v>
      </c>
      <c r="D103" s="293" t="s">
        <v>958</v>
      </c>
      <c r="E103" s="313" t="s">
        <v>5136</v>
      </c>
      <c r="F103" s="293" t="s">
        <v>5137</v>
      </c>
      <c r="G103" s="298" t="s">
        <v>5162</v>
      </c>
      <c r="H103" s="298" t="s">
        <v>5163</v>
      </c>
    </row>
    <row r="104" spans="1:8">
      <c r="A104" s="293" t="s">
        <v>936</v>
      </c>
      <c r="B104" s="293" t="s">
        <v>937</v>
      </c>
      <c r="C104" s="293" t="s">
        <v>950</v>
      </c>
      <c r="D104" s="293" t="s">
        <v>951</v>
      </c>
      <c r="E104" s="313" t="s">
        <v>5138</v>
      </c>
      <c r="F104" s="293" t="s">
        <v>5139</v>
      </c>
      <c r="G104" s="298" t="s">
        <v>5160</v>
      </c>
      <c r="H104" s="298" t="s">
        <v>5170</v>
      </c>
    </row>
    <row r="105" spans="1:8">
      <c r="A105" s="293" t="s">
        <v>936</v>
      </c>
      <c r="B105" s="293" t="s">
        <v>937</v>
      </c>
      <c r="C105" s="293" t="s">
        <v>1641</v>
      </c>
      <c r="D105" s="293" t="s">
        <v>1642</v>
      </c>
      <c r="E105" s="313" t="s">
        <v>5142</v>
      </c>
      <c r="F105" s="293" t="s">
        <v>5143</v>
      </c>
      <c r="G105" s="298" t="s">
        <v>5160</v>
      </c>
      <c r="H105" s="298" t="s">
        <v>5168</v>
      </c>
    </row>
    <row r="106" spans="1:8">
      <c r="A106" s="293" t="s">
        <v>936</v>
      </c>
      <c r="B106" s="293" t="s">
        <v>937</v>
      </c>
      <c r="C106" s="293" t="s">
        <v>1695</v>
      </c>
      <c r="D106" s="293" t="s">
        <v>1696</v>
      </c>
      <c r="E106" s="313" t="s">
        <v>5136</v>
      </c>
      <c r="F106" s="293" t="s">
        <v>5137</v>
      </c>
      <c r="G106" s="298" t="s">
        <v>5162</v>
      </c>
      <c r="H106" s="298" t="s">
        <v>5163</v>
      </c>
    </row>
    <row r="107" spans="1:8">
      <c r="A107" s="293" t="s">
        <v>936</v>
      </c>
      <c r="B107" s="293" t="s">
        <v>937</v>
      </c>
      <c r="C107" s="293" t="s">
        <v>1937</v>
      </c>
      <c r="D107" s="293" t="s">
        <v>1938</v>
      </c>
      <c r="E107" s="313" t="s">
        <v>5138</v>
      </c>
      <c r="F107" s="293" t="s">
        <v>5139</v>
      </c>
      <c r="G107" s="298" t="s">
        <v>5160</v>
      </c>
      <c r="H107" s="298" t="s">
        <v>5170</v>
      </c>
    </row>
    <row r="108" spans="1:8">
      <c r="A108" s="293" t="s">
        <v>936</v>
      </c>
      <c r="B108" s="293" t="s">
        <v>937</v>
      </c>
      <c r="C108" s="293" t="s">
        <v>1939</v>
      </c>
      <c r="D108" s="293" t="s">
        <v>1940</v>
      </c>
      <c r="E108" s="313" t="s">
        <v>5138</v>
      </c>
      <c r="F108" s="293" t="s">
        <v>5139</v>
      </c>
      <c r="G108" s="298" t="s">
        <v>5160</v>
      </c>
      <c r="H108" s="298" t="s">
        <v>5170</v>
      </c>
    </row>
    <row r="109" spans="1:8">
      <c r="A109" s="293" t="s">
        <v>936</v>
      </c>
      <c r="B109" s="293" t="s">
        <v>937</v>
      </c>
      <c r="C109" s="293" t="s">
        <v>1941</v>
      </c>
      <c r="D109" s="293" t="s">
        <v>1942</v>
      </c>
      <c r="E109" s="313" t="s">
        <v>5138</v>
      </c>
      <c r="F109" s="293" t="s">
        <v>5139</v>
      </c>
      <c r="G109" s="298" t="s">
        <v>5160</v>
      </c>
      <c r="H109" s="298" t="s">
        <v>5170</v>
      </c>
    </row>
    <row r="110" spans="1:8">
      <c r="A110" s="293" t="s">
        <v>936</v>
      </c>
      <c r="B110" s="293" t="s">
        <v>937</v>
      </c>
      <c r="C110" s="293" t="s">
        <v>1643</v>
      </c>
      <c r="D110" s="293" t="s">
        <v>1644</v>
      </c>
      <c r="E110" s="313" t="s">
        <v>5138</v>
      </c>
      <c r="F110" s="293" t="s">
        <v>5139</v>
      </c>
      <c r="G110" s="298" t="s">
        <v>5160</v>
      </c>
      <c r="H110" s="298" t="s">
        <v>5170</v>
      </c>
    </row>
    <row r="111" spans="1:8">
      <c r="A111" s="293" t="s">
        <v>936</v>
      </c>
      <c r="B111" s="293" t="s">
        <v>937</v>
      </c>
      <c r="C111" s="293" t="s">
        <v>1703</v>
      </c>
      <c r="D111" s="293" t="s">
        <v>1943</v>
      </c>
      <c r="E111" s="313" t="s">
        <v>5138</v>
      </c>
      <c r="F111" s="293" t="s">
        <v>5139</v>
      </c>
      <c r="G111" s="298" t="s">
        <v>5160</v>
      </c>
      <c r="H111" s="298" t="s">
        <v>5170</v>
      </c>
    </row>
    <row r="112" spans="1:8">
      <c r="A112" s="293" t="s">
        <v>936</v>
      </c>
      <c r="B112" s="293" t="s">
        <v>937</v>
      </c>
      <c r="C112" s="293" t="s">
        <v>1944</v>
      </c>
      <c r="D112" s="293" t="s">
        <v>1945</v>
      </c>
      <c r="E112" s="313" t="s">
        <v>5138</v>
      </c>
      <c r="F112" s="293" t="s">
        <v>5139</v>
      </c>
      <c r="G112" s="298" t="s">
        <v>5160</v>
      </c>
      <c r="H112" s="298" t="s">
        <v>5170</v>
      </c>
    </row>
    <row r="113" spans="1:8" s="136" customFormat="1">
      <c r="A113" s="352" t="s">
        <v>936</v>
      </c>
      <c r="B113" s="352" t="s">
        <v>937</v>
      </c>
      <c r="C113" s="352" t="s">
        <v>3460</v>
      </c>
      <c r="D113" s="352" t="s">
        <v>3461</v>
      </c>
      <c r="E113" s="353" t="s">
        <v>5136</v>
      </c>
      <c r="F113" s="352" t="s">
        <v>5137</v>
      </c>
      <c r="G113" s="354" t="s">
        <v>5162</v>
      </c>
      <c r="H113" s="354" t="s">
        <v>5163</v>
      </c>
    </row>
    <row r="114" spans="1:8">
      <c r="A114" s="293" t="s">
        <v>936</v>
      </c>
      <c r="B114" s="293" t="s">
        <v>937</v>
      </c>
      <c r="C114" s="293" t="s">
        <v>1946</v>
      </c>
      <c r="D114" s="293" t="s">
        <v>1947</v>
      </c>
      <c r="E114" s="313" t="s">
        <v>5134</v>
      </c>
      <c r="F114" s="293" t="s">
        <v>5135</v>
      </c>
      <c r="G114" s="298" t="s">
        <v>5160</v>
      </c>
      <c r="H114" s="298" t="s">
        <v>5167</v>
      </c>
    </row>
    <row r="115" spans="1:8">
      <c r="A115" s="293" t="s">
        <v>936</v>
      </c>
      <c r="B115" s="293" t="s">
        <v>937</v>
      </c>
      <c r="C115" s="293" t="s">
        <v>1645</v>
      </c>
      <c r="D115" s="293" t="s">
        <v>1646</v>
      </c>
      <c r="E115" s="313" t="s">
        <v>5138</v>
      </c>
      <c r="F115" s="293" t="s">
        <v>5139</v>
      </c>
      <c r="G115" s="298" t="s">
        <v>5160</v>
      </c>
      <c r="H115" s="298" t="s">
        <v>5170</v>
      </c>
    </row>
    <row r="116" spans="1:8">
      <c r="A116" s="293" t="s">
        <v>936</v>
      </c>
      <c r="B116" s="293" t="s">
        <v>937</v>
      </c>
      <c r="C116" s="293" t="s">
        <v>1948</v>
      </c>
      <c r="D116" s="293" t="s">
        <v>1949</v>
      </c>
      <c r="E116" s="313" t="s">
        <v>5138</v>
      </c>
      <c r="F116" s="293" t="s">
        <v>5139</v>
      </c>
      <c r="G116" s="298" t="s">
        <v>5160</v>
      </c>
      <c r="H116" s="298" t="s">
        <v>5170</v>
      </c>
    </row>
    <row r="117" spans="1:8">
      <c r="A117" s="293" t="s">
        <v>936</v>
      </c>
      <c r="B117" s="293" t="s">
        <v>937</v>
      </c>
      <c r="C117" s="293" t="s">
        <v>1950</v>
      </c>
      <c r="D117" s="293" t="s">
        <v>1951</v>
      </c>
      <c r="E117" s="313" t="s">
        <v>5136</v>
      </c>
      <c r="F117" s="293" t="s">
        <v>5137</v>
      </c>
      <c r="G117" s="298" t="s">
        <v>5162</v>
      </c>
      <c r="H117" s="298" t="s">
        <v>5163</v>
      </c>
    </row>
    <row r="118" spans="1:8">
      <c r="A118" s="293" t="s">
        <v>936</v>
      </c>
      <c r="B118" s="293" t="s">
        <v>937</v>
      </c>
      <c r="C118" s="293" t="s">
        <v>1968</v>
      </c>
      <c r="D118" s="293" t="s">
        <v>1969</v>
      </c>
      <c r="E118" s="313" t="s">
        <v>5134</v>
      </c>
      <c r="F118" s="293" t="s">
        <v>5135</v>
      </c>
      <c r="G118" s="298" t="s">
        <v>5160</v>
      </c>
      <c r="H118" s="298" t="s">
        <v>5167</v>
      </c>
    </row>
    <row r="119" spans="1:8">
      <c r="A119" s="293" t="s">
        <v>936</v>
      </c>
      <c r="B119" s="293" t="s">
        <v>937</v>
      </c>
      <c r="C119" s="293" t="s">
        <v>1970</v>
      </c>
      <c r="D119" s="293" t="s">
        <v>1971</v>
      </c>
      <c r="E119" s="313" t="s">
        <v>5150</v>
      </c>
      <c r="F119" s="293" t="s">
        <v>5151</v>
      </c>
      <c r="G119" s="298" t="s">
        <v>5160</v>
      </c>
      <c r="H119" s="298" t="s">
        <v>5171</v>
      </c>
    </row>
    <row r="120" spans="1:8">
      <c r="A120" s="293" t="s">
        <v>936</v>
      </c>
      <c r="B120" s="293" t="s">
        <v>937</v>
      </c>
      <c r="C120" s="293" t="s">
        <v>1972</v>
      </c>
      <c r="D120" s="293" t="s">
        <v>1973</v>
      </c>
      <c r="E120" s="313" t="s">
        <v>5140</v>
      </c>
      <c r="F120" s="293" t="s">
        <v>5141</v>
      </c>
      <c r="G120" s="298" t="s">
        <v>5160</v>
      </c>
      <c r="H120" s="298" t="s">
        <v>5169</v>
      </c>
    </row>
    <row r="121" spans="1:8">
      <c r="A121" s="293" t="s">
        <v>936</v>
      </c>
      <c r="B121" s="293" t="s">
        <v>937</v>
      </c>
      <c r="C121" s="293" t="s">
        <v>1974</v>
      </c>
      <c r="D121" s="293" t="s">
        <v>1975</v>
      </c>
      <c r="E121" s="313" t="s">
        <v>5146</v>
      </c>
      <c r="F121" s="293" t="s">
        <v>5147</v>
      </c>
      <c r="G121" s="298" t="s">
        <v>5160</v>
      </c>
      <c r="H121" s="298" t="s">
        <v>5167</v>
      </c>
    </row>
    <row r="122" spans="1:8">
      <c r="A122" s="293" t="s">
        <v>936</v>
      </c>
      <c r="B122" s="293" t="s">
        <v>937</v>
      </c>
      <c r="C122" s="293" t="s">
        <v>959</v>
      </c>
      <c r="D122" s="293" t="s">
        <v>1647</v>
      </c>
      <c r="E122" s="313" t="s">
        <v>5136</v>
      </c>
      <c r="F122" s="293" t="s">
        <v>5137</v>
      </c>
      <c r="G122" s="298" t="s">
        <v>5162</v>
      </c>
      <c r="H122" s="298" t="s">
        <v>5163</v>
      </c>
    </row>
    <row r="123" spans="1:8">
      <c r="A123" s="293" t="s">
        <v>936</v>
      </c>
      <c r="B123" s="293" t="s">
        <v>937</v>
      </c>
      <c r="C123" s="293" t="s">
        <v>1976</v>
      </c>
      <c r="D123" s="293" t="s">
        <v>3462</v>
      </c>
      <c r="E123" s="313" t="s">
        <v>5138</v>
      </c>
      <c r="F123" s="293" t="s">
        <v>5139</v>
      </c>
      <c r="G123" s="298" t="s">
        <v>5160</v>
      </c>
      <c r="H123" s="298" t="s">
        <v>5170</v>
      </c>
    </row>
    <row r="124" spans="1:8">
      <c r="A124" s="293" t="s">
        <v>936</v>
      </c>
      <c r="B124" s="293" t="s">
        <v>937</v>
      </c>
      <c r="C124" s="293" t="s">
        <v>1977</v>
      </c>
      <c r="D124" s="293" t="s">
        <v>1978</v>
      </c>
      <c r="E124" s="313" t="s">
        <v>5134</v>
      </c>
      <c r="F124" s="293" t="s">
        <v>5135</v>
      </c>
      <c r="G124" s="298" t="s">
        <v>5160</v>
      </c>
      <c r="H124" s="298" t="s">
        <v>5167</v>
      </c>
    </row>
    <row r="125" spans="1:8">
      <c r="A125" s="293" t="s">
        <v>936</v>
      </c>
      <c r="B125" s="293" t="s">
        <v>937</v>
      </c>
      <c r="C125" s="293" t="s">
        <v>1979</v>
      </c>
      <c r="D125" s="293" t="s">
        <v>3463</v>
      </c>
      <c r="E125" s="313" t="s">
        <v>5150</v>
      </c>
      <c r="F125" s="293" t="s">
        <v>5151</v>
      </c>
      <c r="G125" s="298" t="s">
        <v>5160</v>
      </c>
      <c r="H125" s="298" t="s">
        <v>5171</v>
      </c>
    </row>
    <row r="126" spans="1:8">
      <c r="A126" s="293" t="s">
        <v>936</v>
      </c>
      <c r="B126" s="293" t="s">
        <v>937</v>
      </c>
      <c r="C126" s="293" t="s">
        <v>3464</v>
      </c>
      <c r="D126" s="293" t="s">
        <v>3465</v>
      </c>
      <c r="E126" s="313" t="s">
        <v>5136</v>
      </c>
      <c r="F126" s="293" t="s">
        <v>5137</v>
      </c>
      <c r="G126" s="298" t="s">
        <v>5162</v>
      </c>
      <c r="H126" s="298" t="s">
        <v>5163</v>
      </c>
    </row>
    <row r="127" spans="1:8">
      <c r="A127" s="293" t="s">
        <v>936</v>
      </c>
      <c r="B127" s="293" t="s">
        <v>937</v>
      </c>
      <c r="C127" s="293" t="s">
        <v>1980</v>
      </c>
      <c r="D127" s="293" t="s">
        <v>1981</v>
      </c>
      <c r="E127" s="313" t="s">
        <v>5138</v>
      </c>
      <c r="F127" s="293" t="s">
        <v>5139</v>
      </c>
      <c r="G127" s="298" t="s">
        <v>5160</v>
      </c>
      <c r="H127" s="298" t="s">
        <v>5170</v>
      </c>
    </row>
    <row r="128" spans="1:8">
      <c r="A128" s="293" t="s">
        <v>936</v>
      </c>
      <c r="B128" s="293" t="s">
        <v>937</v>
      </c>
      <c r="C128" s="293" t="s">
        <v>1982</v>
      </c>
      <c r="D128" s="293" t="s">
        <v>1983</v>
      </c>
      <c r="E128" s="313" t="s">
        <v>5142</v>
      </c>
      <c r="F128" s="293" t="s">
        <v>5143</v>
      </c>
      <c r="G128" s="298" t="s">
        <v>5160</v>
      </c>
      <c r="H128" s="298" t="s">
        <v>5168</v>
      </c>
    </row>
    <row r="129" spans="1:8">
      <c r="A129" s="293" t="s">
        <v>936</v>
      </c>
      <c r="B129" s="293" t="s">
        <v>937</v>
      </c>
      <c r="C129" s="293" t="s">
        <v>1984</v>
      </c>
      <c r="D129" s="293" t="s">
        <v>1985</v>
      </c>
      <c r="E129" s="313" t="s">
        <v>5136</v>
      </c>
      <c r="F129" s="293" t="s">
        <v>5137</v>
      </c>
      <c r="G129" s="298" t="s">
        <v>5162</v>
      </c>
      <c r="H129" s="298" t="s">
        <v>5163</v>
      </c>
    </row>
    <row r="130" spans="1:8">
      <c r="A130" s="293" t="s">
        <v>936</v>
      </c>
      <c r="B130" s="293" t="s">
        <v>937</v>
      </c>
      <c r="C130" s="293" t="s">
        <v>3466</v>
      </c>
      <c r="D130" s="293" t="s">
        <v>3467</v>
      </c>
      <c r="E130" s="313" t="s">
        <v>5150</v>
      </c>
      <c r="F130" s="293" t="s">
        <v>5151</v>
      </c>
      <c r="G130" s="298" t="s">
        <v>5160</v>
      </c>
      <c r="H130" s="298" t="s">
        <v>5171</v>
      </c>
    </row>
    <row r="131" spans="1:8">
      <c r="A131" s="293" t="s">
        <v>936</v>
      </c>
      <c r="B131" s="293" t="s">
        <v>937</v>
      </c>
      <c r="C131" s="293" t="s">
        <v>1989</v>
      </c>
      <c r="D131" s="293" t="s">
        <v>1990</v>
      </c>
      <c r="E131" s="313" t="s">
        <v>5150</v>
      </c>
      <c r="F131" s="293" t="s">
        <v>5151</v>
      </c>
      <c r="G131" s="298" t="s">
        <v>5160</v>
      </c>
      <c r="H131" s="298" t="s">
        <v>5171</v>
      </c>
    </row>
    <row r="132" spans="1:8">
      <c r="A132" s="293" t="s">
        <v>936</v>
      </c>
      <c r="B132" s="293" t="s">
        <v>937</v>
      </c>
      <c r="C132" s="293" t="s">
        <v>1989</v>
      </c>
      <c r="D132" s="293" t="s">
        <v>1990</v>
      </c>
      <c r="E132" s="313" t="s">
        <v>5138</v>
      </c>
      <c r="F132" s="293" t="s">
        <v>5139</v>
      </c>
      <c r="G132" s="298" t="s">
        <v>5160</v>
      </c>
      <c r="H132" s="298" t="s">
        <v>5170</v>
      </c>
    </row>
    <row r="133" spans="1:8">
      <c r="A133" s="293" t="s">
        <v>936</v>
      </c>
      <c r="B133" s="293" t="s">
        <v>937</v>
      </c>
      <c r="C133" s="293" t="s">
        <v>1991</v>
      </c>
      <c r="D133" s="293" t="s">
        <v>3468</v>
      </c>
      <c r="E133" s="313" t="s">
        <v>5138</v>
      </c>
      <c r="F133" s="293" t="s">
        <v>5139</v>
      </c>
      <c r="G133" s="298" t="s">
        <v>5160</v>
      </c>
      <c r="H133" s="298" t="s">
        <v>5170</v>
      </c>
    </row>
    <row r="134" spans="1:8">
      <c r="A134" s="293" t="s">
        <v>936</v>
      </c>
      <c r="B134" s="293" t="s">
        <v>937</v>
      </c>
      <c r="C134" s="293" t="s">
        <v>1992</v>
      </c>
      <c r="D134" s="293" t="s">
        <v>3469</v>
      </c>
      <c r="E134" s="313" t="s">
        <v>5146</v>
      </c>
      <c r="F134" s="293" t="s">
        <v>5147</v>
      </c>
      <c r="G134" s="298" t="s">
        <v>5160</v>
      </c>
      <c r="H134" s="298" t="s">
        <v>5167</v>
      </c>
    </row>
    <row r="135" spans="1:8">
      <c r="A135" s="293" t="s">
        <v>936</v>
      </c>
      <c r="B135" s="293" t="s">
        <v>937</v>
      </c>
      <c r="C135" s="293" t="s">
        <v>3470</v>
      </c>
      <c r="D135" s="293" t="s">
        <v>3471</v>
      </c>
      <c r="E135" s="313" t="s">
        <v>5136</v>
      </c>
      <c r="F135" s="293" t="s">
        <v>5137</v>
      </c>
      <c r="G135" s="298" t="s">
        <v>5162</v>
      </c>
      <c r="H135" s="298" t="s">
        <v>5163</v>
      </c>
    </row>
    <row r="136" spans="1:8">
      <c r="A136" s="293" t="s">
        <v>936</v>
      </c>
      <c r="B136" s="293" t="s">
        <v>937</v>
      </c>
      <c r="C136" s="293" t="s">
        <v>1995</v>
      </c>
      <c r="D136" s="293" t="s">
        <v>1996</v>
      </c>
      <c r="E136" s="313" t="s">
        <v>5134</v>
      </c>
      <c r="F136" s="293" t="s">
        <v>5135</v>
      </c>
      <c r="G136" s="298" t="s">
        <v>5160</v>
      </c>
      <c r="H136" s="298" t="s">
        <v>5167</v>
      </c>
    </row>
    <row r="137" spans="1:8">
      <c r="A137" s="293" t="s">
        <v>936</v>
      </c>
      <c r="B137" s="293" t="s">
        <v>937</v>
      </c>
      <c r="C137" s="293" t="s">
        <v>1997</v>
      </c>
      <c r="D137" s="293" t="s">
        <v>1998</v>
      </c>
      <c r="E137" s="313" t="s">
        <v>5154</v>
      </c>
      <c r="F137" s="293" t="s">
        <v>5155</v>
      </c>
      <c r="G137" s="298" t="s">
        <v>5160</v>
      </c>
      <c r="H137" s="298" t="s">
        <v>5172</v>
      </c>
    </row>
    <row r="138" spans="1:8">
      <c r="A138" s="293" t="s">
        <v>936</v>
      </c>
      <c r="B138" s="293" t="s">
        <v>937</v>
      </c>
      <c r="C138" s="293" t="s">
        <v>2000</v>
      </c>
      <c r="D138" s="293" t="s">
        <v>2001</v>
      </c>
      <c r="E138" s="313" t="s">
        <v>5134</v>
      </c>
      <c r="F138" s="293" t="s">
        <v>5135</v>
      </c>
      <c r="G138" s="298" t="s">
        <v>5160</v>
      </c>
      <c r="H138" s="298" t="s">
        <v>5167</v>
      </c>
    </row>
    <row r="139" spans="1:8">
      <c r="A139" s="293" t="s">
        <v>936</v>
      </c>
      <c r="B139" s="293" t="s">
        <v>937</v>
      </c>
      <c r="C139" s="293" t="s">
        <v>1648</v>
      </c>
      <c r="D139" s="293" t="s">
        <v>1649</v>
      </c>
      <c r="E139" s="313" t="s">
        <v>5150</v>
      </c>
      <c r="F139" s="293" t="s">
        <v>5151</v>
      </c>
      <c r="G139" s="298" t="s">
        <v>5160</v>
      </c>
      <c r="H139" s="298" t="s">
        <v>5171</v>
      </c>
    </row>
    <row r="140" spans="1:8">
      <c r="A140" s="293" t="s">
        <v>936</v>
      </c>
      <c r="B140" s="293" t="s">
        <v>937</v>
      </c>
      <c r="C140" s="293" t="s">
        <v>2002</v>
      </c>
      <c r="D140" s="293" t="s">
        <v>1987</v>
      </c>
      <c r="E140" s="313" t="s">
        <v>5138</v>
      </c>
      <c r="F140" s="293" t="s">
        <v>5139</v>
      </c>
      <c r="G140" s="298" t="s">
        <v>5160</v>
      </c>
      <c r="H140" s="298" t="s">
        <v>5170</v>
      </c>
    </row>
    <row r="141" spans="1:8">
      <c r="A141" s="293" t="s">
        <v>936</v>
      </c>
      <c r="B141" s="293" t="s">
        <v>937</v>
      </c>
      <c r="C141" s="293" t="s">
        <v>2003</v>
      </c>
      <c r="D141" s="293" t="s">
        <v>3472</v>
      </c>
      <c r="E141" s="313" t="s">
        <v>5134</v>
      </c>
      <c r="F141" s="293" t="s">
        <v>5135</v>
      </c>
      <c r="G141" s="298" t="s">
        <v>5160</v>
      </c>
      <c r="H141" s="298" t="s">
        <v>5167</v>
      </c>
    </row>
    <row r="142" spans="1:8">
      <c r="A142" s="293" t="s">
        <v>936</v>
      </c>
      <c r="B142" s="293" t="s">
        <v>937</v>
      </c>
      <c r="C142" s="293" t="s">
        <v>3473</v>
      </c>
      <c r="D142" s="293" t="s">
        <v>3474</v>
      </c>
      <c r="E142" s="313" t="s">
        <v>5136</v>
      </c>
      <c r="F142" s="293" t="s">
        <v>5137</v>
      </c>
      <c r="G142" s="298" t="s">
        <v>5162</v>
      </c>
      <c r="H142" s="298" t="s">
        <v>5163</v>
      </c>
    </row>
    <row r="143" spans="1:8">
      <c r="A143" s="293" t="s">
        <v>936</v>
      </c>
      <c r="B143" s="293" t="s">
        <v>937</v>
      </c>
      <c r="C143" s="293" t="s">
        <v>3475</v>
      </c>
      <c r="D143" s="293" t="s">
        <v>3476</v>
      </c>
      <c r="E143" s="313" t="s">
        <v>5138</v>
      </c>
      <c r="F143" s="293" t="s">
        <v>5139</v>
      </c>
      <c r="G143" s="298" t="s">
        <v>5160</v>
      </c>
      <c r="H143" s="298" t="s">
        <v>5170</v>
      </c>
    </row>
    <row r="144" spans="1:8">
      <c r="A144" s="293" t="s">
        <v>936</v>
      </c>
      <c r="B144" s="293" t="s">
        <v>937</v>
      </c>
      <c r="C144" s="293" t="s">
        <v>952</v>
      </c>
      <c r="D144" s="293" t="s">
        <v>997</v>
      </c>
      <c r="E144" s="313" t="s">
        <v>5154</v>
      </c>
      <c r="F144" s="293" t="s">
        <v>5155</v>
      </c>
      <c r="G144" s="298" t="s">
        <v>5160</v>
      </c>
      <c r="H144" s="298" t="s">
        <v>5172</v>
      </c>
    </row>
    <row r="145" spans="1:8">
      <c r="A145" s="293" t="s">
        <v>936</v>
      </c>
      <c r="B145" s="293" t="s">
        <v>937</v>
      </c>
      <c r="C145" s="293" t="s">
        <v>3477</v>
      </c>
      <c r="D145" s="293" t="s">
        <v>3478</v>
      </c>
      <c r="E145" s="313" t="s">
        <v>5138</v>
      </c>
      <c r="F145" s="293" t="s">
        <v>5139</v>
      </c>
      <c r="G145" s="298" t="s">
        <v>5160</v>
      </c>
      <c r="H145" s="298" t="s">
        <v>5170</v>
      </c>
    </row>
    <row r="146" spans="1:8">
      <c r="A146" s="293" t="s">
        <v>44</v>
      </c>
      <c r="B146" s="293" t="s">
        <v>45</v>
      </c>
      <c r="C146" s="293" t="s">
        <v>48</v>
      </c>
      <c r="D146" s="293" t="s">
        <v>49</v>
      </c>
      <c r="E146" s="313" t="s">
        <v>5142</v>
      </c>
      <c r="F146" s="293" t="s">
        <v>5143</v>
      </c>
      <c r="G146" s="298" t="s">
        <v>5160</v>
      </c>
      <c r="H146" s="298" t="s">
        <v>5168</v>
      </c>
    </row>
    <row r="147" spans="1:8">
      <c r="A147" s="293" t="s">
        <v>44</v>
      </c>
      <c r="B147" s="293" t="s">
        <v>45</v>
      </c>
      <c r="C147" s="293" t="s">
        <v>58</v>
      </c>
      <c r="D147" s="293" t="s">
        <v>59</v>
      </c>
      <c r="E147" s="313" t="s">
        <v>5142</v>
      </c>
      <c r="F147" s="293" t="s">
        <v>5143</v>
      </c>
      <c r="G147" s="298" t="s">
        <v>5160</v>
      </c>
      <c r="H147" s="298" t="s">
        <v>5168</v>
      </c>
    </row>
    <row r="148" spans="1:8" s="136" customFormat="1">
      <c r="A148" s="352" t="s">
        <v>44</v>
      </c>
      <c r="B148" s="352" t="s">
        <v>45</v>
      </c>
      <c r="C148" s="352" t="s">
        <v>61</v>
      </c>
      <c r="D148" s="352" t="s">
        <v>62</v>
      </c>
      <c r="E148" s="353" t="s">
        <v>5142</v>
      </c>
      <c r="F148" s="352" t="s">
        <v>5143</v>
      </c>
      <c r="G148" s="354" t="s">
        <v>5160</v>
      </c>
      <c r="H148" s="354" t="s">
        <v>5168</v>
      </c>
    </row>
    <row r="149" spans="1:8">
      <c r="A149" s="293" t="s">
        <v>44</v>
      </c>
      <c r="B149" s="293" t="s">
        <v>45</v>
      </c>
      <c r="C149" s="293" t="s">
        <v>63</v>
      </c>
      <c r="D149" s="293" t="s">
        <v>64</v>
      </c>
      <c r="E149" s="313" t="s">
        <v>5142</v>
      </c>
      <c r="F149" s="293" t="s">
        <v>5143</v>
      </c>
      <c r="G149" s="298" t="s">
        <v>5160</v>
      </c>
      <c r="H149" s="298" t="s">
        <v>5168</v>
      </c>
    </row>
    <row r="150" spans="1:8">
      <c r="A150" s="293" t="s">
        <v>44</v>
      </c>
      <c r="B150" s="293" t="s">
        <v>45</v>
      </c>
      <c r="C150" s="293" t="s">
        <v>670</v>
      </c>
      <c r="D150" s="293" t="s">
        <v>671</v>
      </c>
      <c r="E150" s="313" t="s">
        <v>5142</v>
      </c>
      <c r="F150" s="293" t="s">
        <v>5143</v>
      </c>
      <c r="G150" s="298" t="s">
        <v>5160</v>
      </c>
      <c r="H150" s="298" t="s">
        <v>5168</v>
      </c>
    </row>
    <row r="151" spans="1:8">
      <c r="A151" s="293" t="s">
        <v>44</v>
      </c>
      <c r="B151" s="293" t="s">
        <v>45</v>
      </c>
      <c r="C151" s="293" t="s">
        <v>68</v>
      </c>
      <c r="D151" s="293" t="s">
        <v>69</v>
      </c>
      <c r="E151" s="313" t="s">
        <v>5142</v>
      </c>
      <c r="F151" s="293" t="s">
        <v>5143</v>
      </c>
      <c r="G151" s="298" t="s">
        <v>5160</v>
      </c>
      <c r="H151" s="298" t="s">
        <v>5168</v>
      </c>
    </row>
    <row r="152" spans="1:8">
      <c r="A152" s="293" t="s">
        <v>44</v>
      </c>
      <c r="B152" s="293" t="s">
        <v>45</v>
      </c>
      <c r="C152" s="293" t="s">
        <v>70</v>
      </c>
      <c r="D152" s="293" t="s">
        <v>71</v>
      </c>
      <c r="E152" s="313" t="s">
        <v>5142</v>
      </c>
      <c r="F152" s="293" t="s">
        <v>5143</v>
      </c>
      <c r="G152" s="298" t="s">
        <v>5160</v>
      </c>
      <c r="H152" s="298" t="s">
        <v>5168</v>
      </c>
    </row>
    <row r="153" spans="1:8">
      <c r="A153" s="293" t="s">
        <v>44</v>
      </c>
      <c r="B153" s="293" t="s">
        <v>45</v>
      </c>
      <c r="C153" s="293" t="s">
        <v>72</v>
      </c>
      <c r="D153" s="293" t="s">
        <v>73</v>
      </c>
      <c r="E153" s="313" t="s">
        <v>5142</v>
      </c>
      <c r="F153" s="293" t="s">
        <v>5143</v>
      </c>
      <c r="G153" s="298" t="s">
        <v>5160</v>
      </c>
      <c r="H153" s="298" t="s">
        <v>5168</v>
      </c>
    </row>
    <row r="154" spans="1:8">
      <c r="A154" s="293" t="s">
        <v>44</v>
      </c>
      <c r="B154" s="293" t="s">
        <v>45</v>
      </c>
      <c r="C154" s="293" t="s">
        <v>75</v>
      </c>
      <c r="D154" s="293" t="s">
        <v>76</v>
      </c>
      <c r="E154" s="313" t="s">
        <v>5142</v>
      </c>
      <c r="F154" s="293" t="s">
        <v>5143</v>
      </c>
      <c r="G154" s="298" t="s">
        <v>5160</v>
      </c>
      <c r="H154" s="298" t="s">
        <v>5168</v>
      </c>
    </row>
    <row r="155" spans="1:8">
      <c r="A155" s="293" t="s">
        <v>44</v>
      </c>
      <c r="B155" s="293" t="s">
        <v>45</v>
      </c>
      <c r="C155" s="293" t="s">
        <v>674</v>
      </c>
      <c r="D155" s="293" t="s">
        <v>675</v>
      </c>
      <c r="E155" s="313" t="s">
        <v>5142</v>
      </c>
      <c r="F155" s="293" t="s">
        <v>5143</v>
      </c>
      <c r="G155" s="298" t="s">
        <v>5160</v>
      </c>
      <c r="H155" s="298" t="s">
        <v>5168</v>
      </c>
    </row>
    <row r="156" spans="1:8">
      <c r="A156" s="293" t="s">
        <v>44</v>
      </c>
      <c r="B156" s="293" t="s">
        <v>45</v>
      </c>
      <c r="C156" s="293" t="s">
        <v>1868</v>
      </c>
      <c r="D156" s="293" t="s">
        <v>929</v>
      </c>
      <c r="E156" s="313" t="s">
        <v>5142</v>
      </c>
      <c r="F156" s="293" t="s">
        <v>5143</v>
      </c>
      <c r="G156" s="298" t="s">
        <v>5160</v>
      </c>
      <c r="H156" s="298" t="s">
        <v>5168</v>
      </c>
    </row>
    <row r="157" spans="1:8">
      <c r="A157" s="293" t="s">
        <v>44</v>
      </c>
      <c r="B157" s="293" t="s">
        <v>45</v>
      </c>
      <c r="C157" s="293" t="s">
        <v>930</v>
      </c>
      <c r="D157" s="293" t="s">
        <v>931</v>
      </c>
      <c r="E157" s="313" t="s">
        <v>5142</v>
      </c>
      <c r="F157" s="293" t="s">
        <v>5143</v>
      </c>
      <c r="G157" s="298" t="s">
        <v>5160</v>
      </c>
      <c r="H157" s="298" t="s">
        <v>5168</v>
      </c>
    </row>
    <row r="158" spans="1:8">
      <c r="A158" s="293" t="s">
        <v>44</v>
      </c>
      <c r="B158" s="293" t="s">
        <v>45</v>
      </c>
      <c r="C158" s="293" t="s">
        <v>676</v>
      </c>
      <c r="D158" s="293" t="s">
        <v>677</v>
      </c>
      <c r="E158" s="313" t="s">
        <v>5142</v>
      </c>
      <c r="F158" s="293" t="s">
        <v>5143</v>
      </c>
      <c r="G158" s="298" t="s">
        <v>5160</v>
      </c>
      <c r="H158" s="298" t="s">
        <v>5168</v>
      </c>
    </row>
    <row r="159" spans="1:8" s="136" customFormat="1">
      <c r="A159" s="352" t="s">
        <v>44</v>
      </c>
      <c r="B159" s="352" t="s">
        <v>45</v>
      </c>
      <c r="C159" s="352" t="s">
        <v>668</v>
      </c>
      <c r="D159" s="352" t="s">
        <v>669</v>
      </c>
      <c r="E159" s="353" t="s">
        <v>5142</v>
      </c>
      <c r="F159" s="352" t="s">
        <v>5143</v>
      </c>
      <c r="G159" s="354" t="s">
        <v>5160</v>
      </c>
      <c r="H159" s="354" t="s">
        <v>5168</v>
      </c>
    </row>
    <row r="160" spans="1:8" s="136" customFormat="1">
      <c r="A160" s="352" t="s">
        <v>44</v>
      </c>
      <c r="B160" s="352" t="s">
        <v>45</v>
      </c>
      <c r="C160" s="352" t="s">
        <v>91</v>
      </c>
      <c r="D160" s="352" t="s">
        <v>1732</v>
      </c>
      <c r="E160" s="353" t="s">
        <v>5142</v>
      </c>
      <c r="F160" s="352" t="s">
        <v>5143</v>
      </c>
      <c r="G160" s="354" t="s">
        <v>5160</v>
      </c>
      <c r="H160" s="354" t="s">
        <v>5168</v>
      </c>
    </row>
    <row r="161" spans="1:8">
      <c r="A161" s="293" t="s">
        <v>44</v>
      </c>
      <c r="B161" s="293" t="s">
        <v>45</v>
      </c>
      <c r="C161" s="293" t="s">
        <v>115</v>
      </c>
      <c r="D161" s="293" t="s">
        <v>1733</v>
      </c>
      <c r="E161" s="313" t="s">
        <v>5142</v>
      </c>
      <c r="F161" s="293" t="s">
        <v>5143</v>
      </c>
      <c r="G161" s="298" t="s">
        <v>5160</v>
      </c>
      <c r="H161" s="298" t="s">
        <v>5168</v>
      </c>
    </row>
    <row r="162" spans="1:8">
      <c r="A162" s="293" t="s">
        <v>44</v>
      </c>
      <c r="B162" s="293" t="s">
        <v>45</v>
      </c>
      <c r="C162" s="293" t="s">
        <v>1903</v>
      </c>
      <c r="D162" s="293" t="s">
        <v>1904</v>
      </c>
      <c r="E162" s="313" t="s">
        <v>5142</v>
      </c>
      <c r="F162" s="293" t="s">
        <v>5143</v>
      </c>
      <c r="G162" s="298" t="s">
        <v>5160</v>
      </c>
      <c r="H162" s="298" t="s">
        <v>5168</v>
      </c>
    </row>
    <row r="163" spans="1:8">
      <c r="A163" s="293" t="s">
        <v>44</v>
      </c>
      <c r="B163" s="293" t="s">
        <v>45</v>
      </c>
      <c r="C163" s="293" t="s">
        <v>122</v>
      </c>
      <c r="D163" s="293" t="s">
        <v>1734</v>
      </c>
      <c r="E163" s="313" t="s">
        <v>5142</v>
      </c>
      <c r="F163" s="293" t="s">
        <v>5143</v>
      </c>
      <c r="G163" s="298" t="s">
        <v>5160</v>
      </c>
      <c r="H163" s="298" t="s">
        <v>5168</v>
      </c>
    </row>
    <row r="164" spans="1:8">
      <c r="A164" s="293" t="s">
        <v>44</v>
      </c>
      <c r="B164" s="293" t="s">
        <v>45</v>
      </c>
      <c r="C164" s="293" t="s">
        <v>128</v>
      </c>
      <c r="D164" s="293" t="s">
        <v>1735</v>
      </c>
      <c r="E164" s="313" t="s">
        <v>5142</v>
      </c>
      <c r="F164" s="293" t="s">
        <v>5143</v>
      </c>
      <c r="G164" s="298" t="s">
        <v>5160</v>
      </c>
      <c r="H164" s="298" t="s">
        <v>5168</v>
      </c>
    </row>
    <row r="165" spans="1:8">
      <c r="A165" s="293" t="s">
        <v>44</v>
      </c>
      <c r="B165" s="293" t="s">
        <v>45</v>
      </c>
      <c r="C165" s="293" t="s">
        <v>130</v>
      </c>
      <c r="D165" s="293" t="s">
        <v>1736</v>
      </c>
      <c r="E165" s="313" t="s">
        <v>5142</v>
      </c>
      <c r="F165" s="293" t="s">
        <v>5143</v>
      </c>
      <c r="G165" s="298" t="s">
        <v>5160</v>
      </c>
      <c r="H165" s="298" t="s">
        <v>5168</v>
      </c>
    </row>
    <row r="166" spans="1:8">
      <c r="A166" s="293" t="s">
        <v>44</v>
      </c>
      <c r="B166" s="293" t="s">
        <v>45</v>
      </c>
      <c r="C166" s="293" t="s">
        <v>132</v>
      </c>
      <c r="D166" s="293" t="s">
        <v>1905</v>
      </c>
      <c r="E166" s="313" t="s">
        <v>5142</v>
      </c>
      <c r="F166" s="293" t="s">
        <v>5143</v>
      </c>
      <c r="G166" s="298" t="s">
        <v>5160</v>
      </c>
      <c r="H166" s="298" t="s">
        <v>5168</v>
      </c>
    </row>
    <row r="167" spans="1:8">
      <c r="A167" s="293" t="s">
        <v>44</v>
      </c>
      <c r="B167" s="293" t="s">
        <v>45</v>
      </c>
      <c r="C167" s="293" t="s">
        <v>136</v>
      </c>
      <c r="D167" s="293" t="s">
        <v>1906</v>
      </c>
      <c r="E167" s="313" t="s">
        <v>5142</v>
      </c>
      <c r="F167" s="293" t="s">
        <v>5143</v>
      </c>
      <c r="G167" s="298" t="s">
        <v>5160</v>
      </c>
      <c r="H167" s="298" t="s">
        <v>5168</v>
      </c>
    </row>
    <row r="168" spans="1:8">
      <c r="A168" s="293" t="s">
        <v>44</v>
      </c>
      <c r="B168" s="293" t="s">
        <v>45</v>
      </c>
      <c r="C168" s="293" t="s">
        <v>1650</v>
      </c>
      <c r="D168" s="293" t="s">
        <v>1651</v>
      </c>
      <c r="E168" s="313" t="s">
        <v>5142</v>
      </c>
      <c r="F168" s="293" t="s">
        <v>5143</v>
      </c>
      <c r="G168" s="298" t="s">
        <v>5160</v>
      </c>
      <c r="H168" s="298" t="s">
        <v>5168</v>
      </c>
    </row>
    <row r="169" spans="1:8">
      <c r="A169" s="293" t="s">
        <v>44</v>
      </c>
      <c r="B169" s="293" t="s">
        <v>45</v>
      </c>
      <c r="C169" s="293" t="s">
        <v>140</v>
      </c>
      <c r="D169" s="293" t="s">
        <v>141</v>
      </c>
      <c r="E169" s="313" t="s">
        <v>5142</v>
      </c>
      <c r="F169" s="293" t="s">
        <v>5143</v>
      </c>
      <c r="G169" s="298" t="s">
        <v>5160</v>
      </c>
      <c r="H169" s="298" t="s">
        <v>5168</v>
      </c>
    </row>
    <row r="170" spans="1:8">
      <c r="A170" s="293" t="s">
        <v>44</v>
      </c>
      <c r="B170" s="293" t="s">
        <v>45</v>
      </c>
      <c r="C170" s="293" t="s">
        <v>140</v>
      </c>
      <c r="D170" s="293" t="s">
        <v>141</v>
      </c>
      <c r="E170" s="313" t="s">
        <v>5152</v>
      </c>
      <c r="F170" s="293" t="s">
        <v>5153</v>
      </c>
      <c r="G170" s="298" t="s">
        <v>5160</v>
      </c>
      <c r="H170" s="298" t="s">
        <v>5173</v>
      </c>
    </row>
    <row r="171" spans="1:8">
      <c r="A171" s="293" t="s">
        <v>44</v>
      </c>
      <c r="B171" s="293" t="s">
        <v>45</v>
      </c>
      <c r="C171" s="293" t="s">
        <v>142</v>
      </c>
      <c r="D171" s="293" t="s">
        <v>1737</v>
      </c>
      <c r="E171" s="313" t="s">
        <v>5142</v>
      </c>
      <c r="F171" s="293" t="s">
        <v>5143</v>
      </c>
      <c r="G171" s="298" t="s">
        <v>5160</v>
      </c>
      <c r="H171" s="298" t="s">
        <v>5168</v>
      </c>
    </row>
    <row r="172" spans="1:8">
      <c r="A172" s="293" t="s">
        <v>44</v>
      </c>
      <c r="B172" s="293" t="s">
        <v>45</v>
      </c>
      <c r="C172" s="293" t="s">
        <v>143</v>
      </c>
      <c r="D172" s="293" t="s">
        <v>1229</v>
      </c>
      <c r="E172" s="313" t="s">
        <v>5142</v>
      </c>
      <c r="F172" s="293" t="s">
        <v>5143</v>
      </c>
      <c r="G172" s="298" t="s">
        <v>5160</v>
      </c>
      <c r="H172" s="298" t="s">
        <v>5168</v>
      </c>
    </row>
    <row r="173" spans="1:8">
      <c r="A173" s="293" t="s">
        <v>44</v>
      </c>
      <c r="B173" s="293" t="s">
        <v>45</v>
      </c>
      <c r="C173" s="293" t="s">
        <v>172</v>
      </c>
      <c r="D173" s="293" t="s">
        <v>1230</v>
      </c>
      <c r="E173" s="313" t="s">
        <v>5142</v>
      </c>
      <c r="F173" s="293" t="s">
        <v>5143</v>
      </c>
      <c r="G173" s="298" t="s">
        <v>5160</v>
      </c>
      <c r="H173" s="298" t="s">
        <v>5168</v>
      </c>
    </row>
    <row r="174" spans="1:8" s="136" customFormat="1">
      <c r="A174" s="352" t="s">
        <v>44</v>
      </c>
      <c r="B174" s="352" t="s">
        <v>45</v>
      </c>
      <c r="C174" s="352" t="s">
        <v>175</v>
      </c>
      <c r="D174" s="352" t="s">
        <v>1231</v>
      </c>
      <c r="E174" s="353" t="s">
        <v>5142</v>
      </c>
      <c r="F174" s="352" t="s">
        <v>5143</v>
      </c>
      <c r="G174" s="354" t="s">
        <v>5160</v>
      </c>
      <c r="H174" s="354" t="s">
        <v>5168</v>
      </c>
    </row>
    <row r="175" spans="1:8">
      <c r="A175" s="293" t="s">
        <v>44</v>
      </c>
      <c r="B175" s="293" t="s">
        <v>45</v>
      </c>
      <c r="C175" s="293" t="s">
        <v>178</v>
      </c>
      <c r="D175" s="293" t="s">
        <v>1232</v>
      </c>
      <c r="E175" s="313" t="s">
        <v>5142</v>
      </c>
      <c r="F175" s="293" t="s">
        <v>5143</v>
      </c>
      <c r="G175" s="298" t="s">
        <v>5160</v>
      </c>
      <c r="H175" s="298" t="s">
        <v>5168</v>
      </c>
    </row>
    <row r="176" spans="1:8">
      <c r="A176" s="293" t="s">
        <v>44</v>
      </c>
      <c r="B176" s="293" t="s">
        <v>45</v>
      </c>
      <c r="C176" s="293" t="s">
        <v>181</v>
      </c>
      <c r="D176" s="293" t="s">
        <v>1233</v>
      </c>
      <c r="E176" s="313" t="s">
        <v>5142</v>
      </c>
      <c r="F176" s="293" t="s">
        <v>5143</v>
      </c>
      <c r="G176" s="298" t="s">
        <v>5160</v>
      </c>
      <c r="H176" s="298" t="s">
        <v>5168</v>
      </c>
    </row>
    <row r="177" spans="1:8">
      <c r="A177" s="293" t="s">
        <v>44</v>
      </c>
      <c r="B177" s="293" t="s">
        <v>45</v>
      </c>
      <c r="C177" s="293" t="s">
        <v>182</v>
      </c>
      <c r="D177" s="293" t="s">
        <v>1234</v>
      </c>
      <c r="E177" s="313" t="s">
        <v>5142</v>
      </c>
      <c r="F177" s="293" t="s">
        <v>5143</v>
      </c>
      <c r="G177" s="298" t="s">
        <v>5160</v>
      </c>
      <c r="H177" s="298" t="s">
        <v>5168</v>
      </c>
    </row>
    <row r="178" spans="1:8">
      <c r="A178" s="293" t="s">
        <v>44</v>
      </c>
      <c r="B178" s="293" t="s">
        <v>45</v>
      </c>
      <c r="C178" s="293" t="s">
        <v>184</v>
      </c>
      <c r="D178" s="293" t="s">
        <v>1235</v>
      </c>
      <c r="E178" s="313" t="s">
        <v>5142</v>
      </c>
      <c r="F178" s="293" t="s">
        <v>5143</v>
      </c>
      <c r="G178" s="298" t="s">
        <v>5160</v>
      </c>
      <c r="H178" s="298" t="s">
        <v>5168</v>
      </c>
    </row>
    <row r="179" spans="1:8">
      <c r="A179" s="293" t="s">
        <v>44</v>
      </c>
      <c r="B179" s="293" t="s">
        <v>45</v>
      </c>
      <c r="C179" s="293" t="s">
        <v>189</v>
      </c>
      <c r="D179" s="293" t="s">
        <v>1236</v>
      </c>
      <c r="E179" s="313" t="s">
        <v>5142</v>
      </c>
      <c r="F179" s="293" t="s">
        <v>5143</v>
      </c>
      <c r="G179" s="298" t="s">
        <v>5160</v>
      </c>
      <c r="H179" s="298" t="s">
        <v>5168</v>
      </c>
    </row>
    <row r="180" spans="1:8">
      <c r="A180" s="293" t="s">
        <v>44</v>
      </c>
      <c r="B180" s="293" t="s">
        <v>45</v>
      </c>
      <c r="C180" s="293" t="s">
        <v>190</v>
      </c>
      <c r="D180" s="293" t="s">
        <v>1237</v>
      </c>
      <c r="E180" s="313" t="s">
        <v>5142</v>
      </c>
      <c r="F180" s="293" t="s">
        <v>5143</v>
      </c>
      <c r="G180" s="298" t="s">
        <v>5160</v>
      </c>
      <c r="H180" s="298" t="s">
        <v>5168</v>
      </c>
    </row>
    <row r="181" spans="1:8">
      <c r="A181" s="293" t="s">
        <v>44</v>
      </c>
      <c r="B181" s="293" t="s">
        <v>45</v>
      </c>
      <c r="C181" s="293" t="s">
        <v>1907</v>
      </c>
      <c r="D181" s="293" t="s">
        <v>1908</v>
      </c>
      <c r="E181" s="313" t="s">
        <v>5142</v>
      </c>
      <c r="F181" s="293" t="s">
        <v>5143</v>
      </c>
      <c r="G181" s="298" t="s">
        <v>5160</v>
      </c>
      <c r="H181" s="298" t="s">
        <v>5168</v>
      </c>
    </row>
    <row r="182" spans="1:8">
      <c r="A182" s="293" t="s">
        <v>44</v>
      </c>
      <c r="B182" s="293" t="s">
        <v>45</v>
      </c>
      <c r="C182" s="293" t="s">
        <v>666</v>
      </c>
      <c r="D182" s="293" t="s">
        <v>667</v>
      </c>
      <c r="E182" s="313" t="s">
        <v>5142</v>
      </c>
      <c r="F182" s="293" t="s">
        <v>5143</v>
      </c>
      <c r="G182" s="298" t="s">
        <v>5160</v>
      </c>
      <c r="H182" s="298" t="s">
        <v>5168</v>
      </c>
    </row>
    <row r="183" spans="1:8">
      <c r="A183" s="293" t="s">
        <v>44</v>
      </c>
      <c r="B183" s="293" t="s">
        <v>45</v>
      </c>
      <c r="C183" s="293" t="s">
        <v>1652</v>
      </c>
      <c r="D183" s="293" t="s">
        <v>1909</v>
      </c>
      <c r="E183" s="313" t="s">
        <v>5142</v>
      </c>
      <c r="F183" s="293" t="s">
        <v>5143</v>
      </c>
      <c r="G183" s="298" t="s">
        <v>5160</v>
      </c>
      <c r="H183" s="298" t="s">
        <v>5168</v>
      </c>
    </row>
    <row r="184" spans="1:8">
      <c r="A184" s="293" t="s">
        <v>44</v>
      </c>
      <c r="B184" s="293" t="s">
        <v>45</v>
      </c>
      <c r="C184" s="293" t="s">
        <v>1739</v>
      </c>
      <c r="D184" s="293" t="s">
        <v>1910</v>
      </c>
      <c r="E184" s="313" t="s">
        <v>5142</v>
      </c>
      <c r="F184" s="293" t="s">
        <v>5143</v>
      </c>
      <c r="G184" s="298" t="s">
        <v>5160</v>
      </c>
      <c r="H184" s="298" t="s">
        <v>5168</v>
      </c>
    </row>
    <row r="185" spans="1:8">
      <c r="A185" s="293" t="s">
        <v>44</v>
      </c>
      <c r="B185" s="293" t="s">
        <v>45</v>
      </c>
      <c r="C185" s="293" t="s">
        <v>1911</v>
      </c>
      <c r="D185" s="293" t="s">
        <v>1912</v>
      </c>
      <c r="E185" s="313" t="s">
        <v>5142</v>
      </c>
      <c r="F185" s="293" t="s">
        <v>5143</v>
      </c>
      <c r="G185" s="298" t="s">
        <v>5160</v>
      </c>
      <c r="H185" s="298" t="s">
        <v>5168</v>
      </c>
    </row>
    <row r="186" spans="1:8">
      <c r="A186" s="293" t="s">
        <v>44</v>
      </c>
      <c r="B186" s="293" t="s">
        <v>45</v>
      </c>
      <c r="C186" s="293" t="s">
        <v>1913</v>
      </c>
      <c r="D186" s="293" t="s">
        <v>1914</v>
      </c>
      <c r="E186" s="313" t="s">
        <v>5142</v>
      </c>
      <c r="F186" s="293" t="s">
        <v>5143</v>
      </c>
      <c r="G186" s="298" t="s">
        <v>5160</v>
      </c>
      <c r="H186" s="298" t="s">
        <v>5168</v>
      </c>
    </row>
    <row r="187" spans="1:8">
      <c r="A187" s="293" t="s">
        <v>44</v>
      </c>
      <c r="B187" s="293" t="s">
        <v>45</v>
      </c>
      <c r="C187" s="293" t="s">
        <v>3479</v>
      </c>
      <c r="D187" s="293" t="s">
        <v>3480</v>
      </c>
      <c r="E187" s="313" t="s">
        <v>5142</v>
      </c>
      <c r="F187" s="293" t="s">
        <v>5143</v>
      </c>
      <c r="G187" s="298" t="s">
        <v>5160</v>
      </c>
      <c r="H187" s="298" t="s">
        <v>5168</v>
      </c>
    </row>
    <row r="188" spans="1:8">
      <c r="A188" s="293" t="s">
        <v>44</v>
      </c>
      <c r="B188" s="293" t="s">
        <v>45</v>
      </c>
      <c r="C188" s="293" t="s">
        <v>672</v>
      </c>
      <c r="D188" s="293" t="s">
        <v>673</v>
      </c>
      <c r="E188" s="313" t="s">
        <v>5142</v>
      </c>
      <c r="F188" s="293" t="s">
        <v>5143</v>
      </c>
      <c r="G188" s="298" t="s">
        <v>5160</v>
      </c>
      <c r="H188" s="298" t="s">
        <v>5168</v>
      </c>
    </row>
    <row r="189" spans="1:8">
      <c r="A189" s="293" t="s">
        <v>44</v>
      </c>
      <c r="B189" s="293" t="s">
        <v>45</v>
      </c>
      <c r="C189" s="293" t="s">
        <v>229</v>
      </c>
      <c r="D189" s="293" t="s">
        <v>1647</v>
      </c>
      <c r="E189" s="313" t="s">
        <v>5142</v>
      </c>
      <c r="F189" s="293" t="s">
        <v>5143</v>
      </c>
      <c r="G189" s="298" t="s">
        <v>5160</v>
      </c>
      <c r="H189" s="298" t="s">
        <v>5168</v>
      </c>
    </row>
    <row r="190" spans="1:8">
      <c r="A190" s="293" t="s">
        <v>44</v>
      </c>
      <c r="B190" s="293" t="s">
        <v>45</v>
      </c>
      <c r="C190" s="293" t="s">
        <v>679</v>
      </c>
      <c r="D190" s="293" t="s">
        <v>680</v>
      </c>
      <c r="E190" s="313" t="s">
        <v>5142</v>
      </c>
      <c r="F190" s="293" t="s">
        <v>5143</v>
      </c>
      <c r="G190" s="298" t="s">
        <v>5160</v>
      </c>
      <c r="H190" s="298" t="s">
        <v>5168</v>
      </c>
    </row>
    <row r="191" spans="1:8">
      <c r="A191" s="293" t="s">
        <v>44</v>
      </c>
      <c r="B191" s="293" t="s">
        <v>45</v>
      </c>
      <c r="C191" s="293" t="s">
        <v>1993</v>
      </c>
      <c r="D191" s="293" t="s">
        <v>1987</v>
      </c>
      <c r="E191" s="313" t="s">
        <v>5142</v>
      </c>
      <c r="F191" s="293" t="s">
        <v>5143</v>
      </c>
      <c r="G191" s="298" t="s">
        <v>5160</v>
      </c>
      <c r="H191" s="298" t="s">
        <v>5168</v>
      </c>
    </row>
    <row r="192" spans="1:8">
      <c r="A192" s="293" t="s">
        <v>44</v>
      </c>
      <c r="B192" s="293" t="s">
        <v>45</v>
      </c>
      <c r="C192" s="293" t="s">
        <v>1994</v>
      </c>
      <c r="D192" s="293" t="s">
        <v>3468</v>
      </c>
      <c r="E192" s="313" t="s">
        <v>5142</v>
      </c>
      <c r="F192" s="293" t="s">
        <v>5143</v>
      </c>
      <c r="G192" s="298" t="s">
        <v>5160</v>
      </c>
      <c r="H192" s="298" t="s">
        <v>5168</v>
      </c>
    </row>
    <row r="193" spans="1:8">
      <c r="A193" s="293" t="s">
        <v>44</v>
      </c>
      <c r="B193" s="293" t="s">
        <v>45</v>
      </c>
      <c r="C193" s="293" t="s">
        <v>3481</v>
      </c>
      <c r="D193" s="293" t="s">
        <v>3482</v>
      </c>
      <c r="E193" s="313" t="s">
        <v>5142</v>
      </c>
      <c r="F193" s="293" t="s">
        <v>5143</v>
      </c>
      <c r="G193" s="298" t="s">
        <v>5160</v>
      </c>
      <c r="H193" s="298" t="s">
        <v>5168</v>
      </c>
    </row>
    <row r="194" spans="1:8">
      <c r="A194" s="293" t="s">
        <v>532</v>
      </c>
      <c r="B194" s="293" t="s">
        <v>932</v>
      </c>
      <c r="C194" s="293" t="s">
        <v>683</v>
      </c>
      <c r="D194" s="293" t="s">
        <v>684</v>
      </c>
      <c r="E194" s="313" t="s">
        <v>5136</v>
      </c>
      <c r="F194" s="293" t="s">
        <v>5137</v>
      </c>
      <c r="G194" s="298" t="s">
        <v>5162</v>
      </c>
      <c r="H194" s="298" t="s">
        <v>5163</v>
      </c>
    </row>
    <row r="195" spans="1:8">
      <c r="A195" s="293" t="s">
        <v>532</v>
      </c>
      <c r="B195" s="293" t="s">
        <v>932</v>
      </c>
      <c r="C195" s="293" t="s">
        <v>685</v>
      </c>
      <c r="D195" s="293" t="s">
        <v>686</v>
      </c>
      <c r="E195" s="313" t="s">
        <v>5136</v>
      </c>
      <c r="F195" s="293" t="s">
        <v>5137</v>
      </c>
      <c r="G195" s="298" t="s">
        <v>5162</v>
      </c>
      <c r="H195" s="298" t="s">
        <v>5163</v>
      </c>
    </row>
    <row r="196" spans="1:8">
      <c r="A196" s="293" t="s">
        <v>532</v>
      </c>
      <c r="B196" s="293" t="s">
        <v>932</v>
      </c>
      <c r="C196" s="293" t="s">
        <v>933</v>
      </c>
      <c r="D196" s="293" t="s">
        <v>934</v>
      </c>
      <c r="E196" s="313" t="s">
        <v>5136</v>
      </c>
      <c r="F196" s="293" t="s">
        <v>5137</v>
      </c>
      <c r="G196" s="298" t="s">
        <v>5162</v>
      </c>
      <c r="H196" s="298" t="s">
        <v>5163</v>
      </c>
    </row>
    <row r="197" spans="1:8">
      <c r="A197" s="293" t="s">
        <v>532</v>
      </c>
      <c r="B197" s="293" t="s">
        <v>932</v>
      </c>
      <c r="C197" s="293" t="s">
        <v>687</v>
      </c>
      <c r="D197" s="293" t="s">
        <v>688</v>
      </c>
      <c r="E197" s="313" t="s">
        <v>5136</v>
      </c>
      <c r="F197" s="293" t="s">
        <v>5137</v>
      </c>
      <c r="G197" s="298" t="s">
        <v>5162</v>
      </c>
      <c r="H197" s="298" t="s">
        <v>5163</v>
      </c>
    </row>
    <row r="198" spans="1:8">
      <c r="A198" s="293" t="s">
        <v>532</v>
      </c>
      <c r="B198" s="293" t="s">
        <v>932</v>
      </c>
      <c r="C198" s="293" t="s">
        <v>935</v>
      </c>
      <c r="D198" s="293" t="s">
        <v>929</v>
      </c>
      <c r="E198" s="313" t="s">
        <v>5136</v>
      </c>
      <c r="F198" s="293" t="s">
        <v>5137</v>
      </c>
      <c r="G198" s="298" t="s">
        <v>5162</v>
      </c>
      <c r="H198" s="298" t="s">
        <v>5163</v>
      </c>
    </row>
    <row r="199" spans="1:8">
      <c r="A199" s="293" t="s">
        <v>532</v>
      </c>
      <c r="B199" s="293" t="s">
        <v>932</v>
      </c>
      <c r="C199" s="293" t="s">
        <v>689</v>
      </c>
      <c r="D199" s="293" t="s">
        <v>1738</v>
      </c>
      <c r="E199" s="313" t="s">
        <v>5136</v>
      </c>
      <c r="F199" s="293" t="s">
        <v>5137</v>
      </c>
      <c r="G199" s="298" t="s">
        <v>5162</v>
      </c>
      <c r="H199" s="298" t="s">
        <v>5163</v>
      </c>
    </row>
    <row r="200" spans="1:8">
      <c r="A200" s="293" t="s">
        <v>532</v>
      </c>
      <c r="B200" s="293" t="s">
        <v>932</v>
      </c>
      <c r="C200" s="293" t="s">
        <v>690</v>
      </c>
      <c r="D200" s="293" t="s">
        <v>1238</v>
      </c>
      <c r="E200" s="313" t="s">
        <v>5136</v>
      </c>
      <c r="F200" s="293" t="s">
        <v>5137</v>
      </c>
      <c r="G200" s="298" t="s">
        <v>5162</v>
      </c>
      <c r="H200" s="298" t="s">
        <v>5163</v>
      </c>
    </row>
    <row r="201" spans="1:8">
      <c r="A201" s="293" t="s">
        <v>532</v>
      </c>
      <c r="B201" s="293" t="s">
        <v>932</v>
      </c>
      <c r="C201" s="293" t="s">
        <v>691</v>
      </c>
      <c r="D201" s="293" t="s">
        <v>692</v>
      </c>
      <c r="E201" s="313" t="s">
        <v>5136</v>
      </c>
      <c r="F201" s="293" t="s">
        <v>5137</v>
      </c>
      <c r="G201" s="298" t="s">
        <v>5162</v>
      </c>
      <c r="H201" s="298" t="s">
        <v>5163</v>
      </c>
    </row>
    <row r="202" spans="1:8">
      <c r="A202" s="293" t="s">
        <v>532</v>
      </c>
      <c r="B202" s="293" t="s">
        <v>932</v>
      </c>
      <c r="C202" s="293" t="s">
        <v>693</v>
      </c>
      <c r="D202" s="293" t="s">
        <v>678</v>
      </c>
      <c r="E202" s="313" t="s">
        <v>5136</v>
      </c>
      <c r="F202" s="293" t="s">
        <v>5137</v>
      </c>
      <c r="G202" s="298" t="s">
        <v>5162</v>
      </c>
      <c r="H202" s="298" t="s">
        <v>5163</v>
      </c>
    </row>
    <row r="203" spans="1:8">
      <c r="A203" s="293" t="s">
        <v>532</v>
      </c>
      <c r="B203" s="293" t="s">
        <v>932</v>
      </c>
      <c r="C203" s="293" t="s">
        <v>1986</v>
      </c>
      <c r="D203" s="293" t="s">
        <v>1987</v>
      </c>
      <c r="E203" s="313" t="s">
        <v>5136</v>
      </c>
      <c r="F203" s="293" t="s">
        <v>5137</v>
      </c>
      <c r="G203" s="298" t="s">
        <v>5162</v>
      </c>
      <c r="H203" s="298" t="s">
        <v>5163</v>
      </c>
    </row>
    <row r="204" spans="1:8">
      <c r="A204" s="293" t="s">
        <v>532</v>
      </c>
      <c r="B204" s="293" t="s">
        <v>932</v>
      </c>
      <c r="C204" s="293" t="s">
        <v>1988</v>
      </c>
      <c r="D204" s="293" t="s">
        <v>3468</v>
      </c>
      <c r="E204" s="313" t="s">
        <v>5136</v>
      </c>
      <c r="F204" s="293" t="s">
        <v>5137</v>
      </c>
      <c r="G204" s="298" t="s">
        <v>5162</v>
      </c>
      <c r="H204" s="298" t="s">
        <v>5163</v>
      </c>
    </row>
    <row r="205" spans="1:8">
      <c r="A205" s="293" t="s">
        <v>532</v>
      </c>
      <c r="B205" s="293" t="s">
        <v>932</v>
      </c>
      <c r="C205" s="293" t="s">
        <v>3483</v>
      </c>
      <c r="D205" s="293" t="s">
        <v>3484</v>
      </c>
      <c r="E205" s="313" t="s">
        <v>5136</v>
      </c>
      <c r="F205" s="293" t="s">
        <v>5137</v>
      </c>
      <c r="G205" s="298" t="s">
        <v>5162</v>
      </c>
      <c r="H205" s="298" t="s">
        <v>5163</v>
      </c>
    </row>
    <row r="206" spans="1:8">
      <c r="A206" s="293" t="s">
        <v>960</v>
      </c>
      <c r="B206" s="293" t="s">
        <v>961</v>
      </c>
      <c r="C206" s="293" t="s">
        <v>962</v>
      </c>
      <c r="D206" s="293" t="s">
        <v>963</v>
      </c>
      <c r="E206" s="313" t="s">
        <v>5136</v>
      </c>
      <c r="F206" s="293" t="s">
        <v>5137</v>
      </c>
      <c r="G206" s="298" t="s">
        <v>5162</v>
      </c>
      <c r="H206" s="298" t="s">
        <v>5163</v>
      </c>
    </row>
    <row r="207" spans="1:8">
      <c r="A207" s="293" t="s">
        <v>960</v>
      </c>
      <c r="B207" s="293" t="s">
        <v>961</v>
      </c>
      <c r="C207" s="293" t="s">
        <v>964</v>
      </c>
      <c r="D207" s="293" t="s">
        <v>3485</v>
      </c>
      <c r="E207" s="313" t="s">
        <v>5136</v>
      </c>
      <c r="F207" s="293" t="s">
        <v>5137</v>
      </c>
      <c r="G207" s="298" t="s">
        <v>5162</v>
      </c>
      <c r="H207" s="298" t="s">
        <v>5163</v>
      </c>
    </row>
    <row r="208" spans="1:8">
      <c r="A208" s="293" t="s">
        <v>965</v>
      </c>
      <c r="B208" s="293" t="s">
        <v>966</v>
      </c>
      <c r="C208" s="293" t="s">
        <v>967</v>
      </c>
      <c r="D208" s="293" t="s">
        <v>968</v>
      </c>
      <c r="E208" s="313" t="s">
        <v>5144</v>
      </c>
      <c r="F208" s="293" t="s">
        <v>5145</v>
      </c>
      <c r="G208" s="298" t="s">
        <v>5161</v>
      </c>
      <c r="H208" s="298" t="s">
        <v>5166</v>
      </c>
    </row>
    <row r="209" spans="1:8">
      <c r="A209" s="293" t="s">
        <v>965</v>
      </c>
      <c r="B209" s="293" t="s">
        <v>966</v>
      </c>
      <c r="C209" s="293" t="s">
        <v>969</v>
      </c>
      <c r="D209" s="293" t="s">
        <v>970</v>
      </c>
      <c r="E209" s="313" t="s">
        <v>5144</v>
      </c>
      <c r="F209" s="293" t="s">
        <v>5145</v>
      </c>
      <c r="G209" s="298" t="s">
        <v>5161</v>
      </c>
      <c r="H209" s="298" t="s">
        <v>5166</v>
      </c>
    </row>
    <row r="210" spans="1:8">
      <c r="A210" s="293" t="s">
        <v>965</v>
      </c>
      <c r="B210" s="293" t="s">
        <v>966</v>
      </c>
      <c r="C210" s="293" t="s">
        <v>971</v>
      </c>
      <c r="D210" s="293" t="s">
        <v>1239</v>
      </c>
      <c r="E210" s="313" t="s">
        <v>5144</v>
      </c>
      <c r="F210" s="293" t="s">
        <v>5145</v>
      </c>
      <c r="G210" s="298" t="s">
        <v>5161</v>
      </c>
      <c r="H210" s="298" t="s">
        <v>5166</v>
      </c>
    </row>
    <row r="211" spans="1:8">
      <c r="A211" s="293" t="s">
        <v>965</v>
      </c>
      <c r="B211" s="293" t="s">
        <v>966</v>
      </c>
      <c r="C211" s="293" t="s">
        <v>972</v>
      </c>
      <c r="D211" s="293" t="s">
        <v>973</v>
      </c>
      <c r="E211" s="313" t="s">
        <v>5144</v>
      </c>
      <c r="F211" s="293" t="s">
        <v>5145</v>
      </c>
      <c r="G211" s="298" t="s">
        <v>5161</v>
      </c>
      <c r="H211" s="298" t="s">
        <v>5166</v>
      </c>
    </row>
    <row r="212" spans="1:8">
      <c r="A212" s="293" t="s">
        <v>974</v>
      </c>
      <c r="B212" s="293" t="s">
        <v>975</v>
      </c>
      <c r="C212" s="293" t="s">
        <v>976</v>
      </c>
      <c r="D212" s="293" t="s">
        <v>977</v>
      </c>
      <c r="E212" s="313" t="s">
        <v>5156</v>
      </c>
      <c r="F212" s="293" t="s">
        <v>5157</v>
      </c>
      <c r="G212" s="298" t="s">
        <v>5162</v>
      </c>
      <c r="H212" s="298" t="s">
        <v>5174</v>
      </c>
    </row>
    <row r="213" spans="1:8">
      <c r="A213" s="293" t="s">
        <v>974</v>
      </c>
      <c r="B213" s="293" t="s">
        <v>975</v>
      </c>
      <c r="C213" s="293" t="s">
        <v>978</v>
      </c>
      <c r="D213" s="293" t="s">
        <v>979</v>
      </c>
      <c r="E213" s="313" t="s">
        <v>5156</v>
      </c>
      <c r="F213" s="293" t="s">
        <v>5157</v>
      </c>
      <c r="G213" s="298" t="s">
        <v>5162</v>
      </c>
      <c r="H213" s="298" t="s">
        <v>5174</v>
      </c>
    </row>
    <row r="214" spans="1:8">
      <c r="A214" s="293" t="s">
        <v>974</v>
      </c>
      <c r="B214" s="293" t="s">
        <v>975</v>
      </c>
      <c r="C214" s="293" t="s">
        <v>980</v>
      </c>
      <c r="D214" s="293" t="s">
        <v>981</v>
      </c>
      <c r="E214" s="313" t="s">
        <v>5158</v>
      </c>
      <c r="F214" s="293" t="s">
        <v>5159</v>
      </c>
      <c r="G214" s="298" t="s">
        <v>5164</v>
      </c>
      <c r="H214" s="298" t="s">
        <v>5165</v>
      </c>
    </row>
    <row r="215" spans="1:8">
      <c r="A215" s="293" t="s">
        <v>974</v>
      </c>
      <c r="B215" s="293" t="s">
        <v>975</v>
      </c>
      <c r="C215" s="293" t="s">
        <v>982</v>
      </c>
      <c r="D215" s="293" t="s">
        <v>983</v>
      </c>
      <c r="E215" s="313" t="s">
        <v>5156</v>
      </c>
      <c r="F215" s="293" t="s">
        <v>5157</v>
      </c>
      <c r="G215" s="298" t="s">
        <v>5162</v>
      </c>
      <c r="H215" s="298" t="s">
        <v>5174</v>
      </c>
    </row>
    <row r="216" spans="1:8">
      <c r="A216" s="293" t="s">
        <v>974</v>
      </c>
      <c r="B216" s="293" t="s">
        <v>975</v>
      </c>
      <c r="C216" s="293" t="s">
        <v>984</v>
      </c>
      <c r="D216" s="293" t="s">
        <v>985</v>
      </c>
      <c r="E216" s="313" t="s">
        <v>5156</v>
      </c>
      <c r="F216" s="293" t="s">
        <v>5157</v>
      </c>
      <c r="G216" s="298" t="s">
        <v>5162</v>
      </c>
      <c r="H216" s="298" t="s">
        <v>5174</v>
      </c>
    </row>
    <row r="217" spans="1:8">
      <c r="A217" s="293" t="s">
        <v>974</v>
      </c>
      <c r="B217" s="293" t="s">
        <v>975</v>
      </c>
      <c r="C217" s="293" t="s">
        <v>986</v>
      </c>
      <c r="D217" s="293" t="s">
        <v>987</v>
      </c>
      <c r="E217" s="313" t="s">
        <v>5156</v>
      </c>
      <c r="F217" s="293" t="s">
        <v>5157</v>
      </c>
      <c r="G217" s="298" t="s">
        <v>5162</v>
      </c>
      <c r="H217" s="298" t="s">
        <v>5174</v>
      </c>
    </row>
    <row r="218" spans="1:8">
      <c r="A218" s="293" t="s">
        <v>974</v>
      </c>
      <c r="B218" s="293" t="s">
        <v>975</v>
      </c>
      <c r="C218" s="293" t="s">
        <v>988</v>
      </c>
      <c r="D218" s="293" t="s">
        <v>989</v>
      </c>
      <c r="E218" s="313" t="s">
        <v>5156</v>
      </c>
      <c r="F218" s="293" t="s">
        <v>5157</v>
      </c>
      <c r="G218" s="298" t="s">
        <v>5162</v>
      </c>
      <c r="H218" s="298" t="s">
        <v>5174</v>
      </c>
    </row>
    <row r="219" spans="1:8">
      <c r="A219" s="293" t="s">
        <v>974</v>
      </c>
      <c r="B219" s="293" t="s">
        <v>975</v>
      </c>
      <c r="C219" s="293" t="s">
        <v>988</v>
      </c>
      <c r="D219" s="293" t="s">
        <v>989</v>
      </c>
      <c r="E219" s="313" t="s">
        <v>5138</v>
      </c>
      <c r="F219" s="293" t="s">
        <v>5139</v>
      </c>
      <c r="G219" s="298" t="s">
        <v>5160</v>
      </c>
      <c r="H219" s="298" t="s">
        <v>5170</v>
      </c>
    </row>
    <row r="220" spans="1:8">
      <c r="A220" s="293" t="s">
        <v>974</v>
      </c>
      <c r="B220" s="293" t="s">
        <v>975</v>
      </c>
      <c r="C220" s="293" t="s">
        <v>1653</v>
      </c>
      <c r="D220" s="293" t="s">
        <v>1654</v>
      </c>
      <c r="E220" s="313" t="s">
        <v>5156</v>
      </c>
      <c r="F220" s="293" t="s">
        <v>5157</v>
      </c>
      <c r="G220" s="298" t="s">
        <v>5162</v>
      </c>
      <c r="H220" s="298" t="s">
        <v>5174</v>
      </c>
    </row>
    <row r="221" spans="1:8">
      <c r="A221" s="293" t="s">
        <v>974</v>
      </c>
      <c r="B221" s="293" t="s">
        <v>975</v>
      </c>
      <c r="C221" s="293" t="s">
        <v>3486</v>
      </c>
      <c r="D221" s="293" t="s">
        <v>3487</v>
      </c>
      <c r="E221" s="313" t="s">
        <v>5156</v>
      </c>
      <c r="F221" s="293" t="s">
        <v>5157</v>
      </c>
      <c r="G221" s="298" t="s">
        <v>5162</v>
      </c>
      <c r="H221" s="298" t="s">
        <v>5174</v>
      </c>
    </row>
    <row r="222" spans="1:8">
      <c r="A222" s="293" t="s">
        <v>974</v>
      </c>
      <c r="B222" s="293" t="s">
        <v>975</v>
      </c>
      <c r="C222" s="293" t="s">
        <v>990</v>
      </c>
      <c r="D222" s="293" t="s">
        <v>991</v>
      </c>
      <c r="E222" s="313" t="s">
        <v>5156</v>
      </c>
      <c r="F222" s="293" t="s">
        <v>5157</v>
      </c>
      <c r="G222" s="298" t="s">
        <v>5162</v>
      </c>
      <c r="H222" s="298" t="s">
        <v>5174</v>
      </c>
    </row>
    <row r="223" spans="1:8">
      <c r="A223" s="293" t="s">
        <v>974</v>
      </c>
      <c r="B223" s="293" t="s">
        <v>975</v>
      </c>
      <c r="C223" s="293" t="s">
        <v>992</v>
      </c>
      <c r="D223" s="293" t="s">
        <v>993</v>
      </c>
      <c r="E223" s="313" t="s">
        <v>5156</v>
      </c>
      <c r="F223" s="293" t="s">
        <v>5157</v>
      </c>
      <c r="G223" s="298" t="s">
        <v>5162</v>
      </c>
      <c r="H223" s="298" t="s">
        <v>5174</v>
      </c>
    </row>
    <row r="224" spans="1:8">
      <c r="A224" s="293" t="s">
        <v>974</v>
      </c>
      <c r="B224" s="293" t="s">
        <v>975</v>
      </c>
      <c r="C224" s="293" t="s">
        <v>994</v>
      </c>
      <c r="D224" s="293" t="s">
        <v>995</v>
      </c>
      <c r="E224" s="313" t="s">
        <v>5138</v>
      </c>
      <c r="F224" s="293" t="s">
        <v>5139</v>
      </c>
      <c r="G224" s="298" t="s">
        <v>5160</v>
      </c>
      <c r="H224" s="298" t="s">
        <v>5170</v>
      </c>
    </row>
    <row r="225" spans="1:8">
      <c r="A225" s="293" t="s">
        <v>974</v>
      </c>
      <c r="B225" s="293" t="s">
        <v>975</v>
      </c>
      <c r="C225" s="293" t="s">
        <v>996</v>
      </c>
      <c r="D225" s="293" t="s">
        <v>997</v>
      </c>
      <c r="E225" s="313" t="s">
        <v>5138</v>
      </c>
      <c r="F225" s="293" t="s">
        <v>5139</v>
      </c>
      <c r="G225" s="298" t="s">
        <v>5160</v>
      </c>
      <c r="H225" s="298" t="s">
        <v>5170</v>
      </c>
    </row>
    <row r="226" spans="1:8">
      <c r="A226" s="293" t="s">
        <v>974</v>
      </c>
      <c r="B226" s="293" t="s">
        <v>975</v>
      </c>
      <c r="C226" s="293" t="s">
        <v>3488</v>
      </c>
      <c r="D226" s="293" t="s">
        <v>3489</v>
      </c>
      <c r="E226" s="313" t="s">
        <v>5156</v>
      </c>
      <c r="F226" s="293" t="s">
        <v>5157</v>
      </c>
      <c r="G226" s="298" t="s">
        <v>5162</v>
      </c>
      <c r="H226" s="298" t="s">
        <v>5174</v>
      </c>
    </row>
    <row r="227" spans="1:8">
      <c r="A227" s="293" t="s">
        <v>998</v>
      </c>
      <c r="B227" s="293" t="s">
        <v>999</v>
      </c>
      <c r="C227" s="293" t="s">
        <v>1000</v>
      </c>
      <c r="D227" s="293" t="s">
        <v>1001</v>
      </c>
      <c r="E227" s="313" t="s">
        <v>5136</v>
      </c>
      <c r="F227" s="293" t="s">
        <v>5137</v>
      </c>
      <c r="G227" s="298" t="s">
        <v>5162</v>
      </c>
      <c r="H227" s="298" t="s">
        <v>5163</v>
      </c>
    </row>
    <row r="228" spans="1:8">
      <c r="A228" s="293" t="s">
        <v>998</v>
      </c>
      <c r="B228" s="293" t="s">
        <v>999</v>
      </c>
      <c r="C228" s="293" t="s">
        <v>1002</v>
      </c>
      <c r="D228" s="293" t="s">
        <v>1241</v>
      </c>
      <c r="E228" s="313" t="s">
        <v>5136</v>
      </c>
      <c r="F228" s="293" t="s">
        <v>5137</v>
      </c>
      <c r="G228" s="298" t="s">
        <v>5162</v>
      </c>
      <c r="H228" s="298" t="s">
        <v>5163</v>
      </c>
    </row>
    <row r="229" spans="1:8">
      <c r="A229" s="293" t="s">
        <v>1003</v>
      </c>
      <c r="B229" s="293" t="s">
        <v>1004</v>
      </c>
      <c r="C229" s="293" t="s">
        <v>1005</v>
      </c>
      <c r="D229" s="293" t="s">
        <v>1006</v>
      </c>
      <c r="E229" s="313" t="s">
        <v>5156</v>
      </c>
      <c r="F229" s="293" t="s">
        <v>5157</v>
      </c>
      <c r="G229" s="298" t="s">
        <v>5162</v>
      </c>
      <c r="H229" s="298" t="s">
        <v>5174</v>
      </c>
    </row>
    <row r="230" spans="1:8">
      <c r="A230" s="293" t="s">
        <v>1003</v>
      </c>
      <c r="B230" s="293" t="s">
        <v>1004</v>
      </c>
      <c r="C230" s="293" t="s">
        <v>1007</v>
      </c>
      <c r="D230" s="293" t="s">
        <v>1240</v>
      </c>
      <c r="E230" s="313" t="s">
        <v>5156</v>
      </c>
      <c r="F230" s="293" t="s">
        <v>5157</v>
      </c>
      <c r="G230" s="298" t="s">
        <v>5162</v>
      </c>
      <c r="H230" s="298" t="s">
        <v>5174</v>
      </c>
    </row>
    <row r="231" spans="1:8">
      <c r="A231" s="293" t="s">
        <v>1003</v>
      </c>
      <c r="B231" s="293" t="s">
        <v>1004</v>
      </c>
      <c r="C231" s="293" t="s">
        <v>1008</v>
      </c>
      <c r="D231" s="293" t="s">
        <v>1009</v>
      </c>
      <c r="E231" s="313" t="s">
        <v>5156</v>
      </c>
      <c r="F231" s="293" t="s">
        <v>5157</v>
      </c>
      <c r="G231" s="298" t="s">
        <v>5162</v>
      </c>
      <c r="H231" s="298" t="s">
        <v>5174</v>
      </c>
    </row>
    <row r="232" spans="1:8">
      <c r="A232" s="293" t="s">
        <v>1003</v>
      </c>
      <c r="B232" s="293" t="s">
        <v>1004</v>
      </c>
      <c r="C232" s="293" t="s">
        <v>1010</v>
      </c>
      <c r="D232" s="293" t="s">
        <v>1242</v>
      </c>
      <c r="E232" s="313" t="s">
        <v>5156</v>
      </c>
      <c r="F232" s="293" t="s">
        <v>5157</v>
      </c>
      <c r="G232" s="298" t="s">
        <v>5162</v>
      </c>
      <c r="H232" s="298" t="s">
        <v>5174</v>
      </c>
    </row>
    <row r="233" spans="1:8">
      <c r="A233" s="293" t="s">
        <v>1003</v>
      </c>
      <c r="B233" s="293" t="s">
        <v>1004</v>
      </c>
      <c r="C233" s="293" t="s">
        <v>1011</v>
      </c>
      <c r="D233" s="293" t="s">
        <v>1012</v>
      </c>
      <c r="E233" s="313" t="s">
        <v>5156</v>
      </c>
      <c r="F233" s="293" t="s">
        <v>5157</v>
      </c>
      <c r="G233" s="298" t="s">
        <v>5162</v>
      </c>
      <c r="H233" s="298" t="s">
        <v>5174</v>
      </c>
    </row>
    <row r="234" spans="1:8">
      <c r="A234" s="293" t="s">
        <v>1003</v>
      </c>
      <c r="B234" s="293" t="s">
        <v>1004</v>
      </c>
      <c r="C234" s="293" t="s">
        <v>3490</v>
      </c>
      <c r="D234" s="293" t="s">
        <v>3491</v>
      </c>
      <c r="E234" s="313" t="s">
        <v>5156</v>
      </c>
      <c r="F234" s="293" t="s">
        <v>5157</v>
      </c>
      <c r="G234" s="298" t="s">
        <v>5162</v>
      </c>
      <c r="H234" s="298" t="s">
        <v>5174</v>
      </c>
    </row>
    <row r="235" spans="1:8">
      <c r="A235" s="293" t="s">
        <v>1013</v>
      </c>
      <c r="B235" s="293" t="s">
        <v>1014</v>
      </c>
      <c r="C235" s="293" t="s">
        <v>1015</v>
      </c>
      <c r="D235" s="293" t="s">
        <v>1016</v>
      </c>
      <c r="E235" s="313" t="s">
        <v>5138</v>
      </c>
      <c r="F235" s="293" t="s">
        <v>5139</v>
      </c>
      <c r="G235" s="298" t="s">
        <v>5160</v>
      </c>
      <c r="H235" s="298" t="s">
        <v>5170</v>
      </c>
    </row>
    <row r="236" spans="1:8">
      <c r="A236" s="293" t="s">
        <v>1013</v>
      </c>
      <c r="B236" s="293" t="s">
        <v>1014</v>
      </c>
      <c r="C236" s="293" t="s">
        <v>1017</v>
      </c>
      <c r="D236" s="293" t="s">
        <v>1018</v>
      </c>
      <c r="E236" s="313" t="s">
        <v>5138</v>
      </c>
      <c r="F236" s="293" t="s">
        <v>5139</v>
      </c>
      <c r="G236" s="298" t="s">
        <v>5160</v>
      </c>
      <c r="H236" s="298" t="s">
        <v>5170</v>
      </c>
    </row>
    <row r="237" spans="1:8">
      <c r="A237" s="293" t="s">
        <v>1013</v>
      </c>
      <c r="B237" s="293" t="s">
        <v>1014</v>
      </c>
      <c r="C237" s="293" t="s">
        <v>1019</v>
      </c>
      <c r="D237" s="293" t="s">
        <v>1020</v>
      </c>
      <c r="E237" s="313" t="s">
        <v>5138</v>
      </c>
      <c r="F237" s="293" t="s">
        <v>5139</v>
      </c>
      <c r="G237" s="298" t="s">
        <v>5160</v>
      </c>
      <c r="H237" s="298" t="s">
        <v>5170</v>
      </c>
    </row>
    <row r="238" spans="1:8">
      <c r="A238" s="293" t="s">
        <v>1013</v>
      </c>
      <c r="B238" s="293" t="s">
        <v>1014</v>
      </c>
      <c r="C238" s="293" t="s">
        <v>1021</v>
      </c>
      <c r="D238" s="293" t="s">
        <v>1022</v>
      </c>
      <c r="E238" s="313" t="s">
        <v>5138</v>
      </c>
      <c r="F238" s="293" t="s">
        <v>5139</v>
      </c>
      <c r="G238" s="298" t="s">
        <v>5160</v>
      </c>
      <c r="H238" s="298" t="s">
        <v>5170</v>
      </c>
    </row>
    <row r="239" spans="1:8">
      <c r="A239" s="293" t="s">
        <v>1013</v>
      </c>
      <c r="B239" s="293" t="s">
        <v>1014</v>
      </c>
      <c r="C239" s="293" t="s">
        <v>1655</v>
      </c>
      <c r="D239" s="293" t="s">
        <v>1656</v>
      </c>
      <c r="E239" s="313" t="s">
        <v>5138</v>
      </c>
      <c r="F239" s="293" t="s">
        <v>5139</v>
      </c>
      <c r="G239" s="298" t="s">
        <v>5160</v>
      </c>
      <c r="H239" s="298" t="s">
        <v>5170</v>
      </c>
    </row>
    <row r="240" spans="1:8">
      <c r="A240" s="293" t="s">
        <v>1013</v>
      </c>
      <c r="B240" s="293" t="s">
        <v>1014</v>
      </c>
      <c r="C240" s="293" t="s">
        <v>1023</v>
      </c>
      <c r="D240" s="293" t="s">
        <v>1024</v>
      </c>
      <c r="E240" s="313" t="s">
        <v>5138</v>
      </c>
      <c r="F240" s="293" t="s">
        <v>5139</v>
      </c>
      <c r="G240" s="298" t="s">
        <v>5160</v>
      </c>
      <c r="H240" s="298" t="s">
        <v>5170</v>
      </c>
    </row>
    <row r="241" spans="1:8">
      <c r="A241" s="293" t="s">
        <v>1013</v>
      </c>
      <c r="B241" s="293" t="s">
        <v>1014</v>
      </c>
      <c r="C241" s="293" t="s">
        <v>1999</v>
      </c>
      <c r="D241" s="293" t="s">
        <v>3492</v>
      </c>
      <c r="E241" s="313" t="s">
        <v>5138</v>
      </c>
      <c r="F241" s="293" t="s">
        <v>5139</v>
      </c>
      <c r="G241" s="298" t="s">
        <v>5160</v>
      </c>
      <c r="H241" s="298" t="s">
        <v>5170</v>
      </c>
    </row>
    <row r="242" spans="1:8">
      <c r="A242" s="293" t="s">
        <v>1013</v>
      </c>
      <c r="B242" s="293" t="s">
        <v>1014</v>
      </c>
      <c r="C242" s="293" t="s">
        <v>1657</v>
      </c>
      <c r="D242" s="293" t="s">
        <v>680</v>
      </c>
      <c r="E242" s="313" t="s">
        <v>5138</v>
      </c>
      <c r="F242" s="293" t="s">
        <v>5139</v>
      </c>
      <c r="G242" s="298" t="s">
        <v>5160</v>
      </c>
      <c r="H242" s="298" t="s">
        <v>5170</v>
      </c>
    </row>
    <row r="243" spans="1:8">
      <c r="A243" s="293" t="s">
        <v>1025</v>
      </c>
      <c r="B243" s="293" t="s">
        <v>1026</v>
      </c>
      <c r="C243" s="293" t="s">
        <v>1027</v>
      </c>
      <c r="D243" s="293" t="s">
        <v>1028</v>
      </c>
      <c r="E243" s="313" t="s">
        <v>5142</v>
      </c>
      <c r="F243" s="293" t="s">
        <v>5143</v>
      </c>
      <c r="G243" s="298" t="s">
        <v>5160</v>
      </c>
      <c r="H243" s="298" t="s">
        <v>5168</v>
      </c>
    </row>
    <row r="244" spans="1:8">
      <c r="A244" s="293" t="s">
        <v>1025</v>
      </c>
      <c r="B244" s="293" t="s">
        <v>1026</v>
      </c>
      <c r="C244" s="293" t="s">
        <v>1029</v>
      </c>
      <c r="D244" s="293" t="s">
        <v>1030</v>
      </c>
      <c r="E244" s="313" t="s">
        <v>5136</v>
      </c>
      <c r="F244" s="293" t="s">
        <v>5137</v>
      </c>
      <c r="G244" s="298" t="s">
        <v>5162</v>
      </c>
      <c r="H244" s="298" t="s">
        <v>5163</v>
      </c>
    </row>
    <row r="245" spans="1:8">
      <c r="A245" s="293" t="s">
        <v>1025</v>
      </c>
      <c r="B245" s="293" t="s">
        <v>1026</v>
      </c>
      <c r="C245" s="293" t="s">
        <v>1029</v>
      </c>
      <c r="D245" s="293" t="s">
        <v>1030</v>
      </c>
      <c r="E245" s="313" t="s">
        <v>5142</v>
      </c>
      <c r="F245" s="293" t="s">
        <v>5143</v>
      </c>
      <c r="G245" s="298" t="s">
        <v>5160</v>
      </c>
      <c r="H245" s="298" t="s">
        <v>5168</v>
      </c>
    </row>
    <row r="246" spans="1:8">
      <c r="A246" s="293" t="s">
        <v>1025</v>
      </c>
      <c r="B246" s="293" t="s">
        <v>1026</v>
      </c>
      <c r="C246" s="293" t="s">
        <v>1031</v>
      </c>
      <c r="D246" s="293" t="s">
        <v>1032</v>
      </c>
      <c r="E246" s="313" t="s">
        <v>5142</v>
      </c>
      <c r="F246" s="293" t="s">
        <v>5143</v>
      </c>
      <c r="G246" s="298" t="s">
        <v>5160</v>
      </c>
      <c r="H246" s="298" t="s">
        <v>5168</v>
      </c>
    </row>
    <row r="247" spans="1:8">
      <c r="A247" s="293" t="s">
        <v>1025</v>
      </c>
      <c r="B247" s="293" t="s">
        <v>1026</v>
      </c>
      <c r="C247" s="293" t="s">
        <v>1033</v>
      </c>
      <c r="D247" s="293" t="s">
        <v>1034</v>
      </c>
      <c r="E247" s="313" t="s">
        <v>5142</v>
      </c>
      <c r="F247" s="293" t="s">
        <v>5143</v>
      </c>
      <c r="G247" s="298" t="s">
        <v>5160</v>
      </c>
      <c r="H247" s="298" t="s">
        <v>5168</v>
      </c>
    </row>
    <row r="248" spans="1:8">
      <c r="A248" s="293" t="s">
        <v>1025</v>
      </c>
      <c r="B248" s="293" t="s">
        <v>1026</v>
      </c>
      <c r="C248" s="293" t="s">
        <v>1035</v>
      </c>
      <c r="D248" s="293" t="s">
        <v>1036</v>
      </c>
      <c r="E248" s="313" t="s">
        <v>5142</v>
      </c>
      <c r="F248" s="293" t="s">
        <v>5143</v>
      </c>
      <c r="G248" s="298" t="s">
        <v>5160</v>
      </c>
      <c r="H248" s="298" t="s">
        <v>5168</v>
      </c>
    </row>
    <row r="249" spans="1:8">
      <c r="A249" s="293" t="s">
        <v>1025</v>
      </c>
      <c r="B249" s="293" t="s">
        <v>1026</v>
      </c>
      <c r="C249" s="293" t="s">
        <v>1037</v>
      </c>
      <c r="D249" s="293" t="s">
        <v>1038</v>
      </c>
      <c r="E249" s="313" t="s">
        <v>5142</v>
      </c>
      <c r="F249" s="293" t="s">
        <v>5143</v>
      </c>
      <c r="G249" s="298" t="s">
        <v>5160</v>
      </c>
      <c r="H249" s="298" t="s">
        <v>5168</v>
      </c>
    </row>
    <row r="250" spans="1:8">
      <c r="A250" s="293" t="s">
        <v>1025</v>
      </c>
      <c r="B250" s="293" t="s">
        <v>1026</v>
      </c>
      <c r="C250" s="293" t="s">
        <v>1039</v>
      </c>
      <c r="D250" s="293" t="s">
        <v>1040</v>
      </c>
      <c r="E250" s="313" t="s">
        <v>5142</v>
      </c>
      <c r="F250" s="293" t="s">
        <v>5143</v>
      </c>
      <c r="G250" s="298" t="s">
        <v>5160</v>
      </c>
      <c r="H250" s="298" t="s">
        <v>5168</v>
      </c>
    </row>
    <row r="251" spans="1:8">
      <c r="A251" s="293" t="s">
        <v>1025</v>
      </c>
      <c r="B251" s="293" t="s">
        <v>1026</v>
      </c>
      <c r="C251" s="293" t="s">
        <v>1041</v>
      </c>
      <c r="D251" s="293" t="s">
        <v>1042</v>
      </c>
      <c r="E251" s="313" t="s">
        <v>5142</v>
      </c>
      <c r="F251" s="293" t="s">
        <v>5143</v>
      </c>
      <c r="G251" s="298" t="s">
        <v>5160</v>
      </c>
      <c r="H251" s="298" t="s">
        <v>5168</v>
      </c>
    </row>
    <row r="252" spans="1:8">
      <c r="A252" s="293" t="s">
        <v>1025</v>
      </c>
      <c r="B252" s="293" t="s">
        <v>1026</v>
      </c>
      <c r="C252" s="293" t="s">
        <v>1043</v>
      </c>
      <c r="D252" s="293" t="s">
        <v>1044</v>
      </c>
      <c r="E252" s="313" t="s">
        <v>5142</v>
      </c>
      <c r="F252" s="293" t="s">
        <v>5143</v>
      </c>
      <c r="G252" s="298" t="s">
        <v>5160</v>
      </c>
      <c r="H252" s="298" t="s">
        <v>5168</v>
      </c>
    </row>
    <row r="253" spans="1:8">
      <c r="A253" s="293" t="s">
        <v>1025</v>
      </c>
      <c r="B253" s="293" t="s">
        <v>1026</v>
      </c>
      <c r="C253" s="293" t="s">
        <v>1045</v>
      </c>
      <c r="D253" s="293" t="s">
        <v>1046</v>
      </c>
      <c r="E253" s="313" t="s">
        <v>5142</v>
      </c>
      <c r="F253" s="293" t="s">
        <v>5143</v>
      </c>
      <c r="G253" s="298" t="s">
        <v>5160</v>
      </c>
      <c r="H253" s="298" t="s">
        <v>5168</v>
      </c>
    </row>
    <row r="254" spans="1:8">
      <c r="A254" s="293" t="s">
        <v>1025</v>
      </c>
      <c r="B254" s="293" t="s">
        <v>1026</v>
      </c>
      <c r="C254" s="293" t="s">
        <v>1047</v>
      </c>
      <c r="D254" s="293" t="s">
        <v>1048</v>
      </c>
      <c r="E254" s="313" t="s">
        <v>5142</v>
      </c>
      <c r="F254" s="293" t="s">
        <v>5143</v>
      </c>
      <c r="G254" s="298" t="s">
        <v>5160</v>
      </c>
      <c r="H254" s="298" t="s">
        <v>5168</v>
      </c>
    </row>
    <row r="255" spans="1:8">
      <c r="A255" s="293" t="s">
        <v>1025</v>
      </c>
      <c r="B255" s="293" t="s">
        <v>1026</v>
      </c>
      <c r="C255" s="293" t="s">
        <v>1049</v>
      </c>
      <c r="D255" s="293" t="s">
        <v>1050</v>
      </c>
      <c r="E255" s="313" t="s">
        <v>5142</v>
      </c>
      <c r="F255" s="293" t="s">
        <v>5143</v>
      </c>
      <c r="G255" s="298" t="s">
        <v>5160</v>
      </c>
      <c r="H255" s="298" t="s">
        <v>5168</v>
      </c>
    </row>
    <row r="256" spans="1:8">
      <c r="A256" s="293" t="s">
        <v>1025</v>
      </c>
      <c r="B256" s="293" t="s">
        <v>1026</v>
      </c>
      <c r="C256" s="293" t="s">
        <v>1051</v>
      </c>
      <c r="D256" s="293" t="s">
        <v>1052</v>
      </c>
      <c r="E256" s="313" t="s">
        <v>5142</v>
      </c>
      <c r="F256" s="293" t="s">
        <v>5143</v>
      </c>
      <c r="G256" s="298" t="s">
        <v>5160</v>
      </c>
      <c r="H256" s="298" t="s">
        <v>5168</v>
      </c>
    </row>
    <row r="257" spans="1:8">
      <c r="A257" s="293" t="s">
        <v>1025</v>
      </c>
      <c r="B257" s="293" t="s">
        <v>1026</v>
      </c>
      <c r="C257" s="293" t="s">
        <v>1658</v>
      </c>
      <c r="D257" s="293" t="s">
        <v>1659</v>
      </c>
      <c r="E257" s="313" t="s">
        <v>5142</v>
      </c>
      <c r="F257" s="293" t="s">
        <v>5143</v>
      </c>
      <c r="G257" s="298" t="s">
        <v>5160</v>
      </c>
      <c r="H257" s="298" t="s">
        <v>5168</v>
      </c>
    </row>
    <row r="258" spans="1:8">
      <c r="A258" s="293" t="s">
        <v>1025</v>
      </c>
      <c r="B258" s="293" t="s">
        <v>1026</v>
      </c>
      <c r="C258" s="293" t="s">
        <v>1964</v>
      </c>
      <c r="D258" s="293" t="s">
        <v>1965</v>
      </c>
      <c r="E258" s="313" t="s">
        <v>5142</v>
      </c>
      <c r="F258" s="293" t="s">
        <v>5143</v>
      </c>
      <c r="G258" s="298" t="s">
        <v>5160</v>
      </c>
      <c r="H258" s="298" t="s">
        <v>5168</v>
      </c>
    </row>
    <row r="259" spans="1:8">
      <c r="A259" s="293" t="s">
        <v>1025</v>
      </c>
      <c r="B259" s="293" t="s">
        <v>1026</v>
      </c>
      <c r="C259" s="293" t="s">
        <v>3493</v>
      </c>
      <c r="D259" s="293" t="s">
        <v>3494</v>
      </c>
      <c r="E259" s="313" t="s">
        <v>5142</v>
      </c>
      <c r="F259" s="293" t="s">
        <v>5143</v>
      </c>
      <c r="G259" s="298" t="s">
        <v>5160</v>
      </c>
      <c r="H259" s="298" t="s">
        <v>5168</v>
      </c>
    </row>
    <row r="260" spans="1:8">
      <c r="A260" s="293" t="s">
        <v>1025</v>
      </c>
      <c r="B260" s="293" t="s">
        <v>1026</v>
      </c>
      <c r="C260" s="293" t="s">
        <v>3495</v>
      </c>
      <c r="D260" s="293" t="s">
        <v>3496</v>
      </c>
      <c r="E260" s="313" t="s">
        <v>5142</v>
      </c>
      <c r="F260" s="293" t="s">
        <v>5143</v>
      </c>
      <c r="G260" s="298" t="s">
        <v>5160</v>
      </c>
      <c r="H260" s="298" t="s">
        <v>5168</v>
      </c>
    </row>
    <row r="261" spans="1:8">
      <c r="A261" s="293" t="s">
        <v>1025</v>
      </c>
      <c r="B261" s="293" t="s">
        <v>1026</v>
      </c>
      <c r="C261" s="293" t="s">
        <v>1966</v>
      </c>
      <c r="D261" s="293" t="s">
        <v>1967</v>
      </c>
      <c r="E261" s="313" t="s">
        <v>5142</v>
      </c>
      <c r="F261" s="293" t="s">
        <v>5143</v>
      </c>
      <c r="G261" s="298" t="s">
        <v>5160</v>
      </c>
      <c r="H261" s="298" t="s">
        <v>5168</v>
      </c>
    </row>
    <row r="262" spans="1:8">
      <c r="A262" s="293" t="s">
        <v>1025</v>
      </c>
      <c r="B262" s="293" t="s">
        <v>1026</v>
      </c>
      <c r="C262" s="293" t="s">
        <v>1053</v>
      </c>
      <c r="D262" s="293" t="s">
        <v>1054</v>
      </c>
      <c r="E262" s="313" t="s">
        <v>5142</v>
      </c>
      <c r="F262" s="293" t="s">
        <v>5143</v>
      </c>
      <c r="G262" s="298" t="s">
        <v>5160</v>
      </c>
      <c r="H262" s="298" t="s">
        <v>5168</v>
      </c>
    </row>
    <row r="263" spans="1:8">
      <c r="A263" s="293" t="s">
        <v>1025</v>
      </c>
      <c r="B263" s="293" t="s">
        <v>1026</v>
      </c>
      <c r="C263" s="293" t="s">
        <v>1055</v>
      </c>
      <c r="D263" s="293" t="s">
        <v>1056</v>
      </c>
      <c r="E263" s="313" t="s">
        <v>5142</v>
      </c>
      <c r="F263" s="293" t="s">
        <v>5143</v>
      </c>
      <c r="G263" s="298" t="s">
        <v>5160</v>
      </c>
      <c r="H263" s="298" t="s">
        <v>5168</v>
      </c>
    </row>
    <row r="264" spans="1:8">
      <c r="A264" s="293" t="s">
        <v>1025</v>
      </c>
      <c r="B264" s="293" t="s">
        <v>1026</v>
      </c>
      <c r="C264" s="293" t="s">
        <v>1057</v>
      </c>
      <c r="D264" s="293" t="s">
        <v>680</v>
      </c>
      <c r="E264" s="313" t="s">
        <v>5142</v>
      </c>
      <c r="F264" s="293" t="s">
        <v>5143</v>
      </c>
      <c r="G264" s="298" t="s">
        <v>5160</v>
      </c>
      <c r="H264" s="298" t="s">
        <v>5168</v>
      </c>
    </row>
    <row r="265" spans="1:8">
      <c r="A265" s="293" t="s">
        <v>1058</v>
      </c>
      <c r="B265" s="293" t="s">
        <v>1059</v>
      </c>
      <c r="C265" s="293" t="s">
        <v>1060</v>
      </c>
      <c r="D265" s="293" t="s">
        <v>1061</v>
      </c>
      <c r="E265" s="313" t="s">
        <v>5138</v>
      </c>
      <c r="F265" s="293" t="s">
        <v>5139</v>
      </c>
      <c r="G265" s="298" t="s">
        <v>5160</v>
      </c>
      <c r="H265" s="298" t="s">
        <v>5170</v>
      </c>
    </row>
    <row r="266" spans="1:8">
      <c r="A266" s="293" t="s">
        <v>1058</v>
      </c>
      <c r="B266" s="293" t="s">
        <v>1059</v>
      </c>
      <c r="C266" s="293" t="s">
        <v>1062</v>
      </c>
      <c r="D266" s="293" t="s">
        <v>1660</v>
      </c>
      <c r="E266" s="313" t="s">
        <v>5138</v>
      </c>
      <c r="F266" s="293" t="s">
        <v>5139</v>
      </c>
      <c r="G266" s="298" t="s">
        <v>5160</v>
      </c>
      <c r="H266" s="298" t="s">
        <v>5170</v>
      </c>
    </row>
    <row r="267" spans="1:8">
      <c r="A267" s="293" t="s">
        <v>1058</v>
      </c>
      <c r="B267" s="293" t="s">
        <v>1059</v>
      </c>
      <c r="C267" s="293" t="s">
        <v>1063</v>
      </c>
      <c r="D267" s="293" t="s">
        <v>1064</v>
      </c>
      <c r="E267" s="313" t="s">
        <v>5138</v>
      </c>
      <c r="F267" s="293" t="s">
        <v>5139</v>
      </c>
      <c r="G267" s="298" t="s">
        <v>5160</v>
      </c>
      <c r="H267" s="298" t="s">
        <v>5170</v>
      </c>
    </row>
    <row r="268" spans="1:8">
      <c r="A268" s="293" t="s">
        <v>1058</v>
      </c>
      <c r="B268" s="293" t="s">
        <v>1059</v>
      </c>
      <c r="C268" s="293" t="s">
        <v>3497</v>
      </c>
      <c r="D268" s="293" t="s">
        <v>3498</v>
      </c>
      <c r="E268" s="313" t="s">
        <v>5138</v>
      </c>
      <c r="F268" s="293" t="s">
        <v>5139</v>
      </c>
      <c r="G268" s="298" t="s">
        <v>5160</v>
      </c>
      <c r="H268" s="298" t="s">
        <v>5170</v>
      </c>
    </row>
    <row r="269" spans="1:8">
      <c r="A269" s="293" t="s">
        <v>1058</v>
      </c>
      <c r="B269" s="293" t="s">
        <v>1059</v>
      </c>
      <c r="C269" s="293" t="s">
        <v>1065</v>
      </c>
      <c r="D269" s="293" t="s">
        <v>1066</v>
      </c>
      <c r="E269" s="313" t="s">
        <v>5138</v>
      </c>
      <c r="F269" s="293" t="s">
        <v>5139</v>
      </c>
      <c r="G269" s="298" t="s">
        <v>5160</v>
      </c>
      <c r="H269" s="298" t="s">
        <v>5170</v>
      </c>
    </row>
    <row r="270" spans="1:8">
      <c r="A270" s="293" t="s">
        <v>1058</v>
      </c>
      <c r="B270" s="293" t="s">
        <v>1059</v>
      </c>
      <c r="C270" s="293" t="s">
        <v>2004</v>
      </c>
      <c r="D270" s="293" t="s">
        <v>2005</v>
      </c>
      <c r="E270" s="313" t="s">
        <v>5138</v>
      </c>
      <c r="F270" s="293" t="s">
        <v>5139</v>
      </c>
      <c r="G270" s="298" t="s">
        <v>5160</v>
      </c>
      <c r="H270" s="298" t="s">
        <v>5170</v>
      </c>
    </row>
    <row r="271" spans="1:8">
      <c r="A271" s="293" t="s">
        <v>1058</v>
      </c>
      <c r="B271" s="293" t="s">
        <v>1059</v>
      </c>
      <c r="C271" s="293" t="s">
        <v>2006</v>
      </c>
      <c r="D271" s="293" t="s">
        <v>3499</v>
      </c>
      <c r="E271" s="313" t="s">
        <v>5138</v>
      </c>
      <c r="F271" s="293" t="s">
        <v>5139</v>
      </c>
      <c r="G271" s="298" t="s">
        <v>5160</v>
      </c>
      <c r="H271" s="298" t="s">
        <v>5170</v>
      </c>
    </row>
    <row r="272" spans="1:8">
      <c r="A272" s="293" t="s">
        <v>1067</v>
      </c>
      <c r="B272" s="293" t="s">
        <v>1068</v>
      </c>
      <c r="C272" s="293" t="s">
        <v>1069</v>
      </c>
      <c r="D272" s="293" t="s">
        <v>1070</v>
      </c>
      <c r="E272" s="313" t="s">
        <v>5138</v>
      </c>
      <c r="F272" s="293" t="s">
        <v>5139</v>
      </c>
      <c r="G272" s="298" t="s">
        <v>5160</v>
      </c>
      <c r="H272" s="298" t="s">
        <v>5170</v>
      </c>
    </row>
    <row r="273" spans="1:8">
      <c r="A273" s="293" t="s">
        <v>1067</v>
      </c>
      <c r="B273" s="293" t="s">
        <v>1068</v>
      </c>
      <c r="C273" s="293" t="s">
        <v>1071</v>
      </c>
      <c r="D273" s="293" t="s">
        <v>1072</v>
      </c>
      <c r="E273" s="313" t="s">
        <v>5138</v>
      </c>
      <c r="F273" s="293" t="s">
        <v>5139</v>
      </c>
      <c r="G273" s="298" t="s">
        <v>5160</v>
      </c>
      <c r="H273" s="298" t="s">
        <v>5170</v>
      </c>
    </row>
    <row r="274" spans="1:8">
      <c r="A274" s="293" t="s">
        <v>1067</v>
      </c>
      <c r="B274" s="293" t="s">
        <v>1068</v>
      </c>
      <c r="C274" s="293" t="s">
        <v>1073</v>
      </c>
      <c r="D274" s="293" t="s">
        <v>1074</v>
      </c>
      <c r="E274" s="313" t="s">
        <v>5138</v>
      </c>
      <c r="F274" s="293" t="s">
        <v>5139</v>
      </c>
      <c r="G274" s="298" t="s">
        <v>5160</v>
      </c>
      <c r="H274" s="298" t="s">
        <v>5170</v>
      </c>
    </row>
    <row r="275" spans="1:8">
      <c r="A275" s="293" t="s">
        <v>1067</v>
      </c>
      <c r="B275" s="293" t="s">
        <v>1068</v>
      </c>
      <c r="C275" s="293" t="s">
        <v>1075</v>
      </c>
      <c r="D275" s="293" t="s">
        <v>1076</v>
      </c>
      <c r="E275" s="313" t="s">
        <v>5138</v>
      </c>
      <c r="F275" s="293" t="s">
        <v>5139</v>
      </c>
      <c r="G275" s="298" t="s">
        <v>5160</v>
      </c>
      <c r="H275" s="298" t="s">
        <v>5170</v>
      </c>
    </row>
    <row r="276" spans="1:8">
      <c r="A276" s="293" t="s">
        <v>1067</v>
      </c>
      <c r="B276" s="293" t="s">
        <v>1068</v>
      </c>
      <c r="C276" s="293" t="s">
        <v>1077</v>
      </c>
      <c r="D276" s="293" t="s">
        <v>1078</v>
      </c>
      <c r="E276" s="313" t="s">
        <v>5138</v>
      </c>
      <c r="F276" s="293" t="s">
        <v>5139</v>
      </c>
      <c r="G276" s="298" t="s">
        <v>5160</v>
      </c>
      <c r="H276" s="298" t="s">
        <v>5170</v>
      </c>
    </row>
    <row r="277" spans="1:8">
      <c r="A277" s="293" t="s">
        <v>1067</v>
      </c>
      <c r="B277" s="293" t="s">
        <v>1068</v>
      </c>
      <c r="C277" s="293" t="s">
        <v>1079</v>
      </c>
      <c r="D277" s="293" t="s">
        <v>1080</v>
      </c>
      <c r="E277" s="313" t="s">
        <v>5138</v>
      </c>
      <c r="F277" s="293" t="s">
        <v>5139</v>
      </c>
      <c r="G277" s="298" t="s">
        <v>5160</v>
      </c>
      <c r="H277" s="298" t="s">
        <v>5170</v>
      </c>
    </row>
    <row r="278" spans="1:8">
      <c r="A278" s="293" t="s">
        <v>1067</v>
      </c>
      <c r="B278" s="293" t="s">
        <v>1068</v>
      </c>
      <c r="C278" s="293" t="s">
        <v>1081</v>
      </c>
      <c r="D278" s="293" t="s">
        <v>1082</v>
      </c>
      <c r="E278" s="313" t="s">
        <v>5138</v>
      </c>
      <c r="F278" s="293" t="s">
        <v>5139</v>
      </c>
      <c r="G278" s="298" t="s">
        <v>5160</v>
      </c>
      <c r="H278" s="298" t="s">
        <v>5170</v>
      </c>
    </row>
    <row r="279" spans="1:8">
      <c r="A279" s="293" t="s">
        <v>1067</v>
      </c>
      <c r="B279" s="293" t="s">
        <v>1068</v>
      </c>
      <c r="C279" s="293" t="s">
        <v>1083</v>
      </c>
      <c r="D279" s="293" t="s">
        <v>1084</v>
      </c>
      <c r="E279" s="313" t="s">
        <v>5138</v>
      </c>
      <c r="F279" s="293" t="s">
        <v>5139</v>
      </c>
      <c r="G279" s="298" t="s">
        <v>5160</v>
      </c>
      <c r="H279" s="298" t="s">
        <v>5170</v>
      </c>
    </row>
    <row r="280" spans="1:8">
      <c r="A280" s="293" t="s">
        <v>1067</v>
      </c>
      <c r="B280" s="293" t="s">
        <v>1068</v>
      </c>
      <c r="C280" s="293" t="s">
        <v>1085</v>
      </c>
      <c r="D280" s="293" t="s">
        <v>1086</v>
      </c>
      <c r="E280" s="313" t="s">
        <v>5138</v>
      </c>
      <c r="F280" s="293" t="s">
        <v>5139</v>
      </c>
      <c r="G280" s="298" t="s">
        <v>5160</v>
      </c>
      <c r="H280" s="298" t="s">
        <v>5170</v>
      </c>
    </row>
    <row r="281" spans="1:8">
      <c r="A281" s="293" t="s">
        <v>1067</v>
      </c>
      <c r="B281" s="293" t="s">
        <v>1068</v>
      </c>
      <c r="C281" s="293" t="s">
        <v>1087</v>
      </c>
      <c r="D281" s="293" t="s">
        <v>3500</v>
      </c>
      <c r="E281" s="313" t="s">
        <v>5138</v>
      </c>
      <c r="F281" s="293" t="s">
        <v>5139</v>
      </c>
      <c r="G281" s="298" t="s">
        <v>5160</v>
      </c>
      <c r="H281" s="298" t="s">
        <v>5170</v>
      </c>
    </row>
    <row r="282" spans="1:8">
      <c r="A282" s="293" t="s">
        <v>1067</v>
      </c>
      <c r="B282" s="293" t="s">
        <v>1068</v>
      </c>
      <c r="C282" s="293" t="s">
        <v>1088</v>
      </c>
      <c r="D282" s="293" t="s">
        <v>1661</v>
      </c>
      <c r="E282" s="313" t="s">
        <v>5138</v>
      </c>
      <c r="F282" s="293" t="s">
        <v>5139</v>
      </c>
      <c r="G282" s="298" t="s">
        <v>5160</v>
      </c>
      <c r="H282" s="298" t="s">
        <v>5170</v>
      </c>
    </row>
    <row r="283" spans="1:8">
      <c r="A283" s="293" t="s">
        <v>1067</v>
      </c>
      <c r="B283" s="293" t="s">
        <v>1068</v>
      </c>
      <c r="C283" s="293" t="s">
        <v>1089</v>
      </c>
      <c r="D283" s="293" t="s">
        <v>1662</v>
      </c>
      <c r="E283" s="313" t="s">
        <v>5138</v>
      </c>
      <c r="F283" s="293" t="s">
        <v>5139</v>
      </c>
      <c r="G283" s="298" t="s">
        <v>5160</v>
      </c>
      <c r="H283" s="298" t="s">
        <v>5170</v>
      </c>
    </row>
    <row r="284" spans="1:8">
      <c r="A284" s="293" t="s">
        <v>1067</v>
      </c>
      <c r="B284" s="293" t="s">
        <v>1068</v>
      </c>
      <c r="C284" s="293" t="s">
        <v>1090</v>
      </c>
      <c r="D284" s="293" t="s">
        <v>1663</v>
      </c>
      <c r="E284" s="313" t="s">
        <v>5138</v>
      </c>
      <c r="F284" s="293" t="s">
        <v>5139</v>
      </c>
      <c r="G284" s="298" t="s">
        <v>5160</v>
      </c>
      <c r="H284" s="298" t="s">
        <v>5170</v>
      </c>
    </row>
    <row r="285" spans="1:8">
      <c r="A285" s="293" t="s">
        <v>1067</v>
      </c>
      <c r="B285" s="293" t="s">
        <v>1068</v>
      </c>
      <c r="C285" s="293" t="s">
        <v>1091</v>
      </c>
      <c r="D285" s="293" t="s">
        <v>1092</v>
      </c>
      <c r="E285" s="313" t="s">
        <v>5138</v>
      </c>
      <c r="F285" s="293" t="s">
        <v>5139</v>
      </c>
      <c r="G285" s="298" t="s">
        <v>5160</v>
      </c>
      <c r="H285" s="298" t="s">
        <v>5170</v>
      </c>
    </row>
    <row r="286" spans="1:8">
      <c r="A286" s="293" t="s">
        <v>1067</v>
      </c>
      <c r="B286" s="293" t="s">
        <v>1068</v>
      </c>
      <c r="C286" s="293" t="s">
        <v>1093</v>
      </c>
      <c r="D286" s="293" t="s">
        <v>1664</v>
      </c>
      <c r="E286" s="313" t="s">
        <v>5138</v>
      </c>
      <c r="F286" s="293" t="s">
        <v>5139</v>
      </c>
      <c r="G286" s="298" t="s">
        <v>5160</v>
      </c>
      <c r="H286" s="298" t="s">
        <v>5170</v>
      </c>
    </row>
    <row r="287" spans="1:8">
      <c r="A287" s="293" t="s">
        <v>1067</v>
      </c>
      <c r="B287" s="293" t="s">
        <v>1068</v>
      </c>
      <c r="C287" s="293" t="s">
        <v>1094</v>
      </c>
      <c r="D287" s="293" t="s">
        <v>1665</v>
      </c>
      <c r="E287" s="313" t="s">
        <v>5138</v>
      </c>
      <c r="F287" s="293" t="s">
        <v>5139</v>
      </c>
      <c r="G287" s="298" t="s">
        <v>5160</v>
      </c>
      <c r="H287" s="298" t="s">
        <v>5170</v>
      </c>
    </row>
    <row r="288" spans="1:8">
      <c r="A288" s="293" t="s">
        <v>1067</v>
      </c>
      <c r="B288" s="293" t="s">
        <v>1068</v>
      </c>
      <c r="C288" s="293" t="s">
        <v>1095</v>
      </c>
      <c r="D288" s="293" t="s">
        <v>1096</v>
      </c>
      <c r="E288" s="313" t="s">
        <v>5138</v>
      </c>
      <c r="F288" s="293" t="s">
        <v>5139</v>
      </c>
      <c r="G288" s="298" t="s">
        <v>5160</v>
      </c>
      <c r="H288" s="298" t="s">
        <v>5170</v>
      </c>
    </row>
    <row r="289" spans="1:8">
      <c r="A289" s="293" t="s">
        <v>1067</v>
      </c>
      <c r="B289" s="293" t="s">
        <v>1068</v>
      </c>
      <c r="C289" s="293" t="s">
        <v>1097</v>
      </c>
      <c r="D289" s="293" t="s">
        <v>1098</v>
      </c>
      <c r="E289" s="313" t="s">
        <v>5138</v>
      </c>
      <c r="F289" s="293" t="s">
        <v>5139</v>
      </c>
      <c r="G289" s="298" t="s">
        <v>5160</v>
      </c>
      <c r="H289" s="298" t="s">
        <v>5170</v>
      </c>
    </row>
    <row r="290" spans="1:8">
      <c r="A290" s="293" t="s">
        <v>1067</v>
      </c>
      <c r="B290" s="293" t="s">
        <v>1068</v>
      </c>
      <c r="C290" s="293" t="s">
        <v>1952</v>
      </c>
      <c r="D290" s="293" t="s">
        <v>1953</v>
      </c>
      <c r="E290" s="313" t="s">
        <v>5138</v>
      </c>
      <c r="F290" s="293" t="s">
        <v>5139</v>
      </c>
      <c r="G290" s="298" t="s">
        <v>5160</v>
      </c>
      <c r="H290" s="298" t="s">
        <v>5170</v>
      </c>
    </row>
    <row r="291" spans="1:8">
      <c r="A291" s="293" t="s">
        <v>1067</v>
      </c>
      <c r="B291" s="293" t="s">
        <v>1068</v>
      </c>
      <c r="C291" s="293" t="s">
        <v>1954</v>
      </c>
      <c r="D291" s="293" t="s">
        <v>1955</v>
      </c>
      <c r="E291" s="313" t="s">
        <v>5138</v>
      </c>
      <c r="F291" s="293" t="s">
        <v>5139</v>
      </c>
      <c r="G291" s="298" t="s">
        <v>5160</v>
      </c>
      <c r="H291" s="298" t="s">
        <v>5170</v>
      </c>
    </row>
    <row r="292" spans="1:8">
      <c r="A292" s="293" t="s">
        <v>1067</v>
      </c>
      <c r="B292" s="293" t="s">
        <v>1068</v>
      </c>
      <c r="C292" s="293" t="s">
        <v>1956</v>
      </c>
      <c r="D292" s="293" t="s">
        <v>1957</v>
      </c>
      <c r="E292" s="313" t="s">
        <v>5138</v>
      </c>
      <c r="F292" s="293" t="s">
        <v>5139</v>
      </c>
      <c r="G292" s="298" t="s">
        <v>5160</v>
      </c>
      <c r="H292" s="298" t="s">
        <v>5170</v>
      </c>
    </row>
    <row r="293" spans="1:8">
      <c r="A293" s="293" t="s">
        <v>1067</v>
      </c>
      <c r="B293" s="293" t="s">
        <v>1068</v>
      </c>
      <c r="C293" s="293" t="s">
        <v>3501</v>
      </c>
      <c r="D293" s="293" t="s">
        <v>3502</v>
      </c>
      <c r="E293" s="313" t="s">
        <v>5138</v>
      </c>
      <c r="F293" s="293" t="s">
        <v>5139</v>
      </c>
      <c r="G293" s="298" t="s">
        <v>5160</v>
      </c>
      <c r="H293" s="298" t="s">
        <v>5170</v>
      </c>
    </row>
    <row r="294" spans="1:8">
      <c r="A294" s="293" t="s">
        <v>1067</v>
      </c>
      <c r="B294" s="293" t="s">
        <v>1068</v>
      </c>
      <c r="C294" s="293" t="s">
        <v>3503</v>
      </c>
      <c r="D294" s="293" t="s">
        <v>3504</v>
      </c>
      <c r="E294" s="313" t="s">
        <v>5138</v>
      </c>
      <c r="F294" s="293" t="s">
        <v>5139</v>
      </c>
      <c r="G294" s="298" t="s">
        <v>5160</v>
      </c>
      <c r="H294" s="298" t="s">
        <v>5170</v>
      </c>
    </row>
    <row r="295" spans="1:8">
      <c r="A295" s="293" t="s">
        <v>1099</v>
      </c>
      <c r="B295" s="293" t="s">
        <v>1100</v>
      </c>
      <c r="C295" s="293" t="s">
        <v>1101</v>
      </c>
      <c r="D295" s="293" t="s">
        <v>1102</v>
      </c>
      <c r="E295" s="313" t="s">
        <v>5154</v>
      </c>
      <c r="F295" s="293" t="s">
        <v>5155</v>
      </c>
      <c r="G295" s="298" t="s">
        <v>5160</v>
      </c>
      <c r="H295" s="298" t="s">
        <v>5172</v>
      </c>
    </row>
    <row r="296" spans="1:8">
      <c r="A296" s="293" t="s">
        <v>1099</v>
      </c>
      <c r="B296" s="293" t="s">
        <v>1100</v>
      </c>
      <c r="C296" s="293" t="s">
        <v>1101</v>
      </c>
      <c r="D296" s="293" t="s">
        <v>1102</v>
      </c>
      <c r="E296" s="313" t="s">
        <v>5138</v>
      </c>
      <c r="F296" s="293" t="s">
        <v>5139</v>
      </c>
      <c r="G296" s="298" t="s">
        <v>5160</v>
      </c>
      <c r="H296" s="298" t="s">
        <v>5170</v>
      </c>
    </row>
    <row r="297" spans="1:8">
      <c r="A297" s="293" t="s">
        <v>1099</v>
      </c>
      <c r="B297" s="293" t="s">
        <v>1100</v>
      </c>
      <c r="C297" s="293" t="s">
        <v>1103</v>
      </c>
      <c r="D297" s="293" t="s">
        <v>1104</v>
      </c>
      <c r="E297" s="313" t="s">
        <v>5138</v>
      </c>
      <c r="F297" s="293" t="s">
        <v>5139</v>
      </c>
      <c r="G297" s="298" t="s">
        <v>5160</v>
      </c>
      <c r="H297" s="298" t="s">
        <v>5170</v>
      </c>
    </row>
    <row r="298" spans="1:8">
      <c r="A298" s="293" t="s">
        <v>1099</v>
      </c>
      <c r="B298" s="293" t="s">
        <v>1100</v>
      </c>
      <c r="C298" s="293" t="s">
        <v>1105</v>
      </c>
      <c r="D298" s="293" t="s">
        <v>1106</v>
      </c>
      <c r="E298" s="313" t="s">
        <v>5138</v>
      </c>
      <c r="F298" s="293" t="s">
        <v>5139</v>
      </c>
      <c r="G298" s="298" t="s">
        <v>5160</v>
      </c>
      <c r="H298" s="298" t="s">
        <v>5170</v>
      </c>
    </row>
    <row r="299" spans="1:8">
      <c r="A299" s="293" t="s">
        <v>1099</v>
      </c>
      <c r="B299" s="293" t="s">
        <v>1100</v>
      </c>
      <c r="C299" s="293" t="s">
        <v>1107</v>
      </c>
      <c r="D299" s="293" t="s">
        <v>1108</v>
      </c>
      <c r="E299" s="313" t="s">
        <v>5138</v>
      </c>
      <c r="F299" s="293" t="s">
        <v>5139</v>
      </c>
      <c r="G299" s="298" t="s">
        <v>5160</v>
      </c>
      <c r="H299" s="298" t="s">
        <v>5170</v>
      </c>
    </row>
    <row r="300" spans="1:8">
      <c r="A300" s="293" t="s">
        <v>1099</v>
      </c>
      <c r="B300" s="293" t="s">
        <v>1100</v>
      </c>
      <c r="C300" s="293" t="s">
        <v>1109</v>
      </c>
      <c r="D300" s="293" t="s">
        <v>1110</v>
      </c>
      <c r="E300" s="313" t="s">
        <v>5138</v>
      </c>
      <c r="F300" s="293" t="s">
        <v>5139</v>
      </c>
      <c r="G300" s="298" t="s">
        <v>5160</v>
      </c>
      <c r="H300" s="298" t="s">
        <v>5170</v>
      </c>
    </row>
    <row r="301" spans="1:8">
      <c r="A301" s="293" t="s">
        <v>1099</v>
      </c>
      <c r="B301" s="293" t="s">
        <v>1100</v>
      </c>
      <c r="C301" s="293" t="s">
        <v>1111</v>
      </c>
      <c r="D301" s="293" t="s">
        <v>1112</v>
      </c>
      <c r="E301" s="313" t="s">
        <v>5138</v>
      </c>
      <c r="F301" s="293" t="s">
        <v>5139</v>
      </c>
      <c r="G301" s="298" t="s">
        <v>5160</v>
      </c>
      <c r="H301" s="298" t="s">
        <v>5170</v>
      </c>
    </row>
    <row r="302" spans="1:8">
      <c r="A302" s="293" t="s">
        <v>1099</v>
      </c>
      <c r="B302" s="293" t="s">
        <v>1100</v>
      </c>
      <c r="C302" s="293" t="s">
        <v>1113</v>
      </c>
      <c r="D302" s="293" t="s">
        <v>1114</v>
      </c>
      <c r="E302" s="313" t="s">
        <v>5138</v>
      </c>
      <c r="F302" s="293" t="s">
        <v>5139</v>
      </c>
      <c r="G302" s="298" t="s">
        <v>5160</v>
      </c>
      <c r="H302" s="298" t="s">
        <v>5170</v>
      </c>
    </row>
    <row r="303" spans="1:8">
      <c r="A303" s="293" t="s">
        <v>1099</v>
      </c>
      <c r="B303" s="293" t="s">
        <v>1100</v>
      </c>
      <c r="C303" s="293" t="s">
        <v>1115</v>
      </c>
      <c r="D303" s="293" t="s">
        <v>1116</v>
      </c>
      <c r="E303" s="313" t="s">
        <v>5138</v>
      </c>
      <c r="F303" s="293" t="s">
        <v>5139</v>
      </c>
      <c r="G303" s="298" t="s">
        <v>5160</v>
      </c>
      <c r="H303" s="298" t="s">
        <v>5170</v>
      </c>
    </row>
    <row r="304" spans="1:8">
      <c r="A304" s="293" t="s">
        <v>1099</v>
      </c>
      <c r="B304" s="293" t="s">
        <v>1100</v>
      </c>
      <c r="C304" s="293" t="s">
        <v>1117</v>
      </c>
      <c r="D304" s="293" t="s">
        <v>1118</v>
      </c>
      <c r="E304" s="313" t="s">
        <v>5154</v>
      </c>
      <c r="F304" s="293" t="s">
        <v>5155</v>
      </c>
      <c r="G304" s="298" t="s">
        <v>5160</v>
      </c>
      <c r="H304" s="298" t="s">
        <v>5172</v>
      </c>
    </row>
    <row r="305" spans="1:8">
      <c r="A305" s="293" t="s">
        <v>1099</v>
      </c>
      <c r="B305" s="293" t="s">
        <v>1100</v>
      </c>
      <c r="C305" s="293" t="s">
        <v>1117</v>
      </c>
      <c r="D305" s="293" t="s">
        <v>1118</v>
      </c>
      <c r="E305" s="313" t="s">
        <v>5138</v>
      </c>
      <c r="F305" s="293" t="s">
        <v>5139</v>
      </c>
      <c r="G305" s="298" t="s">
        <v>5160</v>
      </c>
      <c r="H305" s="298" t="s">
        <v>5170</v>
      </c>
    </row>
    <row r="306" spans="1:8">
      <c r="A306" s="293" t="s">
        <v>1099</v>
      </c>
      <c r="B306" s="293" t="s">
        <v>1100</v>
      </c>
      <c r="C306" s="293" t="s">
        <v>1119</v>
      </c>
      <c r="D306" s="293" t="s">
        <v>1120</v>
      </c>
      <c r="E306" s="313" t="s">
        <v>5138</v>
      </c>
      <c r="F306" s="293" t="s">
        <v>5139</v>
      </c>
      <c r="G306" s="298" t="s">
        <v>5160</v>
      </c>
      <c r="H306" s="298" t="s">
        <v>5170</v>
      </c>
    </row>
    <row r="307" spans="1:8">
      <c r="A307" s="293" t="s">
        <v>1099</v>
      </c>
      <c r="B307" s="293" t="s">
        <v>1100</v>
      </c>
      <c r="C307" s="293" t="s">
        <v>1121</v>
      </c>
      <c r="D307" s="293" t="s">
        <v>1122</v>
      </c>
      <c r="E307" s="313" t="s">
        <v>5138</v>
      </c>
      <c r="F307" s="293" t="s">
        <v>5139</v>
      </c>
      <c r="G307" s="298" t="s">
        <v>5160</v>
      </c>
      <c r="H307" s="298" t="s">
        <v>5170</v>
      </c>
    </row>
    <row r="308" spans="1:8">
      <c r="A308" s="293" t="s">
        <v>1099</v>
      </c>
      <c r="B308" s="293" t="s">
        <v>1100</v>
      </c>
      <c r="C308" s="293" t="s">
        <v>1958</v>
      </c>
      <c r="D308" s="293" t="s">
        <v>1959</v>
      </c>
      <c r="E308" s="313" t="s">
        <v>5138</v>
      </c>
      <c r="F308" s="293" t="s">
        <v>5139</v>
      </c>
      <c r="G308" s="298" t="s">
        <v>5160</v>
      </c>
      <c r="H308" s="298" t="s">
        <v>5170</v>
      </c>
    </row>
    <row r="309" spans="1:8">
      <c r="A309" s="293" t="s">
        <v>1099</v>
      </c>
      <c r="B309" s="293" t="s">
        <v>1100</v>
      </c>
      <c r="C309" s="293" t="s">
        <v>1960</v>
      </c>
      <c r="D309" s="293" t="s">
        <v>1961</v>
      </c>
      <c r="E309" s="313" t="s">
        <v>5138</v>
      </c>
      <c r="F309" s="293" t="s">
        <v>5139</v>
      </c>
      <c r="G309" s="298" t="s">
        <v>5160</v>
      </c>
      <c r="H309" s="298" t="s">
        <v>5170</v>
      </c>
    </row>
    <row r="310" spans="1:8">
      <c r="A310" s="293" t="s">
        <v>1099</v>
      </c>
      <c r="B310" s="293" t="s">
        <v>1100</v>
      </c>
      <c r="C310" s="293" t="s">
        <v>1962</v>
      </c>
      <c r="D310" s="293" t="s">
        <v>1963</v>
      </c>
      <c r="E310" s="313" t="s">
        <v>5138</v>
      </c>
      <c r="F310" s="293" t="s">
        <v>5139</v>
      </c>
      <c r="G310" s="298" t="s">
        <v>5160</v>
      </c>
      <c r="H310" s="298" t="s">
        <v>5170</v>
      </c>
    </row>
    <row r="311" spans="1:8">
      <c r="A311" s="293" t="s">
        <v>1099</v>
      </c>
      <c r="B311" s="293" t="s">
        <v>1100</v>
      </c>
      <c r="C311" s="293" t="s">
        <v>3505</v>
      </c>
      <c r="D311" s="293" t="s">
        <v>3506</v>
      </c>
      <c r="E311" s="313" t="s">
        <v>5138</v>
      </c>
      <c r="F311" s="293" t="s">
        <v>5139</v>
      </c>
      <c r="G311" s="298" t="s">
        <v>5160</v>
      </c>
      <c r="H311" s="298" t="s">
        <v>5170</v>
      </c>
    </row>
    <row r="312" spans="1:8">
      <c r="A312" s="293" t="s">
        <v>1099</v>
      </c>
      <c r="B312" s="293" t="s">
        <v>1100</v>
      </c>
      <c r="C312" s="293" t="s">
        <v>1123</v>
      </c>
      <c r="D312" s="293" t="s">
        <v>680</v>
      </c>
      <c r="E312" s="313" t="s">
        <v>5154</v>
      </c>
      <c r="F312" s="293" t="s">
        <v>5155</v>
      </c>
      <c r="G312" s="298" t="s">
        <v>5160</v>
      </c>
      <c r="H312" s="298" t="s">
        <v>5172</v>
      </c>
    </row>
    <row r="313" spans="1:8">
      <c r="A313" s="293" t="s">
        <v>1099</v>
      </c>
      <c r="B313" s="293" t="s">
        <v>1100</v>
      </c>
      <c r="C313" s="293" t="s">
        <v>1124</v>
      </c>
      <c r="D313" s="293" t="s">
        <v>1125</v>
      </c>
      <c r="E313" s="313" t="s">
        <v>5154</v>
      </c>
      <c r="F313" s="293" t="s">
        <v>5155</v>
      </c>
      <c r="G313" s="298" t="s">
        <v>5160</v>
      </c>
      <c r="H313" s="298" t="s">
        <v>5172</v>
      </c>
    </row>
    <row r="314" spans="1:8">
      <c r="A314" s="293" t="s">
        <v>3453</v>
      </c>
      <c r="B314" s="293" t="s">
        <v>3454</v>
      </c>
      <c r="C314" s="293" t="s">
        <v>1786</v>
      </c>
      <c r="D314" s="293" t="s">
        <v>1787</v>
      </c>
      <c r="E314" s="313" t="s">
        <v>5136</v>
      </c>
      <c r="F314" s="293" t="s">
        <v>5137</v>
      </c>
      <c r="G314" s="298" t="s">
        <v>5162</v>
      </c>
      <c r="H314" s="298" t="s">
        <v>5163</v>
      </c>
    </row>
    <row r="315" spans="1:8">
      <c r="A315" s="293" t="s">
        <v>3453</v>
      </c>
      <c r="B315" s="293" t="s">
        <v>3454</v>
      </c>
      <c r="C315" s="293" t="s">
        <v>1818</v>
      </c>
      <c r="D315" s="293" t="s">
        <v>1819</v>
      </c>
      <c r="E315" s="313" t="s">
        <v>5136</v>
      </c>
      <c r="F315" s="293" t="s">
        <v>5137</v>
      </c>
      <c r="G315" s="298" t="s">
        <v>5162</v>
      </c>
      <c r="H315" s="298" t="s">
        <v>5163</v>
      </c>
    </row>
    <row r="316" spans="1:8">
      <c r="A316" s="293" t="s">
        <v>3453</v>
      </c>
      <c r="B316" s="293" t="s">
        <v>3454</v>
      </c>
      <c r="C316" s="293" t="s">
        <v>3507</v>
      </c>
      <c r="D316" s="293" t="s">
        <v>3508</v>
      </c>
      <c r="E316" s="313" t="s">
        <v>5136</v>
      </c>
      <c r="F316" s="293" t="s">
        <v>5137</v>
      </c>
      <c r="G316" s="298" t="s">
        <v>5162</v>
      </c>
      <c r="H316" s="298" t="s">
        <v>5163</v>
      </c>
    </row>
    <row r="317" spans="1:8">
      <c r="A317" s="293" t="s">
        <v>3453</v>
      </c>
      <c r="B317" s="293" t="s">
        <v>3454</v>
      </c>
      <c r="C317" s="293" t="s">
        <v>3509</v>
      </c>
      <c r="D317" s="293" t="s">
        <v>3510</v>
      </c>
      <c r="E317" s="313" t="s">
        <v>5136</v>
      </c>
      <c r="F317" s="293" t="s">
        <v>5137</v>
      </c>
      <c r="G317" s="298" t="s">
        <v>5162</v>
      </c>
      <c r="H317" s="298" t="s">
        <v>5163</v>
      </c>
    </row>
    <row r="318" spans="1:8">
      <c r="A318" s="293" t="s">
        <v>3453</v>
      </c>
      <c r="B318" s="293" t="s">
        <v>3454</v>
      </c>
      <c r="C318" s="293" t="s">
        <v>3511</v>
      </c>
      <c r="D318" s="293" t="s">
        <v>3512</v>
      </c>
      <c r="E318" s="313" t="s">
        <v>5136</v>
      </c>
      <c r="F318" s="293" t="s">
        <v>5137</v>
      </c>
      <c r="G318" s="298" t="s">
        <v>5162</v>
      </c>
      <c r="H318" s="298" t="s">
        <v>5163</v>
      </c>
    </row>
    <row r="319" spans="1:8">
      <c r="A319" s="293" t="s">
        <v>3453</v>
      </c>
      <c r="B319" s="293" t="s">
        <v>3454</v>
      </c>
      <c r="C319" s="293" t="s">
        <v>1862</v>
      </c>
      <c r="D319" s="293" t="s">
        <v>1863</v>
      </c>
      <c r="E319" s="313" t="s">
        <v>5136</v>
      </c>
      <c r="F319" s="293" t="s">
        <v>5137</v>
      </c>
      <c r="G319" s="298" t="s">
        <v>5162</v>
      </c>
      <c r="H319" s="298" t="s">
        <v>5163</v>
      </c>
    </row>
    <row r="320" spans="1:8">
      <c r="A320" s="293" t="s">
        <v>3453</v>
      </c>
      <c r="B320" s="293" t="s">
        <v>3454</v>
      </c>
      <c r="C320" s="293" t="s">
        <v>955</v>
      </c>
      <c r="D320" s="293" t="s">
        <v>956</v>
      </c>
      <c r="E320" s="313" t="s">
        <v>5136</v>
      </c>
      <c r="F320" s="293" t="s">
        <v>5137</v>
      </c>
      <c r="G320" s="298" t="s">
        <v>5162</v>
      </c>
      <c r="H320" s="298" t="s">
        <v>5163</v>
      </c>
    </row>
    <row r="321" spans="1:8">
      <c r="A321" s="293" t="s">
        <v>3453</v>
      </c>
      <c r="B321" s="293" t="s">
        <v>3454</v>
      </c>
      <c r="C321" s="293" t="s">
        <v>3513</v>
      </c>
      <c r="D321" s="293" t="s">
        <v>3514</v>
      </c>
      <c r="E321" s="313" t="s">
        <v>5136</v>
      </c>
      <c r="F321" s="293" t="s">
        <v>5137</v>
      </c>
      <c r="G321" s="298" t="s">
        <v>5162</v>
      </c>
      <c r="H321" s="298" t="s">
        <v>5163</v>
      </c>
    </row>
    <row r="322" spans="1:8">
      <c r="A322" s="293" t="s">
        <v>3453</v>
      </c>
      <c r="B322" s="293" t="s">
        <v>3454</v>
      </c>
      <c r="C322" s="293" t="s">
        <v>3515</v>
      </c>
      <c r="D322" s="293" t="s">
        <v>3516</v>
      </c>
      <c r="E322" s="313" t="s">
        <v>5136</v>
      </c>
      <c r="F322" s="293" t="s">
        <v>5137</v>
      </c>
      <c r="G322" s="298" t="s">
        <v>5162</v>
      </c>
      <c r="H322" s="298" t="s">
        <v>5163</v>
      </c>
    </row>
    <row r="323" spans="1:8">
      <c r="A323" s="293" t="s">
        <v>3453</v>
      </c>
      <c r="B323" s="293" t="s">
        <v>3454</v>
      </c>
      <c r="C323" s="293" t="s">
        <v>3517</v>
      </c>
      <c r="D323" s="293" t="s">
        <v>3518</v>
      </c>
      <c r="E323" s="313" t="s">
        <v>5136</v>
      </c>
      <c r="F323" s="293" t="s">
        <v>5137</v>
      </c>
      <c r="G323" s="298" t="s">
        <v>5162</v>
      </c>
      <c r="H323" s="298" t="s">
        <v>5163</v>
      </c>
    </row>
    <row r="324" spans="1:8">
      <c r="A324" s="293" t="s">
        <v>3453</v>
      </c>
      <c r="B324" s="293" t="s">
        <v>3454</v>
      </c>
      <c r="C324" s="293" t="s">
        <v>3455</v>
      </c>
      <c r="D324" s="293" t="s">
        <v>680</v>
      </c>
      <c r="E324" s="313" t="s">
        <v>5136</v>
      </c>
      <c r="F324" s="293" t="s">
        <v>5137</v>
      </c>
      <c r="G324" s="298" t="s">
        <v>5162</v>
      </c>
      <c r="H324" s="298" t="s">
        <v>5163</v>
      </c>
    </row>
  </sheetData>
  <autoFilter ref="A3:H324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B75" sqref="B75"/>
    </sheetView>
  </sheetViews>
  <sheetFormatPr defaultRowHeight="15"/>
  <cols>
    <col min="1" max="1" width="22.5703125" customWidth="1"/>
    <col min="2" max="2" width="131" customWidth="1"/>
  </cols>
  <sheetData>
    <row r="1" spans="1:2">
      <c r="A1" s="130" t="s">
        <v>1126</v>
      </c>
      <c r="B1" s="131"/>
    </row>
    <row r="2" spans="1:2">
      <c r="A2" s="177" t="s">
        <v>694</v>
      </c>
      <c r="B2" s="178"/>
    </row>
    <row r="3" spans="1:2">
      <c r="A3" s="168" t="s">
        <v>928</v>
      </c>
      <c r="B3" s="172" t="s">
        <v>488</v>
      </c>
    </row>
    <row r="4" spans="1:2">
      <c r="A4" s="169" t="s">
        <v>936</v>
      </c>
      <c r="B4" s="173" t="s">
        <v>937</v>
      </c>
    </row>
    <row r="5" spans="1:2">
      <c r="A5" s="170" t="s">
        <v>959</v>
      </c>
      <c r="B5" s="171" t="s">
        <v>1647</v>
      </c>
    </row>
    <row r="6" spans="1:2">
      <c r="A6" s="175" t="s">
        <v>1164</v>
      </c>
      <c r="B6" s="174" t="s">
        <v>1165</v>
      </c>
    </row>
    <row r="7" spans="1:2">
      <c r="A7" s="175" t="s">
        <v>1166</v>
      </c>
      <c r="B7" s="174" t="s">
        <v>1167</v>
      </c>
    </row>
    <row r="8" spans="1:2">
      <c r="A8" s="175" t="s">
        <v>1168</v>
      </c>
      <c r="B8" s="174" t="s">
        <v>1169</v>
      </c>
    </row>
    <row r="9" spans="1:2">
      <c r="A9" s="175" t="s">
        <v>1170</v>
      </c>
      <c r="B9" s="174" t="s">
        <v>254</v>
      </c>
    </row>
    <row r="10" spans="1:2">
      <c r="A10" s="175" t="s">
        <v>1171</v>
      </c>
      <c r="B10" s="174" t="s">
        <v>1172</v>
      </c>
    </row>
    <row r="11" spans="1:2">
      <c r="A11" s="175" t="s">
        <v>1173</v>
      </c>
      <c r="B11" s="174" t="s">
        <v>1174</v>
      </c>
    </row>
    <row r="12" spans="1:2">
      <c r="A12" s="175" t="s">
        <v>1175</v>
      </c>
      <c r="B12" s="174" t="s">
        <v>1176</v>
      </c>
    </row>
    <row r="13" spans="1:2" ht="15.75" customHeight="1">
      <c r="A13" s="175" t="s">
        <v>1177</v>
      </c>
      <c r="B13" s="174" t="s">
        <v>1178</v>
      </c>
    </row>
    <row r="14" spans="1:2">
      <c r="A14" s="170" t="s">
        <v>952</v>
      </c>
      <c r="B14" s="171" t="s">
        <v>997</v>
      </c>
    </row>
    <row r="15" spans="1:2">
      <c r="A15" s="175" t="s">
        <v>1127</v>
      </c>
      <c r="B15" s="174" t="s">
        <v>1128</v>
      </c>
    </row>
    <row r="16" spans="1:2">
      <c r="A16" s="175" t="s">
        <v>1129</v>
      </c>
      <c r="B16" s="174" t="s">
        <v>1130</v>
      </c>
    </row>
    <row r="17" spans="1:2">
      <c r="A17" s="175" t="s">
        <v>1131</v>
      </c>
      <c r="B17" s="174" t="s">
        <v>1132</v>
      </c>
    </row>
    <row r="18" spans="1:2">
      <c r="A18" s="175" t="s">
        <v>1133</v>
      </c>
      <c r="B18" s="174" t="s">
        <v>1134</v>
      </c>
    </row>
    <row r="19" spans="1:2">
      <c r="A19" s="175" t="s">
        <v>1135</v>
      </c>
      <c r="B19" s="174" t="s">
        <v>868</v>
      </c>
    </row>
    <row r="20" spans="1:2">
      <c r="A20" s="175" t="s">
        <v>1136</v>
      </c>
      <c r="B20" s="174" t="s">
        <v>870</v>
      </c>
    </row>
    <row r="21" spans="1:2">
      <c r="A21" s="175" t="s">
        <v>1137</v>
      </c>
      <c r="B21" s="174" t="s">
        <v>872</v>
      </c>
    </row>
    <row r="22" spans="1:2">
      <c r="A22" s="175" t="s">
        <v>1138</v>
      </c>
      <c r="B22" s="174" t="s">
        <v>1139</v>
      </c>
    </row>
    <row r="23" spans="1:2">
      <c r="A23" s="175" t="s">
        <v>1140</v>
      </c>
      <c r="B23" s="174" t="s">
        <v>1141</v>
      </c>
    </row>
    <row r="24" spans="1:2">
      <c r="A24" s="175" t="s">
        <v>1142</v>
      </c>
      <c r="B24" s="174" t="s">
        <v>1143</v>
      </c>
    </row>
    <row r="25" spans="1:2">
      <c r="A25" s="175" t="s">
        <v>1144</v>
      </c>
      <c r="B25" s="174" t="s">
        <v>1145</v>
      </c>
    </row>
    <row r="26" spans="1:2">
      <c r="A26" s="175" t="s">
        <v>1146</v>
      </c>
      <c r="B26" s="174" t="s">
        <v>1147</v>
      </c>
    </row>
    <row r="27" spans="1:2">
      <c r="A27" s="175" t="s">
        <v>1148</v>
      </c>
      <c r="B27" s="174" t="s">
        <v>1149</v>
      </c>
    </row>
    <row r="28" spans="1:2">
      <c r="A28" s="175" t="s">
        <v>1150</v>
      </c>
      <c r="B28" s="174" t="s">
        <v>1151</v>
      </c>
    </row>
    <row r="29" spans="1:2">
      <c r="A29" s="175" t="s">
        <v>1152</v>
      </c>
      <c r="B29" s="174" t="s">
        <v>1153</v>
      </c>
    </row>
    <row r="30" spans="1:2">
      <c r="A30" s="175" t="s">
        <v>1154</v>
      </c>
      <c r="B30" s="174" t="s">
        <v>1155</v>
      </c>
    </row>
    <row r="31" spans="1:2">
      <c r="A31" s="175" t="s">
        <v>1156</v>
      </c>
      <c r="B31" s="174" t="s">
        <v>1157</v>
      </c>
    </row>
    <row r="32" spans="1:2">
      <c r="A32" s="175" t="s">
        <v>1158</v>
      </c>
      <c r="B32" s="174" t="s">
        <v>1159</v>
      </c>
    </row>
    <row r="33" spans="1:2">
      <c r="A33" s="175" t="s">
        <v>1160</v>
      </c>
      <c r="B33" s="174" t="s">
        <v>1161</v>
      </c>
    </row>
    <row r="34" spans="1:2">
      <c r="A34" s="175" t="s">
        <v>1162</v>
      </c>
      <c r="B34" s="174" t="s">
        <v>1163</v>
      </c>
    </row>
    <row r="35" spans="1:2">
      <c r="A35" s="175" t="s">
        <v>1243</v>
      </c>
      <c r="B35" s="174" t="s">
        <v>1184</v>
      </c>
    </row>
    <row r="36" spans="1:2">
      <c r="A36" s="175" t="s">
        <v>2007</v>
      </c>
      <c r="B36" s="174" t="s">
        <v>2008</v>
      </c>
    </row>
    <row r="37" spans="1:2">
      <c r="A37" s="169" t="s">
        <v>44</v>
      </c>
      <c r="B37" s="173" t="s">
        <v>45</v>
      </c>
    </row>
    <row r="38" spans="1:2">
      <c r="A38" s="170" t="s">
        <v>91</v>
      </c>
      <c r="B38" s="171" t="s">
        <v>1732</v>
      </c>
    </row>
    <row r="39" spans="1:2">
      <c r="A39" s="180" t="s">
        <v>695</v>
      </c>
      <c r="B39" s="179" t="s">
        <v>696</v>
      </c>
    </row>
    <row r="40" spans="1:2">
      <c r="A40" s="180" t="s">
        <v>697</v>
      </c>
      <c r="B40" s="179" t="s">
        <v>698</v>
      </c>
    </row>
    <row r="41" spans="1:2">
      <c r="A41" s="180" t="s">
        <v>699</v>
      </c>
      <c r="B41" s="179" t="s">
        <v>700</v>
      </c>
    </row>
    <row r="42" spans="1:2">
      <c r="A42" s="180" t="s">
        <v>701</v>
      </c>
      <c r="B42" s="179" t="s">
        <v>702</v>
      </c>
    </row>
    <row r="43" spans="1:2" s="136" customFormat="1">
      <c r="A43" s="348" t="s">
        <v>703</v>
      </c>
      <c r="B43" s="349" t="s">
        <v>704</v>
      </c>
    </row>
    <row r="44" spans="1:2">
      <c r="A44" s="180" t="s">
        <v>3015</v>
      </c>
      <c r="B44" s="179" t="s">
        <v>3016</v>
      </c>
    </row>
    <row r="45" spans="1:2">
      <c r="A45" s="180" t="s">
        <v>3017</v>
      </c>
      <c r="B45" s="179" t="s">
        <v>3018</v>
      </c>
    </row>
    <row r="46" spans="1:2">
      <c r="A46" s="180" t="s">
        <v>3019</v>
      </c>
      <c r="B46" s="179" t="s">
        <v>3020</v>
      </c>
    </row>
    <row r="47" spans="1:2">
      <c r="A47" s="180" t="s">
        <v>705</v>
      </c>
      <c r="B47" s="179" t="s">
        <v>706</v>
      </c>
    </row>
    <row r="48" spans="1:2">
      <c r="A48" s="180" t="s">
        <v>1244</v>
      </c>
      <c r="B48" s="179" t="s">
        <v>1245</v>
      </c>
    </row>
    <row r="49" spans="1:2">
      <c r="A49" s="180" t="s">
        <v>1246</v>
      </c>
      <c r="B49" s="179" t="s">
        <v>1247</v>
      </c>
    </row>
    <row r="50" spans="1:2" s="136" customFormat="1">
      <c r="A50" s="348" t="s">
        <v>1248</v>
      </c>
      <c r="B50" s="349" t="s">
        <v>1249</v>
      </c>
    </row>
    <row r="51" spans="1:2" s="136" customFormat="1">
      <c r="A51" s="348" t="s">
        <v>1250</v>
      </c>
      <c r="B51" s="349" t="s">
        <v>1251</v>
      </c>
    </row>
    <row r="52" spans="1:2">
      <c r="A52" s="180" t="s">
        <v>1252</v>
      </c>
      <c r="B52" s="179" t="s">
        <v>1253</v>
      </c>
    </row>
    <row r="53" spans="1:2">
      <c r="A53" s="180" t="s">
        <v>1254</v>
      </c>
      <c r="B53" s="179" t="s">
        <v>1255</v>
      </c>
    </row>
    <row r="54" spans="1:2">
      <c r="A54" s="180" t="s">
        <v>1256</v>
      </c>
      <c r="B54" s="179" t="s">
        <v>1257</v>
      </c>
    </row>
    <row r="55" spans="1:2">
      <c r="A55" s="180" t="s">
        <v>1258</v>
      </c>
      <c r="B55" s="179" t="s">
        <v>1259</v>
      </c>
    </row>
    <row r="56" spans="1:2">
      <c r="A56" s="180" t="s">
        <v>1260</v>
      </c>
      <c r="B56" s="179" t="s">
        <v>1261</v>
      </c>
    </row>
    <row r="57" spans="1:2">
      <c r="A57" s="180" t="s">
        <v>1262</v>
      </c>
      <c r="B57" s="179" t="s">
        <v>1263</v>
      </c>
    </row>
    <row r="58" spans="1:2" s="136" customFormat="1">
      <c r="A58" s="348" t="s">
        <v>1264</v>
      </c>
      <c r="B58" s="349" t="s">
        <v>1265</v>
      </c>
    </row>
    <row r="59" spans="1:2">
      <c r="A59" s="180" t="s">
        <v>3021</v>
      </c>
      <c r="B59" s="179" t="s">
        <v>3022</v>
      </c>
    </row>
    <row r="60" spans="1:2">
      <c r="A60" s="180" t="s">
        <v>2009</v>
      </c>
      <c r="B60" s="179" t="s">
        <v>2010</v>
      </c>
    </row>
    <row r="61" spans="1:2">
      <c r="A61" s="180" t="s">
        <v>2011</v>
      </c>
      <c r="B61" s="179" t="s">
        <v>2012</v>
      </c>
    </row>
    <row r="62" spans="1:2">
      <c r="A62" s="180" t="s">
        <v>2013</v>
      </c>
      <c r="B62" s="179" t="s">
        <v>2014</v>
      </c>
    </row>
    <row r="63" spans="1:2">
      <c r="A63" s="180" t="s">
        <v>2015</v>
      </c>
      <c r="B63" s="179" t="s">
        <v>2016</v>
      </c>
    </row>
    <row r="64" spans="1:2">
      <c r="A64" s="180" t="s">
        <v>2017</v>
      </c>
      <c r="B64" s="179" t="s">
        <v>2018</v>
      </c>
    </row>
    <row r="65" spans="1:2">
      <c r="A65" s="180" t="s">
        <v>2019</v>
      </c>
      <c r="B65" s="179" t="s">
        <v>2020</v>
      </c>
    </row>
    <row r="66" spans="1:2">
      <c r="A66" s="180" t="s">
        <v>2021</v>
      </c>
      <c r="B66" s="179" t="s">
        <v>2022</v>
      </c>
    </row>
    <row r="67" spans="1:2">
      <c r="A67" s="180" t="s">
        <v>2023</v>
      </c>
      <c r="B67" s="179" t="s">
        <v>2024</v>
      </c>
    </row>
    <row r="68" spans="1:2" s="136" customFormat="1">
      <c r="A68" s="348" t="s">
        <v>2025</v>
      </c>
      <c r="B68" s="349" t="s">
        <v>2026</v>
      </c>
    </row>
    <row r="69" spans="1:2">
      <c r="A69" s="180" t="s">
        <v>2027</v>
      </c>
      <c r="B69" s="179" t="s">
        <v>2028</v>
      </c>
    </row>
    <row r="70" spans="1:2">
      <c r="A70" s="180" t="s">
        <v>2029</v>
      </c>
      <c r="B70" s="179" t="s">
        <v>2030</v>
      </c>
    </row>
    <row r="71" spans="1:2">
      <c r="A71" s="180" t="s">
        <v>2031</v>
      </c>
      <c r="B71" s="179" t="s">
        <v>2032</v>
      </c>
    </row>
    <row r="72" spans="1:2">
      <c r="A72" s="180" t="s">
        <v>2033</v>
      </c>
      <c r="B72" s="179" t="s">
        <v>2034</v>
      </c>
    </row>
    <row r="73" spans="1:2">
      <c r="A73" s="180" t="s">
        <v>2035</v>
      </c>
      <c r="B73" s="179" t="s">
        <v>2036</v>
      </c>
    </row>
    <row r="74" spans="1:2">
      <c r="A74" s="180" t="s">
        <v>2037</v>
      </c>
      <c r="B74" s="179" t="s">
        <v>2038</v>
      </c>
    </row>
    <row r="75" spans="1:2">
      <c r="A75" s="180" t="s">
        <v>2039</v>
      </c>
      <c r="B75" s="179" t="s">
        <v>2040</v>
      </c>
    </row>
    <row r="76" spans="1:2">
      <c r="A76" s="180" t="s">
        <v>2041</v>
      </c>
      <c r="B76" s="179" t="s">
        <v>2042</v>
      </c>
    </row>
    <row r="77" spans="1:2">
      <c r="A77" s="180" t="s">
        <v>2043</v>
      </c>
      <c r="B77" s="179" t="s">
        <v>2044</v>
      </c>
    </row>
    <row r="78" spans="1:2">
      <c r="A78" s="180" t="s">
        <v>2045</v>
      </c>
      <c r="B78" s="179" t="s">
        <v>2046</v>
      </c>
    </row>
    <row r="79" spans="1:2">
      <c r="A79" s="180" t="s">
        <v>2047</v>
      </c>
      <c r="B79" s="179" t="s">
        <v>2048</v>
      </c>
    </row>
    <row r="80" spans="1:2">
      <c r="A80" s="180" t="s">
        <v>2049</v>
      </c>
      <c r="B80" s="179" t="s">
        <v>2050</v>
      </c>
    </row>
    <row r="81" spans="1:2">
      <c r="A81" s="180" t="s">
        <v>2051</v>
      </c>
      <c r="B81" s="179" t="s">
        <v>2052</v>
      </c>
    </row>
    <row r="82" spans="1:2">
      <c r="A82" s="180" t="s">
        <v>2053</v>
      </c>
      <c r="B82" s="179" t="s">
        <v>2054</v>
      </c>
    </row>
    <row r="83" spans="1:2">
      <c r="A83" s="180" t="s">
        <v>2055</v>
      </c>
      <c r="B83" s="179" t="s">
        <v>2056</v>
      </c>
    </row>
    <row r="84" spans="1:2">
      <c r="A84" s="180" t="s">
        <v>2057</v>
      </c>
      <c r="B84" s="179" t="s">
        <v>2058</v>
      </c>
    </row>
    <row r="85" spans="1:2" s="136" customFormat="1">
      <c r="A85" s="348" t="s">
        <v>2059</v>
      </c>
      <c r="B85" s="349" t="s">
        <v>2060</v>
      </c>
    </row>
    <row r="86" spans="1:2">
      <c r="A86" s="180" t="s">
        <v>3023</v>
      </c>
      <c r="B86" s="179" t="s">
        <v>3024</v>
      </c>
    </row>
    <row r="87" spans="1:2">
      <c r="A87" s="180" t="s">
        <v>3025</v>
      </c>
      <c r="B87" s="179" t="s">
        <v>3026</v>
      </c>
    </row>
    <row r="88" spans="1:2">
      <c r="A88" s="180" t="s">
        <v>3027</v>
      </c>
      <c r="B88" s="179" t="s">
        <v>3028</v>
      </c>
    </row>
    <row r="89" spans="1:2">
      <c r="A89" s="180" t="s">
        <v>3029</v>
      </c>
      <c r="B89" s="179" t="s">
        <v>3030</v>
      </c>
    </row>
    <row r="90" spans="1:2">
      <c r="A90" s="180" t="s">
        <v>3031</v>
      </c>
      <c r="B90" s="179" t="s">
        <v>3032</v>
      </c>
    </row>
    <row r="91" spans="1:2">
      <c r="A91" s="180" t="s">
        <v>3033</v>
      </c>
      <c r="B91" s="179" t="s">
        <v>3034</v>
      </c>
    </row>
    <row r="92" spans="1:2">
      <c r="A92" s="180" t="s">
        <v>3035</v>
      </c>
      <c r="B92" s="179" t="s">
        <v>3036</v>
      </c>
    </row>
    <row r="93" spans="1:2">
      <c r="A93" s="180" t="s">
        <v>3037</v>
      </c>
      <c r="B93" s="179" t="s">
        <v>3038</v>
      </c>
    </row>
    <row r="94" spans="1:2">
      <c r="A94" s="180" t="s">
        <v>3039</v>
      </c>
      <c r="B94" s="179" t="s">
        <v>1167</v>
      </c>
    </row>
    <row r="95" spans="1:2">
      <c r="A95" s="170" t="s">
        <v>115</v>
      </c>
      <c r="B95" s="171" t="s">
        <v>1733</v>
      </c>
    </row>
    <row r="96" spans="1:2">
      <c r="A96" s="182" t="s">
        <v>707</v>
      </c>
      <c r="B96" s="181" t="s">
        <v>708</v>
      </c>
    </row>
    <row r="97" spans="1:2">
      <c r="A97" s="182" t="s">
        <v>709</v>
      </c>
      <c r="B97" s="181" t="s">
        <v>710</v>
      </c>
    </row>
    <row r="98" spans="1:2">
      <c r="A98" s="182" t="s">
        <v>3040</v>
      </c>
      <c r="B98" s="181" t="s">
        <v>3041</v>
      </c>
    </row>
    <row r="99" spans="1:2">
      <c r="A99" s="182" t="s">
        <v>3042</v>
      </c>
      <c r="B99" s="181" t="s">
        <v>3043</v>
      </c>
    </row>
    <row r="100" spans="1:2">
      <c r="A100" s="182" t="s">
        <v>3044</v>
      </c>
      <c r="B100" s="181" t="s">
        <v>3045</v>
      </c>
    </row>
    <row r="101" spans="1:2">
      <c r="A101" s="182" t="s">
        <v>3046</v>
      </c>
      <c r="B101" s="181" t="s">
        <v>3047</v>
      </c>
    </row>
    <row r="102" spans="1:2">
      <c r="A102" s="182" t="s">
        <v>711</v>
      </c>
      <c r="B102" s="181" t="s">
        <v>712</v>
      </c>
    </row>
    <row r="103" spans="1:2">
      <c r="A103" s="182" t="s">
        <v>713</v>
      </c>
      <c r="B103" s="181" t="s">
        <v>714</v>
      </c>
    </row>
    <row r="104" spans="1:2">
      <c r="A104" s="182" t="s">
        <v>715</v>
      </c>
      <c r="B104" s="181" t="s">
        <v>716</v>
      </c>
    </row>
    <row r="105" spans="1:2">
      <c r="A105" s="182" t="s">
        <v>717</v>
      </c>
      <c r="B105" s="181" t="s">
        <v>718</v>
      </c>
    </row>
    <row r="106" spans="1:2">
      <c r="A106" s="182" t="s">
        <v>719</v>
      </c>
      <c r="B106" s="181" t="s">
        <v>720</v>
      </c>
    </row>
    <row r="107" spans="1:2">
      <c r="A107" s="182" t="s">
        <v>721</v>
      </c>
      <c r="B107" s="181" t="s">
        <v>722</v>
      </c>
    </row>
    <row r="108" spans="1:2">
      <c r="A108" s="182" t="s">
        <v>723</v>
      </c>
      <c r="B108" s="181" t="s">
        <v>724</v>
      </c>
    </row>
    <row r="109" spans="1:2">
      <c r="A109" s="182" t="s">
        <v>725</v>
      </c>
      <c r="B109" s="181" t="s">
        <v>726</v>
      </c>
    </row>
    <row r="110" spans="1:2">
      <c r="A110" s="182" t="s">
        <v>727</v>
      </c>
      <c r="B110" s="181" t="s">
        <v>728</v>
      </c>
    </row>
    <row r="111" spans="1:2">
      <c r="A111" s="182" t="s">
        <v>729</v>
      </c>
      <c r="B111" s="181" t="s">
        <v>730</v>
      </c>
    </row>
    <row r="112" spans="1:2">
      <c r="A112" s="182" t="s">
        <v>731</v>
      </c>
      <c r="B112" s="181" t="s">
        <v>732</v>
      </c>
    </row>
    <row r="113" spans="1:2">
      <c r="A113" s="182" t="s">
        <v>1266</v>
      </c>
      <c r="B113" s="181" t="s">
        <v>1267</v>
      </c>
    </row>
    <row r="114" spans="1:2">
      <c r="A114" s="182" t="s">
        <v>1268</v>
      </c>
      <c r="B114" s="181" t="s">
        <v>1269</v>
      </c>
    </row>
    <row r="115" spans="1:2">
      <c r="A115" s="182" t="s">
        <v>1270</v>
      </c>
      <c r="B115" s="181" t="s">
        <v>1271</v>
      </c>
    </row>
    <row r="116" spans="1:2">
      <c r="A116" s="182" t="s">
        <v>1272</v>
      </c>
      <c r="B116" s="181" t="s">
        <v>1273</v>
      </c>
    </row>
    <row r="117" spans="1:2">
      <c r="A117" s="182" t="s">
        <v>1274</v>
      </c>
      <c r="B117" s="181" t="s">
        <v>1275</v>
      </c>
    </row>
    <row r="118" spans="1:2">
      <c r="A118" s="182" t="s">
        <v>1276</v>
      </c>
      <c r="B118" s="181" t="s">
        <v>1277</v>
      </c>
    </row>
    <row r="119" spans="1:2">
      <c r="A119" s="182" t="s">
        <v>1278</v>
      </c>
      <c r="B119" s="181" t="s">
        <v>1279</v>
      </c>
    </row>
    <row r="120" spans="1:2">
      <c r="A120" s="182" t="s">
        <v>1280</v>
      </c>
      <c r="B120" s="181" t="s">
        <v>1281</v>
      </c>
    </row>
    <row r="121" spans="1:2">
      <c r="A121" s="182" t="s">
        <v>1282</v>
      </c>
      <c r="B121" s="181" t="s">
        <v>1283</v>
      </c>
    </row>
    <row r="122" spans="1:2">
      <c r="A122" s="182" t="s">
        <v>1284</v>
      </c>
      <c r="B122" s="181" t="s">
        <v>1285</v>
      </c>
    </row>
    <row r="123" spans="1:2">
      <c r="A123" s="182" t="s">
        <v>1286</v>
      </c>
      <c r="B123" s="181" t="s">
        <v>1287</v>
      </c>
    </row>
    <row r="124" spans="1:2">
      <c r="A124" s="182" t="s">
        <v>1288</v>
      </c>
      <c r="B124" s="181" t="s">
        <v>1289</v>
      </c>
    </row>
    <row r="125" spans="1:2">
      <c r="A125" s="182" t="s">
        <v>1290</v>
      </c>
      <c r="B125" s="181" t="s">
        <v>1291</v>
      </c>
    </row>
    <row r="126" spans="1:2">
      <c r="A126" s="182" t="s">
        <v>1292</v>
      </c>
      <c r="B126" s="181" t="s">
        <v>1293</v>
      </c>
    </row>
    <row r="127" spans="1:2">
      <c r="A127" s="182" t="s">
        <v>1294</v>
      </c>
      <c r="B127" s="181" t="s">
        <v>1295</v>
      </c>
    </row>
    <row r="128" spans="1:2">
      <c r="A128" s="182" t="s">
        <v>1296</v>
      </c>
      <c r="B128" s="181" t="s">
        <v>1297</v>
      </c>
    </row>
    <row r="129" spans="1:2">
      <c r="A129" s="182" t="s">
        <v>1298</v>
      </c>
      <c r="B129" s="181" t="s">
        <v>1299</v>
      </c>
    </row>
    <row r="130" spans="1:2">
      <c r="A130" s="182" t="s">
        <v>1300</v>
      </c>
      <c r="B130" s="181" t="s">
        <v>1301</v>
      </c>
    </row>
    <row r="131" spans="1:2">
      <c r="A131" s="182" t="s">
        <v>1302</v>
      </c>
      <c r="B131" s="181" t="s">
        <v>1303</v>
      </c>
    </row>
    <row r="132" spans="1:2">
      <c r="A132" s="182" t="s">
        <v>1304</v>
      </c>
      <c r="B132" s="181" t="s">
        <v>1305</v>
      </c>
    </row>
    <row r="133" spans="1:2">
      <c r="A133" s="182" t="s">
        <v>1306</v>
      </c>
      <c r="B133" s="181" t="s">
        <v>1307</v>
      </c>
    </row>
    <row r="134" spans="1:2">
      <c r="A134" s="182" t="s">
        <v>1308</v>
      </c>
      <c r="B134" s="181" t="s">
        <v>1309</v>
      </c>
    </row>
    <row r="135" spans="1:2">
      <c r="A135" s="182" t="s">
        <v>1310</v>
      </c>
      <c r="B135" s="181" t="s">
        <v>1311</v>
      </c>
    </row>
    <row r="136" spans="1:2">
      <c r="A136" s="182" t="s">
        <v>1312</v>
      </c>
      <c r="B136" s="181" t="s">
        <v>1313</v>
      </c>
    </row>
    <row r="137" spans="1:2">
      <c r="A137" s="182" t="s">
        <v>1314</v>
      </c>
      <c r="B137" s="181" t="s">
        <v>1315</v>
      </c>
    </row>
    <row r="138" spans="1:2">
      <c r="A138" s="182" t="s">
        <v>1316</v>
      </c>
      <c r="B138" s="181" t="s">
        <v>1317</v>
      </c>
    </row>
    <row r="139" spans="1:2">
      <c r="A139" s="182" t="s">
        <v>1318</v>
      </c>
      <c r="B139" s="181" t="s">
        <v>1319</v>
      </c>
    </row>
    <row r="140" spans="1:2">
      <c r="A140" s="182" t="s">
        <v>1320</v>
      </c>
      <c r="B140" s="181" t="s">
        <v>1321</v>
      </c>
    </row>
    <row r="141" spans="1:2">
      <c r="A141" s="182" t="s">
        <v>1322</v>
      </c>
      <c r="B141" s="181" t="s">
        <v>1323</v>
      </c>
    </row>
    <row r="142" spans="1:2">
      <c r="A142" s="182" t="s">
        <v>1324</v>
      </c>
      <c r="B142" s="181" t="s">
        <v>1325</v>
      </c>
    </row>
    <row r="143" spans="1:2">
      <c r="A143" s="182" t="s">
        <v>1326</v>
      </c>
      <c r="B143" s="181" t="s">
        <v>1327</v>
      </c>
    </row>
    <row r="144" spans="1:2">
      <c r="A144" s="182" t="s">
        <v>1328</v>
      </c>
      <c r="B144" s="181" t="s">
        <v>1329</v>
      </c>
    </row>
    <row r="145" spans="1:2">
      <c r="A145" s="182" t="s">
        <v>1330</v>
      </c>
      <c r="B145" s="181" t="s">
        <v>1331</v>
      </c>
    </row>
    <row r="146" spans="1:2">
      <c r="A146" s="182" t="s">
        <v>1332</v>
      </c>
      <c r="B146" s="181" t="s">
        <v>1333</v>
      </c>
    </row>
    <row r="147" spans="1:2">
      <c r="A147" s="182" t="s">
        <v>2061</v>
      </c>
      <c r="B147" s="181" t="s">
        <v>2062</v>
      </c>
    </row>
    <row r="148" spans="1:2">
      <c r="A148" s="182" t="s">
        <v>2063</v>
      </c>
      <c r="B148" s="181" t="s">
        <v>2064</v>
      </c>
    </row>
    <row r="149" spans="1:2">
      <c r="A149" s="182" t="s">
        <v>2065</v>
      </c>
      <c r="B149" s="181" t="s">
        <v>2066</v>
      </c>
    </row>
    <row r="150" spans="1:2">
      <c r="A150" s="182" t="s">
        <v>2067</v>
      </c>
      <c r="B150" s="181" t="s">
        <v>2068</v>
      </c>
    </row>
    <row r="151" spans="1:2">
      <c r="A151" s="182" t="s">
        <v>2069</v>
      </c>
      <c r="B151" s="181" t="s">
        <v>2070</v>
      </c>
    </row>
    <row r="152" spans="1:2">
      <c r="A152" s="182" t="s">
        <v>2071</v>
      </c>
      <c r="B152" s="181" t="s">
        <v>2072</v>
      </c>
    </row>
    <row r="153" spans="1:2">
      <c r="A153" s="182" t="s">
        <v>2073</v>
      </c>
      <c r="B153" s="181" t="s">
        <v>2074</v>
      </c>
    </row>
    <row r="154" spans="1:2">
      <c r="A154" s="182" t="s">
        <v>2075</v>
      </c>
      <c r="B154" s="181" t="s">
        <v>2076</v>
      </c>
    </row>
    <row r="155" spans="1:2">
      <c r="A155" s="182" t="s">
        <v>2077</v>
      </c>
      <c r="B155" s="181" t="s">
        <v>2078</v>
      </c>
    </row>
    <row r="156" spans="1:2">
      <c r="A156" s="182" t="s">
        <v>2079</v>
      </c>
      <c r="B156" s="181" t="s">
        <v>2080</v>
      </c>
    </row>
    <row r="157" spans="1:2">
      <c r="A157" s="182" t="s">
        <v>2081</v>
      </c>
      <c r="B157" s="181" t="s">
        <v>2024</v>
      </c>
    </row>
    <row r="158" spans="1:2">
      <c r="A158" s="182" t="s">
        <v>2082</v>
      </c>
      <c r="B158" s="181" t="s">
        <v>2083</v>
      </c>
    </row>
    <row r="159" spans="1:2">
      <c r="A159" s="182" t="s">
        <v>2084</v>
      </c>
      <c r="B159" s="181" t="s">
        <v>2085</v>
      </c>
    </row>
    <row r="160" spans="1:2">
      <c r="A160" s="182" t="s">
        <v>2086</v>
      </c>
      <c r="B160" s="181" t="s">
        <v>2087</v>
      </c>
    </row>
    <row r="161" spans="1:2">
      <c r="A161" s="182" t="s">
        <v>2088</v>
      </c>
      <c r="B161" s="181" t="s">
        <v>2089</v>
      </c>
    </row>
    <row r="162" spans="1:2">
      <c r="A162" s="182" t="s">
        <v>2090</v>
      </c>
      <c r="B162" s="181" t="s">
        <v>2091</v>
      </c>
    </row>
    <row r="163" spans="1:2">
      <c r="A163" s="182" t="s">
        <v>2092</v>
      </c>
      <c r="B163" s="181" t="s">
        <v>2093</v>
      </c>
    </row>
    <row r="164" spans="1:2">
      <c r="A164" s="182" t="s">
        <v>2094</v>
      </c>
      <c r="B164" s="181" t="s">
        <v>2095</v>
      </c>
    </row>
    <row r="165" spans="1:2">
      <c r="A165" s="182" t="s">
        <v>2096</v>
      </c>
      <c r="B165" s="181" t="s">
        <v>2097</v>
      </c>
    </row>
    <row r="166" spans="1:2">
      <c r="A166" s="182" t="s">
        <v>2098</v>
      </c>
      <c r="B166" s="181" t="s">
        <v>2099</v>
      </c>
    </row>
    <row r="167" spans="1:2">
      <c r="A167" s="182" t="s">
        <v>2100</v>
      </c>
      <c r="B167" s="181" t="s">
        <v>2101</v>
      </c>
    </row>
    <row r="168" spans="1:2">
      <c r="A168" s="182" t="s">
        <v>2102</v>
      </c>
      <c r="B168" s="181" t="s">
        <v>2103</v>
      </c>
    </row>
    <row r="169" spans="1:2">
      <c r="A169" s="182" t="s">
        <v>2104</v>
      </c>
      <c r="B169" s="181" t="s">
        <v>2105</v>
      </c>
    </row>
    <row r="170" spans="1:2">
      <c r="A170" s="182" t="s">
        <v>2106</v>
      </c>
      <c r="B170" s="181" t="s">
        <v>2107</v>
      </c>
    </row>
    <row r="171" spans="1:2">
      <c r="A171" s="182" t="s">
        <v>2108</v>
      </c>
      <c r="B171" s="181" t="s">
        <v>2109</v>
      </c>
    </row>
    <row r="172" spans="1:2">
      <c r="A172" s="182" t="s">
        <v>2110</v>
      </c>
      <c r="B172" s="181" t="s">
        <v>2111</v>
      </c>
    </row>
    <row r="173" spans="1:2">
      <c r="A173" s="182" t="s">
        <v>2112</v>
      </c>
      <c r="B173" s="181" t="s">
        <v>2113</v>
      </c>
    </row>
    <row r="174" spans="1:2">
      <c r="A174" s="182" t="s">
        <v>2114</v>
      </c>
      <c r="B174" s="181" t="s">
        <v>2115</v>
      </c>
    </row>
    <row r="175" spans="1:2">
      <c r="A175" s="182" t="s">
        <v>2116</v>
      </c>
      <c r="B175" s="181" t="s">
        <v>2117</v>
      </c>
    </row>
    <row r="176" spans="1:2">
      <c r="A176" s="182" t="s">
        <v>2118</v>
      </c>
      <c r="B176" s="181" t="s">
        <v>2119</v>
      </c>
    </row>
    <row r="177" spans="1:2">
      <c r="A177" s="182" t="s">
        <v>2120</v>
      </c>
      <c r="B177" s="181" t="s">
        <v>2121</v>
      </c>
    </row>
    <row r="178" spans="1:2">
      <c r="A178" s="182" t="s">
        <v>2122</v>
      </c>
      <c r="B178" s="181" t="s">
        <v>2123</v>
      </c>
    </row>
    <row r="179" spans="1:2">
      <c r="A179" s="182" t="s">
        <v>2124</v>
      </c>
      <c r="B179" s="181" t="s">
        <v>2125</v>
      </c>
    </row>
    <row r="180" spans="1:2">
      <c r="A180" s="182" t="s">
        <v>2126</v>
      </c>
      <c r="B180" s="181" t="s">
        <v>2127</v>
      </c>
    </row>
    <row r="181" spans="1:2">
      <c r="A181" s="182" t="s">
        <v>2128</v>
      </c>
      <c r="B181" s="181" t="s">
        <v>2129</v>
      </c>
    </row>
    <row r="182" spans="1:2">
      <c r="A182" s="182" t="s">
        <v>2130</v>
      </c>
      <c r="B182" s="181" t="s">
        <v>2131</v>
      </c>
    </row>
    <row r="183" spans="1:2">
      <c r="A183" s="182" t="s">
        <v>2132</v>
      </c>
      <c r="B183" s="181" t="s">
        <v>2133</v>
      </c>
    </row>
    <row r="184" spans="1:2">
      <c r="A184" s="182" t="s">
        <v>2134</v>
      </c>
      <c r="B184" s="181" t="s">
        <v>2135</v>
      </c>
    </row>
    <row r="185" spans="1:2">
      <c r="A185" s="182" t="s">
        <v>2136</v>
      </c>
      <c r="B185" s="181" t="s">
        <v>2137</v>
      </c>
    </row>
    <row r="186" spans="1:2">
      <c r="A186" s="182" t="s">
        <v>2138</v>
      </c>
      <c r="B186" s="181" t="s">
        <v>2139</v>
      </c>
    </row>
    <row r="187" spans="1:2">
      <c r="A187" s="182" t="s">
        <v>2140</v>
      </c>
      <c r="B187" s="181" t="s">
        <v>2141</v>
      </c>
    </row>
    <row r="188" spans="1:2">
      <c r="A188" s="182" t="s">
        <v>2142</v>
      </c>
      <c r="B188" s="181" t="s">
        <v>2143</v>
      </c>
    </row>
    <row r="189" spans="1:2">
      <c r="A189" s="182" t="s">
        <v>2144</v>
      </c>
      <c r="B189" s="181" t="s">
        <v>2145</v>
      </c>
    </row>
    <row r="190" spans="1:2">
      <c r="A190" s="182" t="s">
        <v>2146</v>
      </c>
      <c r="B190" s="181" t="s">
        <v>2147</v>
      </c>
    </row>
    <row r="191" spans="1:2">
      <c r="A191" s="182" t="s">
        <v>2148</v>
      </c>
      <c r="B191" s="181" t="s">
        <v>2149</v>
      </c>
    </row>
    <row r="192" spans="1:2">
      <c r="A192" s="182" t="s">
        <v>2150</v>
      </c>
      <c r="B192" s="181" t="s">
        <v>2151</v>
      </c>
    </row>
    <row r="193" spans="1:2">
      <c r="A193" s="182" t="s">
        <v>2152</v>
      </c>
      <c r="B193" s="181" t="s">
        <v>2153</v>
      </c>
    </row>
    <row r="194" spans="1:2">
      <c r="A194" s="182" t="s">
        <v>2154</v>
      </c>
      <c r="B194" s="181" t="s">
        <v>2155</v>
      </c>
    </row>
    <row r="195" spans="1:2">
      <c r="A195" s="182" t="s">
        <v>2156</v>
      </c>
      <c r="B195" s="181" t="s">
        <v>2157</v>
      </c>
    </row>
    <row r="196" spans="1:2">
      <c r="A196" s="182" t="s">
        <v>2158</v>
      </c>
      <c r="B196" s="181" t="s">
        <v>2159</v>
      </c>
    </row>
    <row r="197" spans="1:2">
      <c r="A197" s="182" t="s">
        <v>2160</v>
      </c>
      <c r="B197" s="181" t="s">
        <v>2161</v>
      </c>
    </row>
    <row r="198" spans="1:2">
      <c r="A198" s="182" t="s">
        <v>2162</v>
      </c>
      <c r="B198" s="181" t="s">
        <v>2163</v>
      </c>
    </row>
    <row r="199" spans="1:2">
      <c r="A199" s="182" t="s">
        <v>2164</v>
      </c>
      <c r="B199" s="181" t="s">
        <v>2165</v>
      </c>
    </row>
    <row r="200" spans="1:2">
      <c r="A200" s="182" t="s">
        <v>2166</v>
      </c>
      <c r="B200" s="181" t="s">
        <v>2167</v>
      </c>
    </row>
    <row r="201" spans="1:2">
      <c r="A201" s="182" t="s">
        <v>3048</v>
      </c>
      <c r="B201" s="181" t="s">
        <v>3049</v>
      </c>
    </row>
    <row r="202" spans="1:2">
      <c r="A202" s="182" t="s">
        <v>3050</v>
      </c>
      <c r="B202" s="181" t="s">
        <v>3051</v>
      </c>
    </row>
    <row r="203" spans="1:2">
      <c r="A203" s="182" t="s">
        <v>3052</v>
      </c>
      <c r="B203" s="181" t="s">
        <v>3053</v>
      </c>
    </row>
    <row r="204" spans="1:2">
      <c r="A204" s="182" t="s">
        <v>3054</v>
      </c>
      <c r="B204" s="181" t="s">
        <v>3055</v>
      </c>
    </row>
    <row r="205" spans="1:2">
      <c r="A205" s="182" t="s">
        <v>3056</v>
      </c>
      <c r="B205" s="181" t="s">
        <v>3057</v>
      </c>
    </row>
    <row r="206" spans="1:2">
      <c r="A206" s="182" t="s">
        <v>3058</v>
      </c>
      <c r="B206" s="181" t="s">
        <v>3059</v>
      </c>
    </row>
    <row r="207" spans="1:2">
      <c r="A207" s="182" t="s">
        <v>3060</v>
      </c>
      <c r="B207" s="181" t="s">
        <v>2508</v>
      </c>
    </row>
    <row r="208" spans="1:2">
      <c r="A208" s="182" t="s">
        <v>3061</v>
      </c>
      <c r="B208" s="181" t="s">
        <v>3062</v>
      </c>
    </row>
    <row r="209" spans="1:2">
      <c r="A209" s="182" t="s">
        <v>3063</v>
      </c>
      <c r="B209" s="181" t="s">
        <v>3064</v>
      </c>
    </row>
    <row r="210" spans="1:2">
      <c r="A210" s="182" t="s">
        <v>3065</v>
      </c>
      <c r="B210" s="181" t="s">
        <v>3066</v>
      </c>
    </row>
    <row r="211" spans="1:2">
      <c r="A211" s="182" t="s">
        <v>3067</v>
      </c>
      <c r="B211" s="181" t="s">
        <v>3068</v>
      </c>
    </row>
    <row r="212" spans="1:2">
      <c r="A212" s="182" t="s">
        <v>3069</v>
      </c>
      <c r="B212" s="181" t="s">
        <v>3070</v>
      </c>
    </row>
    <row r="213" spans="1:2">
      <c r="A213" s="182" t="s">
        <v>3071</v>
      </c>
      <c r="B213" s="181" t="s">
        <v>3072</v>
      </c>
    </row>
    <row r="214" spans="1:2">
      <c r="A214" s="182" t="s">
        <v>3073</v>
      </c>
      <c r="B214" s="181" t="s">
        <v>3074</v>
      </c>
    </row>
    <row r="215" spans="1:2">
      <c r="A215" s="182" t="s">
        <v>3075</v>
      </c>
      <c r="B215" s="181" t="s">
        <v>3076</v>
      </c>
    </row>
    <row r="216" spans="1:2">
      <c r="A216" s="182" t="s">
        <v>3077</v>
      </c>
      <c r="B216" s="181" t="s">
        <v>3078</v>
      </c>
    </row>
    <row r="217" spans="1:2">
      <c r="A217" s="182" t="s">
        <v>3079</v>
      </c>
      <c r="B217" s="181" t="s">
        <v>3080</v>
      </c>
    </row>
    <row r="218" spans="1:2">
      <c r="A218" s="182" t="s">
        <v>3081</v>
      </c>
      <c r="B218" s="181" t="s">
        <v>3082</v>
      </c>
    </row>
    <row r="219" spans="1:2">
      <c r="A219" s="182" t="s">
        <v>3083</v>
      </c>
      <c r="B219" s="181" t="s">
        <v>3084</v>
      </c>
    </row>
    <row r="220" spans="1:2">
      <c r="A220" s="182" t="s">
        <v>3085</v>
      </c>
      <c r="B220" s="181" t="s">
        <v>3086</v>
      </c>
    </row>
    <row r="221" spans="1:2">
      <c r="A221" s="170" t="s">
        <v>1903</v>
      </c>
      <c r="B221" s="171" t="s">
        <v>1904</v>
      </c>
    </row>
    <row r="222" spans="1:2">
      <c r="A222" s="184" t="s">
        <v>3087</v>
      </c>
      <c r="B222" s="183" t="s">
        <v>3088</v>
      </c>
    </row>
    <row r="223" spans="1:2">
      <c r="A223" s="184" t="s">
        <v>2168</v>
      </c>
      <c r="B223" s="183" t="s">
        <v>2169</v>
      </c>
    </row>
    <row r="224" spans="1:2">
      <c r="A224" s="184" t="s">
        <v>2170</v>
      </c>
      <c r="B224" s="183" t="s">
        <v>2171</v>
      </c>
    </row>
    <row r="225" spans="1:2">
      <c r="A225" s="184" t="s">
        <v>2172</v>
      </c>
      <c r="B225" s="183" t="s">
        <v>2173</v>
      </c>
    </row>
    <row r="226" spans="1:2">
      <c r="A226" s="184" t="s">
        <v>2174</v>
      </c>
      <c r="B226" s="183" t="s">
        <v>2175</v>
      </c>
    </row>
    <row r="227" spans="1:2">
      <c r="A227" s="184" t="s">
        <v>2176</v>
      </c>
      <c r="B227" s="183" t="s">
        <v>2177</v>
      </c>
    </row>
    <row r="228" spans="1:2">
      <c r="A228" s="184" t="s">
        <v>2178</v>
      </c>
      <c r="B228" s="183" t="s">
        <v>2179</v>
      </c>
    </row>
    <row r="229" spans="1:2">
      <c r="A229" s="184" t="s">
        <v>2180</v>
      </c>
      <c r="B229" s="183" t="s">
        <v>2181</v>
      </c>
    </row>
    <row r="230" spans="1:2">
      <c r="A230" s="184" t="s">
        <v>2182</v>
      </c>
      <c r="B230" s="183" t="s">
        <v>2183</v>
      </c>
    </row>
    <row r="231" spans="1:2">
      <c r="A231" s="184" t="s">
        <v>2184</v>
      </c>
      <c r="B231" s="183" t="s">
        <v>2185</v>
      </c>
    </row>
    <row r="232" spans="1:2">
      <c r="A232" s="184" t="s">
        <v>2186</v>
      </c>
      <c r="B232" s="183" t="s">
        <v>2187</v>
      </c>
    </row>
    <row r="233" spans="1:2">
      <c r="A233" s="184" t="s">
        <v>2188</v>
      </c>
      <c r="B233" s="183" t="s">
        <v>2189</v>
      </c>
    </row>
    <row r="234" spans="1:2">
      <c r="A234" s="184" t="s">
        <v>2190</v>
      </c>
      <c r="B234" s="183" t="s">
        <v>2191</v>
      </c>
    </row>
    <row r="235" spans="1:2">
      <c r="A235" s="184" t="s">
        <v>2192</v>
      </c>
      <c r="B235" s="183" t="s">
        <v>2193</v>
      </c>
    </row>
    <row r="236" spans="1:2">
      <c r="A236" s="184" t="s">
        <v>2194</v>
      </c>
      <c r="B236" s="183" t="s">
        <v>2195</v>
      </c>
    </row>
    <row r="237" spans="1:2">
      <c r="A237" s="184" t="s">
        <v>3089</v>
      </c>
      <c r="B237" s="183" t="s">
        <v>3090</v>
      </c>
    </row>
    <row r="238" spans="1:2">
      <c r="A238" s="184" t="s">
        <v>3091</v>
      </c>
      <c r="B238" s="183" t="s">
        <v>3092</v>
      </c>
    </row>
    <row r="239" spans="1:2">
      <c r="A239" s="184" t="s">
        <v>3093</v>
      </c>
      <c r="B239" s="183" t="s">
        <v>3094</v>
      </c>
    </row>
    <row r="240" spans="1:2">
      <c r="A240" s="170" t="s">
        <v>122</v>
      </c>
      <c r="B240" s="171" t="s">
        <v>1734</v>
      </c>
    </row>
    <row r="241" spans="1:2">
      <c r="A241" s="186" t="s">
        <v>3095</v>
      </c>
      <c r="B241" s="185" t="s">
        <v>3096</v>
      </c>
    </row>
    <row r="242" spans="1:2">
      <c r="A242" s="186" t="s">
        <v>733</v>
      </c>
      <c r="B242" s="185" t="s">
        <v>734</v>
      </c>
    </row>
    <row r="243" spans="1:2">
      <c r="A243" s="186" t="s">
        <v>735</v>
      </c>
      <c r="B243" s="185" t="s">
        <v>736</v>
      </c>
    </row>
    <row r="244" spans="1:2">
      <c r="A244" s="186" t="s">
        <v>737</v>
      </c>
      <c r="B244" s="185" t="s">
        <v>738</v>
      </c>
    </row>
    <row r="245" spans="1:2">
      <c r="A245" s="186" t="s">
        <v>739</v>
      </c>
      <c r="B245" s="185" t="s">
        <v>740</v>
      </c>
    </row>
    <row r="246" spans="1:2">
      <c r="A246" s="186" t="s">
        <v>741</v>
      </c>
      <c r="B246" s="185" t="s">
        <v>742</v>
      </c>
    </row>
    <row r="247" spans="1:2">
      <c r="A247" s="186" t="s">
        <v>743</v>
      </c>
      <c r="B247" s="185" t="s">
        <v>744</v>
      </c>
    </row>
    <row r="248" spans="1:2">
      <c r="A248" s="186" t="s">
        <v>745</v>
      </c>
      <c r="B248" s="185" t="s">
        <v>746</v>
      </c>
    </row>
    <row r="249" spans="1:2">
      <c r="A249" s="186" t="s">
        <v>1334</v>
      </c>
      <c r="B249" s="185" t="s">
        <v>1335</v>
      </c>
    </row>
    <row r="250" spans="1:2">
      <c r="A250" s="186" t="s">
        <v>1336</v>
      </c>
      <c r="B250" s="185" t="s">
        <v>1337</v>
      </c>
    </row>
    <row r="251" spans="1:2">
      <c r="A251" s="186" t="s">
        <v>1338</v>
      </c>
      <c r="B251" s="185" t="s">
        <v>1339</v>
      </c>
    </row>
    <row r="252" spans="1:2">
      <c r="A252" s="186" t="s">
        <v>1340</v>
      </c>
      <c r="B252" s="185" t="s">
        <v>1341</v>
      </c>
    </row>
    <row r="253" spans="1:2">
      <c r="A253" s="186" t="s">
        <v>1342</v>
      </c>
      <c r="B253" s="185" t="s">
        <v>1343</v>
      </c>
    </row>
    <row r="254" spans="1:2">
      <c r="A254" s="186" t="s">
        <v>2196</v>
      </c>
      <c r="B254" s="185" t="s">
        <v>2197</v>
      </c>
    </row>
    <row r="255" spans="1:2">
      <c r="A255" s="186" t="s">
        <v>2198</v>
      </c>
      <c r="B255" s="185" t="s">
        <v>2199</v>
      </c>
    </row>
    <row r="256" spans="1:2">
      <c r="A256" s="186" t="s">
        <v>2200</v>
      </c>
      <c r="B256" s="185" t="s">
        <v>2201</v>
      </c>
    </row>
    <row r="257" spans="1:2">
      <c r="A257" s="186" t="s">
        <v>2202</v>
      </c>
      <c r="B257" s="185" t="s">
        <v>2203</v>
      </c>
    </row>
    <row r="258" spans="1:2">
      <c r="A258" s="186" t="s">
        <v>2204</v>
      </c>
      <c r="B258" s="185" t="s">
        <v>2205</v>
      </c>
    </row>
    <row r="259" spans="1:2">
      <c r="A259" s="186" t="s">
        <v>2206</v>
      </c>
      <c r="B259" s="185" t="s">
        <v>2207</v>
      </c>
    </row>
    <row r="260" spans="1:2">
      <c r="A260" s="186" t="s">
        <v>2208</v>
      </c>
      <c r="B260" s="185" t="s">
        <v>2209</v>
      </c>
    </row>
    <row r="261" spans="1:2">
      <c r="A261" s="186" t="s">
        <v>2210</v>
      </c>
      <c r="B261" s="185" t="s">
        <v>2211</v>
      </c>
    </row>
    <row r="262" spans="1:2">
      <c r="A262" s="170" t="s">
        <v>128</v>
      </c>
      <c r="B262" s="171" t="s">
        <v>1735</v>
      </c>
    </row>
    <row r="263" spans="1:2">
      <c r="A263" s="188" t="s">
        <v>3097</v>
      </c>
      <c r="B263" s="187" t="s">
        <v>3098</v>
      </c>
    </row>
    <row r="264" spans="1:2">
      <c r="A264" s="188" t="s">
        <v>3099</v>
      </c>
      <c r="B264" s="187" t="s">
        <v>3100</v>
      </c>
    </row>
    <row r="265" spans="1:2">
      <c r="A265" s="188" t="s">
        <v>3101</v>
      </c>
      <c r="B265" s="187" t="s">
        <v>3102</v>
      </c>
    </row>
    <row r="266" spans="1:2">
      <c r="A266" s="188" t="s">
        <v>3103</v>
      </c>
      <c r="B266" s="187" t="s">
        <v>3104</v>
      </c>
    </row>
    <row r="267" spans="1:2">
      <c r="A267" s="188" t="s">
        <v>3105</v>
      </c>
      <c r="B267" s="187" t="s">
        <v>3106</v>
      </c>
    </row>
    <row r="268" spans="1:2">
      <c r="A268" s="188" t="s">
        <v>3107</v>
      </c>
      <c r="B268" s="187" t="s">
        <v>3108</v>
      </c>
    </row>
    <row r="269" spans="1:2">
      <c r="A269" s="188" t="s">
        <v>747</v>
      </c>
      <c r="B269" s="187" t="s">
        <v>748</v>
      </c>
    </row>
    <row r="270" spans="1:2">
      <c r="A270" s="188" t="s">
        <v>749</v>
      </c>
      <c r="B270" s="187" t="s">
        <v>750</v>
      </c>
    </row>
    <row r="271" spans="1:2">
      <c r="A271" s="188" t="s">
        <v>1344</v>
      </c>
      <c r="B271" s="187" t="s">
        <v>1345</v>
      </c>
    </row>
    <row r="272" spans="1:2">
      <c r="A272" s="188" t="s">
        <v>1346</v>
      </c>
      <c r="B272" s="187" t="s">
        <v>1347</v>
      </c>
    </row>
    <row r="273" spans="1:2">
      <c r="A273" s="188" t="s">
        <v>2212</v>
      </c>
      <c r="B273" s="187" t="s">
        <v>2213</v>
      </c>
    </row>
    <row r="274" spans="1:2">
      <c r="A274" s="188" t="s">
        <v>2214</v>
      </c>
      <c r="B274" s="187" t="s">
        <v>2215</v>
      </c>
    </row>
    <row r="275" spans="1:2">
      <c r="A275" s="188" t="s">
        <v>2216</v>
      </c>
      <c r="B275" s="187" t="s">
        <v>2217</v>
      </c>
    </row>
    <row r="276" spans="1:2">
      <c r="A276" s="188" t="s">
        <v>2218</v>
      </c>
      <c r="B276" s="187" t="s">
        <v>2219</v>
      </c>
    </row>
    <row r="277" spans="1:2">
      <c r="A277" s="188" t="s">
        <v>2220</v>
      </c>
      <c r="B277" s="187" t="s">
        <v>2221</v>
      </c>
    </row>
    <row r="278" spans="1:2">
      <c r="A278" s="188" t="s">
        <v>3109</v>
      </c>
      <c r="B278" s="187" t="s">
        <v>3110</v>
      </c>
    </row>
    <row r="279" spans="1:2">
      <c r="A279" s="188" t="s">
        <v>3111</v>
      </c>
      <c r="B279" s="187" t="s">
        <v>3112</v>
      </c>
    </row>
    <row r="280" spans="1:2">
      <c r="A280" s="188" t="s">
        <v>3113</v>
      </c>
      <c r="B280" s="187" t="s">
        <v>3114</v>
      </c>
    </row>
    <row r="281" spans="1:2">
      <c r="A281" s="188" t="s">
        <v>3115</v>
      </c>
      <c r="B281" s="187" t="s">
        <v>2221</v>
      </c>
    </row>
    <row r="282" spans="1:2">
      <c r="A282" s="188" t="s">
        <v>3116</v>
      </c>
      <c r="B282" s="187" t="s">
        <v>3117</v>
      </c>
    </row>
    <row r="283" spans="1:2">
      <c r="A283" s="188" t="s">
        <v>3118</v>
      </c>
      <c r="B283" s="187" t="s">
        <v>3119</v>
      </c>
    </row>
    <row r="284" spans="1:2">
      <c r="A284" s="188" t="s">
        <v>3120</v>
      </c>
      <c r="B284" s="187" t="s">
        <v>3121</v>
      </c>
    </row>
    <row r="285" spans="1:2">
      <c r="A285" s="188" t="s">
        <v>3122</v>
      </c>
      <c r="B285" s="187" t="s">
        <v>3123</v>
      </c>
    </row>
    <row r="286" spans="1:2">
      <c r="A286" s="170" t="s">
        <v>130</v>
      </c>
      <c r="B286" s="171" t="s">
        <v>1736</v>
      </c>
    </row>
    <row r="287" spans="1:2">
      <c r="A287" s="190" t="s">
        <v>751</v>
      </c>
      <c r="B287" s="189" t="s">
        <v>752</v>
      </c>
    </row>
    <row r="288" spans="1:2">
      <c r="A288" s="190" t="s">
        <v>753</v>
      </c>
      <c r="B288" s="189" t="s">
        <v>754</v>
      </c>
    </row>
    <row r="289" spans="1:2">
      <c r="A289" s="190" t="s">
        <v>755</v>
      </c>
      <c r="B289" s="189" t="s">
        <v>756</v>
      </c>
    </row>
    <row r="290" spans="1:2">
      <c r="A290" s="190" t="s">
        <v>2222</v>
      </c>
      <c r="B290" s="189" t="s">
        <v>2223</v>
      </c>
    </row>
    <row r="291" spans="1:2">
      <c r="A291" s="190" t="s">
        <v>2224</v>
      </c>
      <c r="B291" s="189" t="s">
        <v>2225</v>
      </c>
    </row>
    <row r="292" spans="1:2">
      <c r="A292" s="190" t="s">
        <v>2226</v>
      </c>
      <c r="B292" s="189" t="s">
        <v>2227</v>
      </c>
    </row>
    <row r="293" spans="1:2">
      <c r="A293" s="190" t="s">
        <v>2228</v>
      </c>
      <c r="B293" s="189" t="s">
        <v>2229</v>
      </c>
    </row>
    <row r="294" spans="1:2">
      <c r="A294" s="190" t="s">
        <v>2230</v>
      </c>
      <c r="B294" s="189" t="s">
        <v>2231</v>
      </c>
    </row>
    <row r="295" spans="1:2">
      <c r="A295" s="190" t="s">
        <v>2232</v>
      </c>
      <c r="B295" s="189" t="s">
        <v>2233</v>
      </c>
    </row>
    <row r="296" spans="1:2">
      <c r="A296" s="190" t="s">
        <v>2234</v>
      </c>
      <c r="B296" s="189" t="s">
        <v>2235</v>
      </c>
    </row>
    <row r="297" spans="1:2">
      <c r="A297" s="190" t="s">
        <v>2236</v>
      </c>
      <c r="B297" s="189" t="s">
        <v>2237</v>
      </c>
    </row>
    <row r="298" spans="1:2">
      <c r="A298" s="190" t="s">
        <v>2238</v>
      </c>
      <c r="B298" s="189" t="s">
        <v>2239</v>
      </c>
    </row>
    <row r="299" spans="1:2">
      <c r="A299" s="190" t="s">
        <v>3124</v>
      </c>
      <c r="B299" s="189" t="s">
        <v>3125</v>
      </c>
    </row>
    <row r="300" spans="1:2">
      <c r="A300" s="190" t="s">
        <v>3126</v>
      </c>
      <c r="B300" s="189" t="s">
        <v>3127</v>
      </c>
    </row>
    <row r="301" spans="1:2">
      <c r="A301" s="190" t="s">
        <v>3128</v>
      </c>
      <c r="B301" s="189" t="s">
        <v>872</v>
      </c>
    </row>
    <row r="302" spans="1:2">
      <c r="A302" s="170" t="s">
        <v>132</v>
      </c>
      <c r="B302" s="171" t="s">
        <v>1905</v>
      </c>
    </row>
    <row r="303" spans="1:2">
      <c r="A303" s="192" t="s">
        <v>757</v>
      </c>
      <c r="B303" s="191" t="s">
        <v>758</v>
      </c>
    </row>
    <row r="304" spans="1:2">
      <c r="A304" s="192" t="s">
        <v>759</v>
      </c>
      <c r="B304" s="191" t="s">
        <v>760</v>
      </c>
    </row>
    <row r="305" spans="1:2">
      <c r="A305" s="192" t="s">
        <v>3129</v>
      </c>
      <c r="B305" s="191" t="s">
        <v>3130</v>
      </c>
    </row>
    <row r="306" spans="1:2">
      <c r="A306" s="192" t="s">
        <v>761</v>
      </c>
      <c r="B306" s="191" t="s">
        <v>762</v>
      </c>
    </row>
    <row r="307" spans="1:2">
      <c r="A307" s="192" t="s">
        <v>763</v>
      </c>
      <c r="B307" s="191" t="s">
        <v>764</v>
      </c>
    </row>
    <row r="308" spans="1:2">
      <c r="A308" s="192" t="s">
        <v>765</v>
      </c>
      <c r="B308" s="191" t="s">
        <v>766</v>
      </c>
    </row>
    <row r="309" spans="1:2">
      <c r="A309" s="192" t="s">
        <v>767</v>
      </c>
      <c r="B309" s="191" t="s">
        <v>768</v>
      </c>
    </row>
    <row r="310" spans="1:2">
      <c r="A310" s="192" t="s">
        <v>769</v>
      </c>
      <c r="B310" s="191" t="s">
        <v>770</v>
      </c>
    </row>
    <row r="311" spans="1:2">
      <c r="A311" s="192" t="s">
        <v>3131</v>
      </c>
      <c r="B311" s="191" t="s">
        <v>3132</v>
      </c>
    </row>
    <row r="312" spans="1:2">
      <c r="A312" s="192" t="s">
        <v>771</v>
      </c>
      <c r="B312" s="191" t="s">
        <v>772</v>
      </c>
    </row>
    <row r="313" spans="1:2">
      <c r="A313" s="192" t="s">
        <v>773</v>
      </c>
      <c r="B313" s="191" t="s">
        <v>774</v>
      </c>
    </row>
    <row r="314" spans="1:2">
      <c r="A314" s="192" t="s">
        <v>775</v>
      </c>
      <c r="B314" s="191" t="s">
        <v>776</v>
      </c>
    </row>
    <row r="315" spans="1:2">
      <c r="A315" s="192" t="s">
        <v>777</v>
      </c>
      <c r="B315" s="191" t="s">
        <v>778</v>
      </c>
    </row>
    <row r="316" spans="1:2">
      <c r="A316" s="192" t="s">
        <v>779</v>
      </c>
      <c r="B316" s="191" t="s">
        <v>780</v>
      </c>
    </row>
    <row r="317" spans="1:2">
      <c r="A317" s="192" t="s">
        <v>781</v>
      </c>
      <c r="B317" s="191" t="s">
        <v>782</v>
      </c>
    </row>
    <row r="318" spans="1:2">
      <c r="A318" s="192" t="s">
        <v>783</v>
      </c>
      <c r="B318" s="191" t="s">
        <v>784</v>
      </c>
    </row>
    <row r="319" spans="1:2">
      <c r="A319" s="192" t="s">
        <v>785</v>
      </c>
      <c r="B319" s="191" t="s">
        <v>786</v>
      </c>
    </row>
    <row r="320" spans="1:2">
      <c r="A320" s="192" t="s">
        <v>787</v>
      </c>
      <c r="B320" s="191" t="s">
        <v>788</v>
      </c>
    </row>
    <row r="321" spans="1:2">
      <c r="A321" s="192" t="s">
        <v>789</v>
      </c>
      <c r="B321" s="191" t="s">
        <v>790</v>
      </c>
    </row>
    <row r="322" spans="1:2">
      <c r="A322" s="192" t="s">
        <v>791</v>
      </c>
      <c r="B322" s="191" t="s">
        <v>792</v>
      </c>
    </row>
    <row r="323" spans="1:2">
      <c r="A323" s="192" t="s">
        <v>793</v>
      </c>
      <c r="B323" s="191" t="s">
        <v>794</v>
      </c>
    </row>
    <row r="324" spans="1:2">
      <c r="A324" s="192" t="s">
        <v>795</v>
      </c>
      <c r="B324" s="191" t="s">
        <v>794</v>
      </c>
    </row>
    <row r="325" spans="1:2">
      <c r="A325" s="192" t="s">
        <v>796</v>
      </c>
      <c r="B325" s="191" t="s">
        <v>797</v>
      </c>
    </row>
    <row r="326" spans="1:2">
      <c r="A326" s="192" t="s">
        <v>798</v>
      </c>
      <c r="B326" s="191" t="s">
        <v>797</v>
      </c>
    </row>
    <row r="327" spans="1:2">
      <c r="A327" s="192" t="s">
        <v>1348</v>
      </c>
      <c r="B327" s="191" t="s">
        <v>1349</v>
      </c>
    </row>
    <row r="328" spans="1:2">
      <c r="A328" s="192" t="s">
        <v>1350</v>
      </c>
      <c r="B328" s="191" t="s">
        <v>1351</v>
      </c>
    </row>
    <row r="329" spans="1:2">
      <c r="A329" s="192" t="s">
        <v>1352</v>
      </c>
      <c r="B329" s="191" t="s">
        <v>1353</v>
      </c>
    </row>
    <row r="330" spans="1:2">
      <c r="A330" s="192" t="s">
        <v>1354</v>
      </c>
      <c r="B330" s="191" t="s">
        <v>1355</v>
      </c>
    </row>
    <row r="331" spans="1:2">
      <c r="A331" s="192" t="s">
        <v>1356</v>
      </c>
      <c r="B331" s="191" t="s">
        <v>1357</v>
      </c>
    </row>
    <row r="332" spans="1:2">
      <c r="A332" s="192" t="s">
        <v>1358</v>
      </c>
      <c r="B332" s="191" t="s">
        <v>1359</v>
      </c>
    </row>
    <row r="333" spans="1:2">
      <c r="A333" s="192" t="s">
        <v>1360</v>
      </c>
      <c r="B333" s="191" t="s">
        <v>1361</v>
      </c>
    </row>
    <row r="334" spans="1:2">
      <c r="A334" s="192" t="s">
        <v>1362</v>
      </c>
      <c r="B334" s="191" t="s">
        <v>1363</v>
      </c>
    </row>
    <row r="335" spans="1:2">
      <c r="A335" s="192" t="s">
        <v>1364</v>
      </c>
      <c r="B335" s="191" t="s">
        <v>1365</v>
      </c>
    </row>
    <row r="336" spans="1:2">
      <c r="A336" s="192" t="s">
        <v>1366</v>
      </c>
      <c r="B336" s="191" t="s">
        <v>1367</v>
      </c>
    </row>
    <row r="337" spans="1:2">
      <c r="A337" s="192" t="s">
        <v>1368</v>
      </c>
      <c r="B337" s="191" t="s">
        <v>1369</v>
      </c>
    </row>
    <row r="338" spans="1:2">
      <c r="A338" s="192" t="s">
        <v>1370</v>
      </c>
      <c r="B338" s="191" t="s">
        <v>1371</v>
      </c>
    </row>
    <row r="339" spans="1:2">
      <c r="A339" s="192" t="s">
        <v>1372</v>
      </c>
      <c r="B339" s="191" t="s">
        <v>1373</v>
      </c>
    </row>
    <row r="340" spans="1:2">
      <c r="A340" s="192" t="s">
        <v>1374</v>
      </c>
      <c r="B340" s="191" t="s">
        <v>1375</v>
      </c>
    </row>
    <row r="341" spans="1:2">
      <c r="A341" s="192" t="s">
        <v>1376</v>
      </c>
      <c r="B341" s="191" t="s">
        <v>1377</v>
      </c>
    </row>
    <row r="342" spans="1:2">
      <c r="A342" s="192" t="s">
        <v>1378</v>
      </c>
      <c r="B342" s="191" t="s">
        <v>1379</v>
      </c>
    </row>
    <row r="343" spans="1:2">
      <c r="A343" s="192" t="s">
        <v>1380</v>
      </c>
      <c r="B343" s="191" t="s">
        <v>1381</v>
      </c>
    </row>
    <row r="344" spans="1:2">
      <c r="A344" s="192" t="s">
        <v>1382</v>
      </c>
      <c r="B344" s="191" t="s">
        <v>1383</v>
      </c>
    </row>
    <row r="345" spans="1:2">
      <c r="A345" s="192" t="s">
        <v>1384</v>
      </c>
      <c r="B345" s="191" t="s">
        <v>1385</v>
      </c>
    </row>
    <row r="346" spans="1:2">
      <c r="A346" s="192" t="s">
        <v>1386</v>
      </c>
      <c r="B346" s="191" t="s">
        <v>1387</v>
      </c>
    </row>
    <row r="347" spans="1:2">
      <c r="A347" s="192" t="s">
        <v>1388</v>
      </c>
      <c r="B347" s="191" t="s">
        <v>1389</v>
      </c>
    </row>
    <row r="348" spans="1:2">
      <c r="A348" s="192" t="s">
        <v>1390</v>
      </c>
      <c r="B348" s="191" t="s">
        <v>1391</v>
      </c>
    </row>
    <row r="349" spans="1:2">
      <c r="A349" s="192" t="s">
        <v>1392</v>
      </c>
      <c r="B349" s="191" t="s">
        <v>1393</v>
      </c>
    </row>
    <row r="350" spans="1:2">
      <c r="A350" s="192" t="s">
        <v>1394</v>
      </c>
      <c r="B350" s="191" t="s">
        <v>1395</v>
      </c>
    </row>
    <row r="351" spans="1:2">
      <c r="A351" s="192" t="s">
        <v>1396</v>
      </c>
      <c r="B351" s="191" t="s">
        <v>1397</v>
      </c>
    </row>
    <row r="352" spans="1:2">
      <c r="A352" s="192" t="s">
        <v>1398</v>
      </c>
      <c r="B352" s="191" t="s">
        <v>1399</v>
      </c>
    </row>
    <row r="353" spans="1:2">
      <c r="A353" s="192" t="s">
        <v>1400</v>
      </c>
      <c r="B353" s="191" t="s">
        <v>1401</v>
      </c>
    </row>
    <row r="354" spans="1:2">
      <c r="A354" s="192" t="s">
        <v>1402</v>
      </c>
      <c r="B354" s="191" t="s">
        <v>1403</v>
      </c>
    </row>
    <row r="355" spans="1:2">
      <c r="A355" s="192" t="s">
        <v>1404</v>
      </c>
      <c r="B355" s="191" t="s">
        <v>1405</v>
      </c>
    </row>
    <row r="356" spans="1:2">
      <c r="A356" s="192" t="s">
        <v>1406</v>
      </c>
      <c r="B356" s="191" t="s">
        <v>1407</v>
      </c>
    </row>
    <row r="357" spans="1:2">
      <c r="A357" s="192" t="s">
        <v>1408</v>
      </c>
      <c r="B357" s="191" t="s">
        <v>1409</v>
      </c>
    </row>
    <row r="358" spans="1:2">
      <c r="A358" s="192" t="s">
        <v>2240</v>
      </c>
      <c r="B358" s="191" t="s">
        <v>2241</v>
      </c>
    </row>
    <row r="359" spans="1:2">
      <c r="A359" s="192" t="s">
        <v>2242</v>
      </c>
      <c r="B359" s="191" t="s">
        <v>2243</v>
      </c>
    </row>
    <row r="360" spans="1:2">
      <c r="A360" s="192" t="s">
        <v>2244</v>
      </c>
      <c r="B360" s="191" t="s">
        <v>2245</v>
      </c>
    </row>
    <row r="361" spans="1:2">
      <c r="A361" s="192" t="s">
        <v>2246</v>
      </c>
      <c r="B361" s="191" t="s">
        <v>2247</v>
      </c>
    </row>
    <row r="362" spans="1:2">
      <c r="A362" s="192" t="s">
        <v>2248</v>
      </c>
      <c r="B362" s="191" t="s">
        <v>2249</v>
      </c>
    </row>
    <row r="363" spans="1:2">
      <c r="A363" s="192" t="s">
        <v>2250</v>
      </c>
      <c r="B363" s="191" t="s">
        <v>2251</v>
      </c>
    </row>
    <row r="364" spans="1:2">
      <c r="A364" s="192" t="s">
        <v>2252</v>
      </c>
      <c r="B364" s="191" t="s">
        <v>2253</v>
      </c>
    </row>
    <row r="365" spans="1:2">
      <c r="A365" s="192" t="s">
        <v>2254</v>
      </c>
      <c r="B365" s="191" t="s">
        <v>2255</v>
      </c>
    </row>
    <row r="366" spans="1:2">
      <c r="A366" s="192" t="s">
        <v>2256</v>
      </c>
      <c r="B366" s="191" t="s">
        <v>2257</v>
      </c>
    </row>
    <row r="367" spans="1:2">
      <c r="A367" s="192" t="s">
        <v>2258</v>
      </c>
      <c r="B367" s="191" t="s">
        <v>2259</v>
      </c>
    </row>
    <row r="368" spans="1:2">
      <c r="A368" s="192" t="s">
        <v>2260</v>
      </c>
      <c r="B368" s="191" t="s">
        <v>2261</v>
      </c>
    </row>
    <row r="369" spans="1:2">
      <c r="A369" s="192" t="s">
        <v>2262</v>
      </c>
      <c r="B369" s="191" t="s">
        <v>2263</v>
      </c>
    </row>
    <row r="370" spans="1:2">
      <c r="A370" s="192" t="s">
        <v>2264</v>
      </c>
      <c r="B370" s="191" t="s">
        <v>2265</v>
      </c>
    </row>
    <row r="371" spans="1:2">
      <c r="A371" s="192" t="s">
        <v>2266</v>
      </c>
      <c r="B371" s="191" t="s">
        <v>2267</v>
      </c>
    </row>
    <row r="372" spans="1:2">
      <c r="A372" s="192" t="s">
        <v>2268</v>
      </c>
      <c r="B372" s="191" t="s">
        <v>2269</v>
      </c>
    </row>
    <row r="373" spans="1:2">
      <c r="A373" s="192" t="s">
        <v>2270</v>
      </c>
      <c r="B373" s="191" t="s">
        <v>2271</v>
      </c>
    </row>
    <row r="374" spans="1:2">
      <c r="A374" s="192" t="s">
        <v>2272</v>
      </c>
      <c r="B374" s="191" t="s">
        <v>2273</v>
      </c>
    </row>
    <row r="375" spans="1:2">
      <c r="A375" s="192" t="s">
        <v>2274</v>
      </c>
      <c r="B375" s="191" t="s">
        <v>2275</v>
      </c>
    </row>
    <row r="376" spans="1:2">
      <c r="A376" s="192" t="s">
        <v>2276</v>
      </c>
      <c r="B376" s="191" t="s">
        <v>2277</v>
      </c>
    </row>
    <row r="377" spans="1:2">
      <c r="A377" s="192" t="s">
        <v>2278</v>
      </c>
      <c r="B377" s="191" t="s">
        <v>2279</v>
      </c>
    </row>
    <row r="378" spans="1:2">
      <c r="A378" s="192" t="s">
        <v>2280</v>
      </c>
      <c r="B378" s="191" t="s">
        <v>2281</v>
      </c>
    </row>
    <row r="379" spans="1:2">
      <c r="A379" s="192" t="s">
        <v>2282</v>
      </c>
      <c r="B379" s="191" t="s">
        <v>2283</v>
      </c>
    </row>
    <row r="380" spans="1:2">
      <c r="A380" s="192" t="s">
        <v>2284</v>
      </c>
      <c r="B380" s="191" t="s">
        <v>2285</v>
      </c>
    </row>
    <row r="381" spans="1:2">
      <c r="A381" s="192" t="s">
        <v>2286</v>
      </c>
      <c r="B381" s="191" t="s">
        <v>2287</v>
      </c>
    </row>
    <row r="382" spans="1:2">
      <c r="A382" s="192" t="s">
        <v>2288</v>
      </c>
      <c r="B382" s="191" t="s">
        <v>2289</v>
      </c>
    </row>
    <row r="383" spans="1:2">
      <c r="A383" s="192" t="s">
        <v>2290</v>
      </c>
      <c r="B383" s="191" t="s">
        <v>2291</v>
      </c>
    </row>
    <row r="384" spans="1:2">
      <c r="A384" s="192" t="s">
        <v>2292</v>
      </c>
      <c r="B384" s="191" t="s">
        <v>2293</v>
      </c>
    </row>
    <row r="385" spans="1:2">
      <c r="A385" s="192" t="s">
        <v>2294</v>
      </c>
      <c r="B385" s="191" t="s">
        <v>2295</v>
      </c>
    </row>
    <row r="386" spans="1:2">
      <c r="A386" s="192" t="s">
        <v>2296</v>
      </c>
      <c r="B386" s="191" t="s">
        <v>2297</v>
      </c>
    </row>
    <row r="387" spans="1:2">
      <c r="A387" s="192" t="s">
        <v>2298</v>
      </c>
      <c r="B387" s="191" t="s">
        <v>870</v>
      </c>
    </row>
    <row r="388" spans="1:2">
      <c r="A388" s="192" t="s">
        <v>2299</v>
      </c>
      <c r="B388" s="191" t="s">
        <v>1143</v>
      </c>
    </row>
    <row r="389" spans="1:2">
      <c r="A389" s="192" t="s">
        <v>2300</v>
      </c>
      <c r="B389" s="191" t="s">
        <v>2301</v>
      </c>
    </row>
    <row r="390" spans="1:2">
      <c r="A390" s="192" t="s">
        <v>2302</v>
      </c>
      <c r="B390" s="191" t="s">
        <v>2303</v>
      </c>
    </row>
    <row r="391" spans="1:2">
      <c r="A391" s="192" t="s">
        <v>2304</v>
      </c>
      <c r="B391" s="191" t="s">
        <v>2305</v>
      </c>
    </row>
    <row r="392" spans="1:2">
      <c r="A392" s="192" t="s">
        <v>2306</v>
      </c>
      <c r="B392" s="191" t="s">
        <v>2307</v>
      </c>
    </row>
    <row r="393" spans="1:2">
      <c r="A393" s="192" t="s">
        <v>2308</v>
      </c>
      <c r="B393" s="191" t="s">
        <v>2309</v>
      </c>
    </row>
    <row r="394" spans="1:2">
      <c r="A394" s="192" t="s">
        <v>2310</v>
      </c>
      <c r="B394" s="191" t="s">
        <v>2311</v>
      </c>
    </row>
    <row r="395" spans="1:2">
      <c r="A395" s="192" t="s">
        <v>2312</v>
      </c>
      <c r="B395" s="191" t="s">
        <v>2313</v>
      </c>
    </row>
    <row r="396" spans="1:2">
      <c r="A396" s="192" t="s">
        <v>2314</v>
      </c>
      <c r="B396" s="191" t="s">
        <v>2315</v>
      </c>
    </row>
    <row r="397" spans="1:2">
      <c r="A397" s="192" t="s">
        <v>2316</v>
      </c>
      <c r="B397" s="191" t="s">
        <v>2317</v>
      </c>
    </row>
    <row r="398" spans="1:2">
      <c r="A398" s="192" t="s">
        <v>2318</v>
      </c>
      <c r="B398" s="191" t="s">
        <v>2319</v>
      </c>
    </row>
    <row r="399" spans="1:2">
      <c r="A399" s="192" t="s">
        <v>3133</v>
      </c>
      <c r="B399" s="191" t="s">
        <v>3134</v>
      </c>
    </row>
    <row r="400" spans="1:2">
      <c r="A400" s="192" t="s">
        <v>3135</v>
      </c>
      <c r="B400" s="191" t="s">
        <v>3136</v>
      </c>
    </row>
    <row r="401" spans="1:2">
      <c r="A401" s="192" t="s">
        <v>3137</v>
      </c>
      <c r="B401" s="191" t="s">
        <v>3138</v>
      </c>
    </row>
    <row r="402" spans="1:2">
      <c r="A402" s="192" t="s">
        <v>3139</v>
      </c>
      <c r="B402" s="191" t="s">
        <v>3140</v>
      </c>
    </row>
    <row r="403" spans="1:2">
      <c r="A403" s="192" t="s">
        <v>3141</v>
      </c>
      <c r="B403" s="191" t="s">
        <v>3142</v>
      </c>
    </row>
    <row r="404" spans="1:2">
      <c r="A404" s="192" t="s">
        <v>3143</v>
      </c>
      <c r="B404" s="191" t="s">
        <v>3144</v>
      </c>
    </row>
    <row r="405" spans="1:2">
      <c r="A405" s="192" t="s">
        <v>3145</v>
      </c>
      <c r="B405" s="191" t="s">
        <v>3146</v>
      </c>
    </row>
    <row r="406" spans="1:2">
      <c r="A406" s="192" t="s">
        <v>3147</v>
      </c>
      <c r="B406" s="191" t="s">
        <v>3148</v>
      </c>
    </row>
    <row r="407" spans="1:2">
      <c r="A407" s="192" t="s">
        <v>3149</v>
      </c>
      <c r="B407" s="191" t="s">
        <v>3150</v>
      </c>
    </row>
    <row r="408" spans="1:2">
      <c r="A408" s="192" t="s">
        <v>3151</v>
      </c>
      <c r="B408" s="191" t="s">
        <v>3152</v>
      </c>
    </row>
    <row r="409" spans="1:2">
      <c r="A409" s="192" t="s">
        <v>3153</v>
      </c>
      <c r="B409" s="191" t="s">
        <v>3154</v>
      </c>
    </row>
    <row r="410" spans="1:2">
      <c r="A410" s="192" t="s">
        <v>3155</v>
      </c>
      <c r="B410" s="191" t="s">
        <v>3156</v>
      </c>
    </row>
    <row r="411" spans="1:2">
      <c r="A411" s="192" t="s">
        <v>3157</v>
      </c>
      <c r="B411" s="191" t="s">
        <v>3158</v>
      </c>
    </row>
    <row r="412" spans="1:2">
      <c r="A412" s="192" t="s">
        <v>3159</v>
      </c>
      <c r="B412" s="191" t="s">
        <v>3160</v>
      </c>
    </row>
    <row r="413" spans="1:2">
      <c r="A413" s="192" t="s">
        <v>3161</v>
      </c>
      <c r="B413" s="191" t="s">
        <v>3162</v>
      </c>
    </row>
    <row r="414" spans="1:2">
      <c r="A414" s="192" t="s">
        <v>3163</v>
      </c>
      <c r="B414" s="191" t="s">
        <v>3164</v>
      </c>
    </row>
    <row r="415" spans="1:2">
      <c r="A415" s="192" t="s">
        <v>3165</v>
      </c>
      <c r="B415" s="191" t="s">
        <v>3166</v>
      </c>
    </row>
    <row r="416" spans="1:2">
      <c r="A416" s="192" t="s">
        <v>3167</v>
      </c>
      <c r="B416" s="191" t="s">
        <v>3168</v>
      </c>
    </row>
    <row r="417" spans="1:2">
      <c r="A417" s="192" t="s">
        <v>3169</v>
      </c>
      <c r="B417" s="191" t="s">
        <v>3170</v>
      </c>
    </row>
    <row r="418" spans="1:2">
      <c r="A418" s="192" t="s">
        <v>3171</v>
      </c>
      <c r="B418" s="191" t="s">
        <v>3172</v>
      </c>
    </row>
    <row r="419" spans="1:2">
      <c r="A419" s="192" t="s">
        <v>3173</v>
      </c>
      <c r="B419" s="191" t="s">
        <v>3174</v>
      </c>
    </row>
    <row r="420" spans="1:2">
      <c r="A420" s="192" t="s">
        <v>3175</v>
      </c>
      <c r="B420" s="191" t="s">
        <v>3176</v>
      </c>
    </row>
    <row r="421" spans="1:2">
      <c r="A421" s="192" t="s">
        <v>3177</v>
      </c>
      <c r="B421" s="191" t="s">
        <v>3178</v>
      </c>
    </row>
    <row r="422" spans="1:2">
      <c r="A422" s="192" t="s">
        <v>3179</v>
      </c>
      <c r="B422" s="191" t="s">
        <v>3180</v>
      </c>
    </row>
    <row r="423" spans="1:2">
      <c r="A423" s="170" t="s">
        <v>136</v>
      </c>
      <c r="B423" s="171" t="s">
        <v>1906</v>
      </c>
    </row>
    <row r="424" spans="1:2">
      <c r="A424" s="194" t="s">
        <v>799</v>
      </c>
      <c r="B424" s="193" t="s">
        <v>800</v>
      </c>
    </row>
    <row r="425" spans="1:2">
      <c r="A425" s="194" t="s">
        <v>801</v>
      </c>
      <c r="B425" s="193" t="s">
        <v>802</v>
      </c>
    </row>
    <row r="426" spans="1:2">
      <c r="A426" s="194" t="s">
        <v>803</v>
      </c>
      <c r="B426" s="193" t="s">
        <v>804</v>
      </c>
    </row>
    <row r="427" spans="1:2">
      <c r="A427" s="194" t="s">
        <v>3181</v>
      </c>
      <c r="B427" s="193" t="s">
        <v>3182</v>
      </c>
    </row>
    <row r="428" spans="1:2">
      <c r="A428" s="194" t="s">
        <v>3183</v>
      </c>
      <c r="B428" s="193" t="s">
        <v>3184</v>
      </c>
    </row>
    <row r="429" spans="1:2">
      <c r="A429" s="194" t="s">
        <v>3185</v>
      </c>
      <c r="B429" s="193" t="s">
        <v>3186</v>
      </c>
    </row>
    <row r="430" spans="1:2">
      <c r="A430" s="194" t="s">
        <v>3187</v>
      </c>
      <c r="B430" s="193" t="s">
        <v>3188</v>
      </c>
    </row>
    <row r="431" spans="1:2">
      <c r="A431" s="194" t="s">
        <v>805</v>
      </c>
      <c r="B431" s="193" t="s">
        <v>806</v>
      </c>
    </row>
    <row r="432" spans="1:2">
      <c r="A432" s="194" t="s">
        <v>807</v>
      </c>
      <c r="B432" s="193" t="s">
        <v>808</v>
      </c>
    </row>
    <row r="433" spans="1:2">
      <c r="A433" s="194" t="s">
        <v>809</v>
      </c>
      <c r="B433" s="193" t="s">
        <v>810</v>
      </c>
    </row>
    <row r="434" spans="1:2">
      <c r="A434" s="194" t="s">
        <v>811</v>
      </c>
      <c r="B434" s="193" t="s">
        <v>812</v>
      </c>
    </row>
    <row r="435" spans="1:2">
      <c r="A435" s="194" t="s">
        <v>813</v>
      </c>
      <c r="B435" s="193" t="s">
        <v>814</v>
      </c>
    </row>
    <row r="436" spans="1:2">
      <c r="A436" s="194" t="s">
        <v>815</v>
      </c>
      <c r="B436" s="193" t="s">
        <v>816</v>
      </c>
    </row>
    <row r="437" spans="1:2">
      <c r="A437" s="194" t="s">
        <v>817</v>
      </c>
      <c r="B437" s="193" t="s">
        <v>818</v>
      </c>
    </row>
    <row r="438" spans="1:2">
      <c r="A438" s="194" t="s">
        <v>819</v>
      </c>
      <c r="B438" s="193" t="s">
        <v>820</v>
      </c>
    </row>
    <row r="439" spans="1:2">
      <c r="A439" s="194" t="s">
        <v>821</v>
      </c>
      <c r="B439" s="193" t="s">
        <v>822</v>
      </c>
    </row>
    <row r="440" spans="1:2">
      <c r="A440" s="194" t="s">
        <v>823</v>
      </c>
      <c r="B440" s="193" t="s">
        <v>824</v>
      </c>
    </row>
    <row r="441" spans="1:2">
      <c r="A441" s="194" t="s">
        <v>825</v>
      </c>
      <c r="B441" s="193" t="s">
        <v>826</v>
      </c>
    </row>
    <row r="442" spans="1:2">
      <c r="A442" s="194" t="s">
        <v>827</v>
      </c>
      <c r="B442" s="193" t="s">
        <v>828</v>
      </c>
    </row>
    <row r="443" spans="1:2">
      <c r="A443" s="194" t="s">
        <v>829</v>
      </c>
      <c r="B443" s="193" t="s">
        <v>830</v>
      </c>
    </row>
    <row r="444" spans="1:2">
      <c r="A444" s="194" t="s">
        <v>831</v>
      </c>
      <c r="B444" s="193" t="s">
        <v>832</v>
      </c>
    </row>
    <row r="445" spans="1:2">
      <c r="A445" s="194" t="s">
        <v>833</v>
      </c>
      <c r="B445" s="193" t="s">
        <v>834</v>
      </c>
    </row>
    <row r="446" spans="1:2">
      <c r="A446" s="194" t="s">
        <v>835</v>
      </c>
      <c r="B446" s="193" t="s">
        <v>836</v>
      </c>
    </row>
    <row r="447" spans="1:2">
      <c r="A447" s="194" t="s">
        <v>837</v>
      </c>
      <c r="B447" s="193" t="s">
        <v>838</v>
      </c>
    </row>
    <row r="448" spans="1:2">
      <c r="A448" s="194" t="s">
        <v>839</v>
      </c>
      <c r="B448" s="193" t="s">
        <v>840</v>
      </c>
    </row>
    <row r="449" spans="1:2">
      <c r="A449" s="194" t="s">
        <v>841</v>
      </c>
      <c r="B449" s="193" t="s">
        <v>842</v>
      </c>
    </row>
    <row r="450" spans="1:2">
      <c r="A450" s="194" t="s">
        <v>843</v>
      </c>
      <c r="B450" s="193" t="s">
        <v>844</v>
      </c>
    </row>
    <row r="451" spans="1:2">
      <c r="A451" s="194" t="s">
        <v>845</v>
      </c>
      <c r="B451" s="193" t="s">
        <v>846</v>
      </c>
    </row>
    <row r="452" spans="1:2">
      <c r="A452" s="194" t="s">
        <v>847</v>
      </c>
      <c r="B452" s="193" t="s">
        <v>848</v>
      </c>
    </row>
    <row r="453" spans="1:2">
      <c r="A453" s="194" t="s">
        <v>849</v>
      </c>
      <c r="B453" s="193" t="s">
        <v>850</v>
      </c>
    </row>
    <row r="454" spans="1:2">
      <c r="A454" s="194" t="s">
        <v>851</v>
      </c>
      <c r="B454" s="193" t="s">
        <v>852</v>
      </c>
    </row>
    <row r="455" spans="1:2">
      <c r="A455" s="194" t="s">
        <v>853</v>
      </c>
      <c r="B455" s="193" t="s">
        <v>854</v>
      </c>
    </row>
    <row r="456" spans="1:2">
      <c r="A456" s="194" t="s">
        <v>1410</v>
      </c>
      <c r="B456" s="193" t="s">
        <v>1411</v>
      </c>
    </row>
    <row r="457" spans="1:2">
      <c r="A457" s="194" t="s">
        <v>1412</v>
      </c>
      <c r="B457" s="193" t="s">
        <v>1413</v>
      </c>
    </row>
    <row r="458" spans="1:2">
      <c r="A458" s="194" t="s">
        <v>1414</v>
      </c>
      <c r="B458" s="193" t="s">
        <v>1415</v>
      </c>
    </row>
    <row r="459" spans="1:2">
      <c r="A459" s="194" t="s">
        <v>1416</v>
      </c>
      <c r="B459" s="193" t="s">
        <v>1417</v>
      </c>
    </row>
    <row r="460" spans="1:2">
      <c r="A460" s="194" t="s">
        <v>1418</v>
      </c>
      <c r="B460" s="193" t="s">
        <v>1419</v>
      </c>
    </row>
    <row r="461" spans="1:2">
      <c r="A461" s="194" t="s">
        <v>1420</v>
      </c>
      <c r="B461" s="193" t="s">
        <v>1421</v>
      </c>
    </row>
    <row r="462" spans="1:2">
      <c r="A462" s="194" t="s">
        <v>1422</v>
      </c>
      <c r="B462" s="193" t="s">
        <v>1423</v>
      </c>
    </row>
    <row r="463" spans="1:2">
      <c r="A463" s="194" t="s">
        <v>1424</v>
      </c>
      <c r="B463" s="193" t="s">
        <v>1425</v>
      </c>
    </row>
    <row r="464" spans="1:2">
      <c r="A464" s="194" t="s">
        <v>1426</v>
      </c>
      <c r="B464" s="193" t="s">
        <v>1427</v>
      </c>
    </row>
    <row r="465" spans="1:2">
      <c r="A465" s="194" t="s">
        <v>1428</v>
      </c>
      <c r="B465" s="193" t="s">
        <v>1429</v>
      </c>
    </row>
    <row r="466" spans="1:2">
      <c r="A466" s="194" t="s">
        <v>1430</v>
      </c>
      <c r="B466" s="193" t="s">
        <v>1431</v>
      </c>
    </row>
    <row r="467" spans="1:2">
      <c r="A467" s="194" t="s">
        <v>1432</v>
      </c>
      <c r="B467" s="193" t="s">
        <v>1433</v>
      </c>
    </row>
    <row r="468" spans="1:2">
      <c r="A468" s="194" t="s">
        <v>1434</v>
      </c>
      <c r="B468" s="193" t="s">
        <v>1435</v>
      </c>
    </row>
    <row r="469" spans="1:2">
      <c r="A469" s="194" t="s">
        <v>1436</v>
      </c>
      <c r="B469" s="193" t="s">
        <v>1437</v>
      </c>
    </row>
    <row r="470" spans="1:2">
      <c r="A470" s="194" t="s">
        <v>1438</v>
      </c>
      <c r="B470" s="193" t="s">
        <v>1439</v>
      </c>
    </row>
    <row r="471" spans="1:2">
      <c r="A471" s="194" t="s">
        <v>1440</v>
      </c>
      <c r="B471" s="193" t="s">
        <v>1441</v>
      </c>
    </row>
    <row r="472" spans="1:2">
      <c r="A472" s="194" t="s">
        <v>1442</v>
      </c>
      <c r="B472" s="193" t="s">
        <v>1443</v>
      </c>
    </row>
    <row r="473" spans="1:2">
      <c r="A473" s="194" t="s">
        <v>1444</v>
      </c>
      <c r="B473" s="193" t="s">
        <v>1445</v>
      </c>
    </row>
    <row r="474" spans="1:2">
      <c r="A474" s="194" t="s">
        <v>1446</v>
      </c>
      <c r="B474" s="193" t="s">
        <v>1447</v>
      </c>
    </row>
    <row r="475" spans="1:2">
      <c r="A475" s="194" t="s">
        <v>1448</v>
      </c>
      <c r="B475" s="193" t="s">
        <v>1449</v>
      </c>
    </row>
    <row r="476" spans="1:2">
      <c r="A476" s="194" t="s">
        <v>1450</v>
      </c>
      <c r="B476" s="193" t="s">
        <v>1451</v>
      </c>
    </row>
    <row r="477" spans="1:2">
      <c r="A477" s="194" t="s">
        <v>1452</v>
      </c>
      <c r="B477" s="193" t="s">
        <v>1453</v>
      </c>
    </row>
    <row r="478" spans="1:2">
      <c r="A478" s="194" t="s">
        <v>1454</v>
      </c>
      <c r="B478" s="193" t="s">
        <v>1455</v>
      </c>
    </row>
    <row r="479" spans="1:2">
      <c r="A479" s="194" t="s">
        <v>1456</v>
      </c>
      <c r="B479" s="193" t="s">
        <v>1457</v>
      </c>
    </row>
    <row r="480" spans="1:2">
      <c r="A480" s="194" t="s">
        <v>1458</v>
      </c>
      <c r="B480" s="193" t="s">
        <v>1459</v>
      </c>
    </row>
    <row r="481" spans="1:2">
      <c r="A481" s="194" t="s">
        <v>1460</v>
      </c>
      <c r="B481" s="193" t="s">
        <v>1461</v>
      </c>
    </row>
    <row r="482" spans="1:2">
      <c r="A482" s="194" t="s">
        <v>1462</v>
      </c>
      <c r="B482" s="193" t="s">
        <v>1463</v>
      </c>
    </row>
    <row r="483" spans="1:2">
      <c r="A483" s="194" t="s">
        <v>1464</v>
      </c>
      <c r="B483" s="193" t="s">
        <v>1465</v>
      </c>
    </row>
    <row r="484" spans="1:2">
      <c r="A484" s="194" t="s">
        <v>1466</v>
      </c>
      <c r="B484" s="193" t="s">
        <v>1467</v>
      </c>
    </row>
    <row r="485" spans="1:2">
      <c r="A485" s="194" t="s">
        <v>1468</v>
      </c>
      <c r="B485" s="193" t="s">
        <v>1469</v>
      </c>
    </row>
    <row r="486" spans="1:2">
      <c r="A486" s="194" t="s">
        <v>1470</v>
      </c>
      <c r="B486" s="193" t="s">
        <v>1471</v>
      </c>
    </row>
    <row r="487" spans="1:2">
      <c r="A487" s="194" t="s">
        <v>1472</v>
      </c>
      <c r="B487" s="193" t="s">
        <v>1473</v>
      </c>
    </row>
    <row r="488" spans="1:2">
      <c r="A488" s="194" t="s">
        <v>1474</v>
      </c>
      <c r="B488" s="193" t="s">
        <v>1475</v>
      </c>
    </row>
    <row r="489" spans="1:2">
      <c r="A489" s="194" t="s">
        <v>1476</v>
      </c>
      <c r="B489" s="193" t="s">
        <v>1477</v>
      </c>
    </row>
    <row r="490" spans="1:2">
      <c r="A490" s="194" t="s">
        <v>1478</v>
      </c>
      <c r="B490" s="193" t="s">
        <v>1479</v>
      </c>
    </row>
    <row r="491" spans="1:2">
      <c r="A491" s="194" t="s">
        <v>1480</v>
      </c>
      <c r="B491" s="193" t="s">
        <v>1481</v>
      </c>
    </row>
    <row r="492" spans="1:2">
      <c r="A492" s="194" t="s">
        <v>1482</v>
      </c>
      <c r="B492" s="193" t="s">
        <v>1483</v>
      </c>
    </row>
    <row r="493" spans="1:2">
      <c r="A493" s="194" t="s">
        <v>1484</v>
      </c>
      <c r="B493" s="193" t="s">
        <v>1485</v>
      </c>
    </row>
    <row r="494" spans="1:2">
      <c r="A494" s="194" t="s">
        <v>1486</v>
      </c>
      <c r="B494" s="193" t="s">
        <v>1487</v>
      </c>
    </row>
    <row r="495" spans="1:2">
      <c r="A495" s="194" t="s">
        <v>1488</v>
      </c>
      <c r="B495" s="193" t="s">
        <v>1489</v>
      </c>
    </row>
    <row r="496" spans="1:2">
      <c r="A496" s="194" t="s">
        <v>1490</v>
      </c>
      <c r="B496" s="193" t="s">
        <v>1491</v>
      </c>
    </row>
    <row r="497" spans="1:2">
      <c r="A497" s="194" t="s">
        <v>1492</v>
      </c>
      <c r="B497" s="193" t="s">
        <v>1493</v>
      </c>
    </row>
    <row r="498" spans="1:2">
      <c r="A498" s="194" t="s">
        <v>1494</v>
      </c>
      <c r="B498" s="193" t="s">
        <v>1495</v>
      </c>
    </row>
    <row r="499" spans="1:2">
      <c r="A499" s="194" t="s">
        <v>1496</v>
      </c>
      <c r="B499" s="193" t="s">
        <v>1497</v>
      </c>
    </row>
    <row r="500" spans="1:2">
      <c r="A500" s="194" t="s">
        <v>1498</v>
      </c>
      <c r="B500" s="193" t="s">
        <v>1499</v>
      </c>
    </row>
    <row r="501" spans="1:2">
      <c r="A501" s="194" t="s">
        <v>1500</v>
      </c>
      <c r="B501" s="193" t="s">
        <v>1501</v>
      </c>
    </row>
    <row r="502" spans="1:2">
      <c r="A502" s="194" t="s">
        <v>1502</v>
      </c>
      <c r="B502" s="193" t="s">
        <v>1503</v>
      </c>
    </row>
    <row r="503" spans="1:2">
      <c r="A503" s="194" t="s">
        <v>1504</v>
      </c>
      <c r="B503" s="193" t="s">
        <v>1505</v>
      </c>
    </row>
    <row r="504" spans="1:2">
      <c r="A504" s="194" t="s">
        <v>1506</v>
      </c>
      <c r="B504" s="193" t="s">
        <v>1507</v>
      </c>
    </row>
    <row r="505" spans="1:2">
      <c r="A505" s="194" t="s">
        <v>1508</v>
      </c>
      <c r="B505" s="193" t="s">
        <v>1509</v>
      </c>
    </row>
    <row r="506" spans="1:2">
      <c r="A506" s="194" t="s">
        <v>1510</v>
      </c>
      <c r="B506" s="193" t="s">
        <v>1511</v>
      </c>
    </row>
    <row r="507" spans="1:2">
      <c r="A507" s="194" t="s">
        <v>1512</v>
      </c>
      <c r="B507" s="193" t="s">
        <v>1513</v>
      </c>
    </row>
    <row r="508" spans="1:2">
      <c r="A508" s="194" t="s">
        <v>1514</v>
      </c>
      <c r="B508" s="193" t="s">
        <v>1515</v>
      </c>
    </row>
    <row r="509" spans="1:2">
      <c r="A509" s="194" t="s">
        <v>1516</v>
      </c>
      <c r="B509" s="193" t="s">
        <v>1517</v>
      </c>
    </row>
    <row r="510" spans="1:2">
      <c r="A510" s="194" t="s">
        <v>1518</v>
      </c>
      <c r="B510" s="193" t="s">
        <v>1519</v>
      </c>
    </row>
    <row r="511" spans="1:2">
      <c r="A511" s="194" t="s">
        <v>1520</v>
      </c>
      <c r="B511" s="193" t="s">
        <v>1521</v>
      </c>
    </row>
    <row r="512" spans="1:2">
      <c r="A512" s="194" t="s">
        <v>1522</v>
      </c>
      <c r="B512" s="193" t="s">
        <v>1523</v>
      </c>
    </row>
    <row r="513" spans="1:2">
      <c r="A513" s="194" t="s">
        <v>1524</v>
      </c>
      <c r="B513" s="193" t="s">
        <v>1525</v>
      </c>
    </row>
    <row r="514" spans="1:2">
      <c r="A514" s="194" t="s">
        <v>1526</v>
      </c>
      <c r="B514" s="193" t="s">
        <v>1527</v>
      </c>
    </row>
    <row r="515" spans="1:2">
      <c r="A515" s="194" t="s">
        <v>1528</v>
      </c>
      <c r="B515" s="193" t="s">
        <v>1529</v>
      </c>
    </row>
    <row r="516" spans="1:2">
      <c r="A516" s="194" t="s">
        <v>1530</v>
      </c>
      <c r="B516" s="193" t="s">
        <v>1531</v>
      </c>
    </row>
    <row r="517" spans="1:2">
      <c r="A517" s="194" t="s">
        <v>1532</v>
      </c>
      <c r="B517" s="193" t="s">
        <v>1533</v>
      </c>
    </row>
    <row r="518" spans="1:2">
      <c r="A518" s="194" t="s">
        <v>1534</v>
      </c>
      <c r="B518" s="193" t="s">
        <v>1535</v>
      </c>
    </row>
    <row r="519" spans="1:2">
      <c r="A519" s="194" t="s">
        <v>1536</v>
      </c>
      <c r="B519" s="193" t="s">
        <v>1537</v>
      </c>
    </row>
    <row r="520" spans="1:2">
      <c r="A520" s="194" t="s">
        <v>1538</v>
      </c>
      <c r="B520" s="193" t="s">
        <v>1539</v>
      </c>
    </row>
    <row r="521" spans="1:2">
      <c r="A521" s="194" t="s">
        <v>1540</v>
      </c>
      <c r="B521" s="193" t="s">
        <v>1541</v>
      </c>
    </row>
    <row r="522" spans="1:2">
      <c r="A522" s="194" t="s">
        <v>1542</v>
      </c>
      <c r="B522" s="193" t="s">
        <v>1543</v>
      </c>
    </row>
    <row r="523" spans="1:2">
      <c r="A523" s="194" t="s">
        <v>1544</v>
      </c>
      <c r="B523" s="193" t="s">
        <v>1545</v>
      </c>
    </row>
    <row r="524" spans="1:2">
      <c r="A524" s="194" t="s">
        <v>1546</v>
      </c>
      <c r="B524" s="193" t="s">
        <v>1547</v>
      </c>
    </row>
    <row r="525" spans="1:2">
      <c r="A525" s="194" t="s">
        <v>1548</v>
      </c>
      <c r="B525" s="193" t="s">
        <v>1549</v>
      </c>
    </row>
    <row r="526" spans="1:2">
      <c r="A526" s="194" t="s">
        <v>1550</v>
      </c>
      <c r="B526" s="193" t="s">
        <v>1551</v>
      </c>
    </row>
    <row r="527" spans="1:2">
      <c r="A527" s="194" t="s">
        <v>1552</v>
      </c>
      <c r="B527" s="193" t="s">
        <v>1553</v>
      </c>
    </row>
    <row r="528" spans="1:2">
      <c r="A528" s="194" t="s">
        <v>1554</v>
      </c>
      <c r="B528" s="193" t="s">
        <v>1555</v>
      </c>
    </row>
    <row r="529" spans="1:2">
      <c r="A529" s="194" t="s">
        <v>1556</v>
      </c>
      <c r="B529" s="193" t="s">
        <v>1557</v>
      </c>
    </row>
    <row r="530" spans="1:2">
      <c r="A530" s="194" t="s">
        <v>1558</v>
      </c>
      <c r="B530" s="193" t="s">
        <v>1559</v>
      </c>
    </row>
    <row r="531" spans="1:2">
      <c r="A531" s="194" t="s">
        <v>2320</v>
      </c>
      <c r="B531" s="193" t="s">
        <v>2321</v>
      </c>
    </row>
    <row r="532" spans="1:2">
      <c r="A532" s="194" t="s">
        <v>2322</v>
      </c>
      <c r="B532" s="193" t="s">
        <v>2323</v>
      </c>
    </row>
    <row r="533" spans="1:2">
      <c r="A533" s="194" t="s">
        <v>2324</v>
      </c>
      <c r="B533" s="193" t="s">
        <v>2325</v>
      </c>
    </row>
    <row r="534" spans="1:2">
      <c r="A534" s="194" t="s">
        <v>2326</v>
      </c>
      <c r="B534" s="193" t="s">
        <v>2327</v>
      </c>
    </row>
    <row r="535" spans="1:2">
      <c r="A535" s="194" t="s">
        <v>2328</v>
      </c>
      <c r="B535" s="193" t="s">
        <v>2329</v>
      </c>
    </row>
    <row r="536" spans="1:2">
      <c r="A536" s="194" t="s">
        <v>2330</v>
      </c>
      <c r="B536" s="193" t="s">
        <v>2331</v>
      </c>
    </row>
    <row r="537" spans="1:2">
      <c r="A537" s="194" t="s">
        <v>2332</v>
      </c>
      <c r="B537" s="193" t="s">
        <v>2333</v>
      </c>
    </row>
    <row r="538" spans="1:2">
      <c r="A538" s="194" t="s">
        <v>2334</v>
      </c>
      <c r="B538" s="193" t="s">
        <v>2335</v>
      </c>
    </row>
    <row r="539" spans="1:2">
      <c r="A539" s="194" t="s">
        <v>2336</v>
      </c>
      <c r="B539" s="193" t="s">
        <v>2337</v>
      </c>
    </row>
    <row r="540" spans="1:2">
      <c r="A540" s="194" t="s">
        <v>2338</v>
      </c>
      <c r="B540" s="193" t="s">
        <v>2339</v>
      </c>
    </row>
    <row r="541" spans="1:2">
      <c r="A541" s="194" t="s">
        <v>2340</v>
      </c>
      <c r="B541" s="193" t="s">
        <v>2341</v>
      </c>
    </row>
    <row r="542" spans="1:2">
      <c r="A542" s="194" t="s">
        <v>2342</v>
      </c>
      <c r="B542" s="193" t="s">
        <v>2343</v>
      </c>
    </row>
    <row r="543" spans="1:2">
      <c r="A543" s="194" t="s">
        <v>2344</v>
      </c>
      <c r="B543" s="193" t="s">
        <v>2345</v>
      </c>
    </row>
    <row r="544" spans="1:2">
      <c r="A544" s="194" t="s">
        <v>2346</v>
      </c>
      <c r="B544" s="193" t="s">
        <v>2347</v>
      </c>
    </row>
    <row r="545" spans="1:2">
      <c r="A545" s="194" t="s">
        <v>2348</v>
      </c>
      <c r="B545" s="193" t="s">
        <v>2349</v>
      </c>
    </row>
    <row r="546" spans="1:2">
      <c r="A546" s="194" t="s">
        <v>2350</v>
      </c>
      <c r="B546" s="193" t="s">
        <v>2351</v>
      </c>
    </row>
    <row r="547" spans="1:2">
      <c r="A547" s="194" t="s">
        <v>2352</v>
      </c>
      <c r="B547" s="193" t="s">
        <v>2353</v>
      </c>
    </row>
    <row r="548" spans="1:2">
      <c r="A548" s="194" t="s">
        <v>2354</v>
      </c>
      <c r="B548" s="193" t="s">
        <v>2355</v>
      </c>
    </row>
    <row r="549" spans="1:2">
      <c r="A549" s="194" t="s">
        <v>2356</v>
      </c>
      <c r="B549" s="193" t="s">
        <v>2357</v>
      </c>
    </row>
    <row r="550" spans="1:2">
      <c r="A550" s="194" t="s">
        <v>2358</v>
      </c>
      <c r="B550" s="193" t="s">
        <v>2359</v>
      </c>
    </row>
    <row r="551" spans="1:2">
      <c r="A551" s="194" t="s">
        <v>2360</v>
      </c>
      <c r="B551" s="193" t="s">
        <v>2361</v>
      </c>
    </row>
    <row r="552" spans="1:2">
      <c r="A552" s="194" t="s">
        <v>2362</v>
      </c>
      <c r="B552" s="193" t="s">
        <v>2363</v>
      </c>
    </row>
    <row r="553" spans="1:2">
      <c r="A553" s="194" t="s">
        <v>2364</v>
      </c>
      <c r="B553" s="193" t="s">
        <v>2365</v>
      </c>
    </row>
    <row r="554" spans="1:2">
      <c r="A554" s="194" t="s">
        <v>2366</v>
      </c>
      <c r="B554" s="193" t="s">
        <v>2367</v>
      </c>
    </row>
    <row r="555" spans="1:2">
      <c r="A555" s="194" t="s">
        <v>2368</v>
      </c>
      <c r="B555" s="193" t="s">
        <v>2369</v>
      </c>
    </row>
    <row r="556" spans="1:2">
      <c r="A556" s="194" t="s">
        <v>2370</v>
      </c>
      <c r="B556" s="193" t="s">
        <v>2371</v>
      </c>
    </row>
    <row r="557" spans="1:2">
      <c r="A557" s="194" t="s">
        <v>2372</v>
      </c>
      <c r="B557" s="193" t="s">
        <v>2373</v>
      </c>
    </row>
    <row r="558" spans="1:2">
      <c r="A558" s="194" t="s">
        <v>2374</v>
      </c>
      <c r="B558" s="193" t="s">
        <v>2375</v>
      </c>
    </row>
    <row r="559" spans="1:2">
      <c r="A559" s="194" t="s">
        <v>2376</v>
      </c>
      <c r="B559" s="193" t="s">
        <v>2377</v>
      </c>
    </row>
    <row r="560" spans="1:2">
      <c r="A560" s="194" t="s">
        <v>2378</v>
      </c>
      <c r="B560" s="193" t="s">
        <v>2379</v>
      </c>
    </row>
    <row r="561" spans="1:2">
      <c r="A561" s="194" t="s">
        <v>2380</v>
      </c>
      <c r="B561" s="193" t="s">
        <v>1413</v>
      </c>
    </row>
    <row r="562" spans="1:2">
      <c r="A562" s="194" t="s">
        <v>2381</v>
      </c>
      <c r="B562" s="193" t="s">
        <v>2382</v>
      </c>
    </row>
    <row r="563" spans="1:2">
      <c r="A563" s="194" t="s">
        <v>2383</v>
      </c>
      <c r="B563" s="193" t="s">
        <v>2384</v>
      </c>
    </row>
    <row r="564" spans="1:2">
      <c r="A564" s="194" t="s">
        <v>2385</v>
      </c>
      <c r="B564" s="193" t="s">
        <v>2386</v>
      </c>
    </row>
    <row r="565" spans="1:2">
      <c r="A565" s="194" t="s">
        <v>2387</v>
      </c>
      <c r="B565" s="193" t="s">
        <v>2388</v>
      </c>
    </row>
    <row r="566" spans="1:2">
      <c r="A566" s="194" t="s">
        <v>2389</v>
      </c>
      <c r="B566" s="193" t="s">
        <v>2390</v>
      </c>
    </row>
    <row r="567" spans="1:2">
      <c r="A567" s="194" t="s">
        <v>2391</v>
      </c>
      <c r="B567" s="193" t="s">
        <v>2392</v>
      </c>
    </row>
    <row r="568" spans="1:2">
      <c r="A568" s="194" t="s">
        <v>2393</v>
      </c>
      <c r="B568" s="193" t="s">
        <v>2394</v>
      </c>
    </row>
    <row r="569" spans="1:2">
      <c r="A569" s="194" t="s">
        <v>2395</v>
      </c>
      <c r="B569" s="193" t="s">
        <v>2396</v>
      </c>
    </row>
    <row r="570" spans="1:2">
      <c r="A570" s="194" t="s">
        <v>2397</v>
      </c>
      <c r="B570" s="193" t="s">
        <v>2398</v>
      </c>
    </row>
    <row r="571" spans="1:2">
      <c r="A571" s="194" t="s">
        <v>2399</v>
      </c>
      <c r="B571" s="193" t="s">
        <v>2400</v>
      </c>
    </row>
    <row r="572" spans="1:2">
      <c r="A572" s="194" t="s">
        <v>2401</v>
      </c>
      <c r="B572" s="193" t="s">
        <v>2402</v>
      </c>
    </row>
    <row r="573" spans="1:2">
      <c r="A573" s="194" t="s">
        <v>2403</v>
      </c>
      <c r="B573" s="193" t="s">
        <v>2404</v>
      </c>
    </row>
    <row r="574" spans="1:2">
      <c r="A574" s="194" t="s">
        <v>2405</v>
      </c>
      <c r="B574" s="193" t="s">
        <v>2406</v>
      </c>
    </row>
    <row r="575" spans="1:2">
      <c r="A575" s="194" t="s">
        <v>2407</v>
      </c>
      <c r="B575" s="193" t="s">
        <v>2408</v>
      </c>
    </row>
    <row r="576" spans="1:2">
      <c r="A576" s="194" t="s">
        <v>2409</v>
      </c>
      <c r="B576" s="193" t="s">
        <v>2410</v>
      </c>
    </row>
    <row r="577" spans="1:2">
      <c r="A577" s="194" t="s">
        <v>2411</v>
      </c>
      <c r="B577" s="193" t="s">
        <v>2412</v>
      </c>
    </row>
    <row r="578" spans="1:2">
      <c r="A578" s="194" t="s">
        <v>2413</v>
      </c>
      <c r="B578" s="193" t="s">
        <v>2414</v>
      </c>
    </row>
    <row r="579" spans="1:2">
      <c r="A579" s="194" t="s">
        <v>2415</v>
      </c>
      <c r="B579" s="193" t="s">
        <v>2416</v>
      </c>
    </row>
    <row r="580" spans="1:2">
      <c r="A580" s="194" t="s">
        <v>2417</v>
      </c>
      <c r="B580" s="193" t="s">
        <v>2418</v>
      </c>
    </row>
    <row r="581" spans="1:2">
      <c r="A581" s="194" t="s">
        <v>2419</v>
      </c>
      <c r="B581" s="193" t="s">
        <v>2420</v>
      </c>
    </row>
    <row r="582" spans="1:2">
      <c r="A582" s="194" t="s">
        <v>2421</v>
      </c>
      <c r="B582" s="193" t="s">
        <v>2422</v>
      </c>
    </row>
    <row r="583" spans="1:2">
      <c r="A583" s="194" t="s">
        <v>2423</v>
      </c>
      <c r="B583" s="193" t="s">
        <v>2424</v>
      </c>
    </row>
    <row r="584" spans="1:2">
      <c r="A584" s="194" t="s">
        <v>2425</v>
      </c>
      <c r="B584" s="193" t="s">
        <v>2426</v>
      </c>
    </row>
    <row r="585" spans="1:2">
      <c r="A585" s="194" t="s">
        <v>2427</v>
      </c>
      <c r="B585" s="193" t="s">
        <v>2428</v>
      </c>
    </row>
    <row r="586" spans="1:2">
      <c r="A586" s="194" t="s">
        <v>2429</v>
      </c>
      <c r="B586" s="193" t="s">
        <v>2430</v>
      </c>
    </row>
    <row r="587" spans="1:2">
      <c r="A587" s="194" t="s">
        <v>2431</v>
      </c>
      <c r="B587" s="193" t="s">
        <v>2432</v>
      </c>
    </row>
    <row r="588" spans="1:2">
      <c r="A588" s="194" t="s">
        <v>2433</v>
      </c>
      <c r="B588" s="193" t="s">
        <v>2434</v>
      </c>
    </row>
    <row r="589" spans="1:2">
      <c r="A589" s="194" t="s">
        <v>2435</v>
      </c>
      <c r="B589" s="193" t="s">
        <v>2436</v>
      </c>
    </row>
    <row r="590" spans="1:2">
      <c r="A590" s="194" t="s">
        <v>2437</v>
      </c>
      <c r="B590" s="193" t="s">
        <v>2438</v>
      </c>
    </row>
    <row r="591" spans="1:2">
      <c r="A591" s="194" t="s">
        <v>2439</v>
      </c>
      <c r="B591" s="193" t="s">
        <v>2440</v>
      </c>
    </row>
    <row r="592" spans="1:2">
      <c r="A592" s="194" t="s">
        <v>2441</v>
      </c>
      <c r="B592" s="193" t="s">
        <v>2442</v>
      </c>
    </row>
    <row r="593" spans="1:2">
      <c r="A593" s="194" t="s">
        <v>2443</v>
      </c>
      <c r="B593" s="193" t="s">
        <v>2444</v>
      </c>
    </row>
    <row r="594" spans="1:2">
      <c r="A594" s="194" t="s">
        <v>2445</v>
      </c>
      <c r="B594" s="193" t="s">
        <v>2446</v>
      </c>
    </row>
    <row r="595" spans="1:2">
      <c r="A595" s="194" t="s">
        <v>2447</v>
      </c>
      <c r="B595" s="193" t="s">
        <v>2448</v>
      </c>
    </row>
    <row r="596" spans="1:2">
      <c r="A596" s="194" t="s">
        <v>2449</v>
      </c>
      <c r="B596" s="193" t="s">
        <v>2450</v>
      </c>
    </row>
    <row r="597" spans="1:2">
      <c r="A597" s="194" t="s">
        <v>2451</v>
      </c>
      <c r="B597" s="193" t="s">
        <v>2452</v>
      </c>
    </row>
    <row r="598" spans="1:2">
      <c r="A598" s="194" t="s">
        <v>2453</v>
      </c>
      <c r="B598" s="193" t="s">
        <v>2454</v>
      </c>
    </row>
    <row r="599" spans="1:2">
      <c r="A599" s="194" t="s">
        <v>2455</v>
      </c>
      <c r="B599" s="193" t="s">
        <v>2456</v>
      </c>
    </row>
    <row r="600" spans="1:2">
      <c r="A600" s="194" t="s">
        <v>2457</v>
      </c>
      <c r="B600" s="193" t="s">
        <v>2458</v>
      </c>
    </row>
    <row r="601" spans="1:2">
      <c r="A601" s="194" t="s">
        <v>2459</v>
      </c>
      <c r="B601" s="193" t="s">
        <v>2460</v>
      </c>
    </row>
    <row r="602" spans="1:2">
      <c r="A602" s="194" t="s">
        <v>2461</v>
      </c>
      <c r="B602" s="193" t="s">
        <v>2462</v>
      </c>
    </row>
    <row r="603" spans="1:2">
      <c r="A603" s="194" t="s">
        <v>2463</v>
      </c>
      <c r="B603" s="193" t="s">
        <v>2464</v>
      </c>
    </row>
    <row r="604" spans="1:2">
      <c r="A604" s="194" t="s">
        <v>2465</v>
      </c>
      <c r="B604" s="193" t="s">
        <v>2466</v>
      </c>
    </row>
    <row r="605" spans="1:2">
      <c r="A605" s="194" t="s">
        <v>2467</v>
      </c>
      <c r="B605" s="193" t="s">
        <v>2468</v>
      </c>
    </row>
    <row r="606" spans="1:2">
      <c r="A606" s="194" t="s">
        <v>2469</v>
      </c>
      <c r="B606" s="193" t="s">
        <v>2470</v>
      </c>
    </row>
    <row r="607" spans="1:2">
      <c r="A607" s="194" t="s">
        <v>2471</v>
      </c>
      <c r="B607" s="193" t="s">
        <v>2472</v>
      </c>
    </row>
    <row r="608" spans="1:2">
      <c r="A608" s="194" t="s">
        <v>2473</v>
      </c>
      <c r="B608" s="193" t="s">
        <v>2474</v>
      </c>
    </row>
    <row r="609" spans="1:2">
      <c r="A609" s="194" t="s">
        <v>2475</v>
      </c>
      <c r="B609" s="193" t="s">
        <v>2476</v>
      </c>
    </row>
    <row r="610" spans="1:2">
      <c r="A610" s="194" t="s">
        <v>2477</v>
      </c>
      <c r="B610" s="193" t="s">
        <v>2478</v>
      </c>
    </row>
    <row r="611" spans="1:2">
      <c r="A611" s="194" t="s">
        <v>2479</v>
      </c>
      <c r="B611" s="193" t="s">
        <v>2480</v>
      </c>
    </row>
    <row r="612" spans="1:2">
      <c r="A612" s="194" t="s">
        <v>2481</v>
      </c>
      <c r="B612" s="193" t="s">
        <v>2482</v>
      </c>
    </row>
    <row r="613" spans="1:2">
      <c r="A613" s="194" t="s">
        <v>2483</v>
      </c>
      <c r="B613" s="193" t="s">
        <v>2484</v>
      </c>
    </row>
    <row r="614" spans="1:2">
      <c r="A614" s="194" t="s">
        <v>2485</v>
      </c>
      <c r="B614" s="193" t="s">
        <v>2486</v>
      </c>
    </row>
    <row r="615" spans="1:2">
      <c r="A615" s="194" t="s">
        <v>2487</v>
      </c>
      <c r="B615" s="193" t="s">
        <v>2488</v>
      </c>
    </row>
    <row r="616" spans="1:2">
      <c r="A616" s="194" t="s">
        <v>2489</v>
      </c>
      <c r="B616" s="193" t="s">
        <v>2490</v>
      </c>
    </row>
    <row r="617" spans="1:2">
      <c r="A617" s="194" t="s">
        <v>2491</v>
      </c>
      <c r="B617" s="193" t="s">
        <v>2492</v>
      </c>
    </row>
    <row r="618" spans="1:2">
      <c r="A618" s="194" t="s">
        <v>2493</v>
      </c>
      <c r="B618" s="193" t="s">
        <v>2494</v>
      </c>
    </row>
    <row r="619" spans="1:2">
      <c r="A619" s="194" t="s">
        <v>2495</v>
      </c>
      <c r="B619" s="193" t="s">
        <v>2496</v>
      </c>
    </row>
    <row r="620" spans="1:2">
      <c r="A620" s="194" t="s">
        <v>2497</v>
      </c>
      <c r="B620" s="193" t="s">
        <v>2498</v>
      </c>
    </row>
    <row r="621" spans="1:2">
      <c r="A621" s="194" t="s">
        <v>2499</v>
      </c>
      <c r="B621" s="193" t="s">
        <v>2500</v>
      </c>
    </row>
    <row r="622" spans="1:2">
      <c r="A622" s="194" t="s">
        <v>2501</v>
      </c>
      <c r="B622" s="193" t="s">
        <v>2502</v>
      </c>
    </row>
    <row r="623" spans="1:2">
      <c r="A623" s="194" t="s">
        <v>2503</v>
      </c>
      <c r="B623" s="193" t="s">
        <v>2504</v>
      </c>
    </row>
    <row r="624" spans="1:2">
      <c r="A624" s="194" t="s">
        <v>2505</v>
      </c>
      <c r="B624" s="193" t="s">
        <v>2506</v>
      </c>
    </row>
    <row r="625" spans="1:2">
      <c r="A625" s="194" t="s">
        <v>2507</v>
      </c>
      <c r="B625" s="193" t="s">
        <v>2508</v>
      </c>
    </row>
    <row r="626" spans="1:2">
      <c r="A626" s="194" t="s">
        <v>2509</v>
      </c>
      <c r="B626" s="193" t="s">
        <v>2510</v>
      </c>
    </row>
    <row r="627" spans="1:2">
      <c r="A627" s="194" t="s">
        <v>2511</v>
      </c>
      <c r="B627" s="193" t="s">
        <v>2512</v>
      </c>
    </row>
    <row r="628" spans="1:2">
      <c r="A628" s="194" t="s">
        <v>2513</v>
      </c>
      <c r="B628" s="193" t="s">
        <v>2514</v>
      </c>
    </row>
    <row r="629" spans="1:2">
      <c r="A629" s="194" t="s">
        <v>2515</v>
      </c>
      <c r="B629" s="193" t="s">
        <v>2516</v>
      </c>
    </row>
    <row r="630" spans="1:2">
      <c r="A630" s="194" t="s">
        <v>2517</v>
      </c>
      <c r="B630" s="193" t="s">
        <v>2518</v>
      </c>
    </row>
    <row r="631" spans="1:2">
      <c r="A631" s="194" t="s">
        <v>2519</v>
      </c>
      <c r="B631" s="193" t="s">
        <v>2520</v>
      </c>
    </row>
    <row r="632" spans="1:2">
      <c r="A632" s="194" t="s">
        <v>2521</v>
      </c>
      <c r="B632" s="193" t="s">
        <v>2522</v>
      </c>
    </row>
    <row r="633" spans="1:2">
      <c r="A633" s="194" t="s">
        <v>2523</v>
      </c>
      <c r="B633" s="193" t="s">
        <v>2524</v>
      </c>
    </row>
    <row r="634" spans="1:2">
      <c r="A634" s="194" t="s">
        <v>2525</v>
      </c>
      <c r="B634" s="193" t="s">
        <v>2526</v>
      </c>
    </row>
    <row r="635" spans="1:2">
      <c r="A635" s="194" t="s">
        <v>2527</v>
      </c>
      <c r="B635" s="193" t="s">
        <v>2528</v>
      </c>
    </row>
    <row r="636" spans="1:2">
      <c r="A636" s="194" t="s">
        <v>2529</v>
      </c>
      <c r="B636" s="193" t="s">
        <v>2530</v>
      </c>
    </row>
    <row r="637" spans="1:2">
      <c r="A637" s="194" t="s">
        <v>2531</v>
      </c>
      <c r="B637" s="193" t="s">
        <v>2532</v>
      </c>
    </row>
    <row r="638" spans="1:2">
      <c r="A638" s="194" t="s">
        <v>2533</v>
      </c>
      <c r="B638" s="193" t="s">
        <v>2534</v>
      </c>
    </row>
    <row r="639" spans="1:2">
      <c r="A639" s="194" t="s">
        <v>2535</v>
      </c>
      <c r="B639" s="193" t="s">
        <v>2536</v>
      </c>
    </row>
    <row r="640" spans="1:2">
      <c r="A640" s="194" t="s">
        <v>2537</v>
      </c>
      <c r="B640" s="193" t="s">
        <v>2538</v>
      </c>
    </row>
    <row r="641" spans="1:2">
      <c r="A641" s="194" t="s">
        <v>2539</v>
      </c>
      <c r="B641" s="193" t="s">
        <v>2540</v>
      </c>
    </row>
    <row r="642" spans="1:2">
      <c r="A642" s="194" t="s">
        <v>2541</v>
      </c>
      <c r="B642" s="193" t="s">
        <v>2542</v>
      </c>
    </row>
    <row r="643" spans="1:2">
      <c r="A643" s="194" t="s">
        <v>2543</v>
      </c>
      <c r="B643" s="193" t="s">
        <v>2544</v>
      </c>
    </row>
    <row r="644" spans="1:2">
      <c r="A644" s="194" t="s">
        <v>2545</v>
      </c>
      <c r="B644" s="193" t="s">
        <v>2546</v>
      </c>
    </row>
    <row r="645" spans="1:2">
      <c r="A645" s="194" t="s">
        <v>2547</v>
      </c>
      <c r="B645" s="193" t="s">
        <v>2548</v>
      </c>
    </row>
    <row r="646" spans="1:2">
      <c r="A646" s="194" t="s">
        <v>2549</v>
      </c>
      <c r="B646" s="193" t="s">
        <v>2550</v>
      </c>
    </row>
    <row r="647" spans="1:2">
      <c r="A647" s="194" t="s">
        <v>2551</v>
      </c>
      <c r="B647" s="193" t="s">
        <v>2552</v>
      </c>
    </row>
    <row r="648" spans="1:2">
      <c r="A648" s="194" t="s">
        <v>2553</v>
      </c>
      <c r="B648" s="193" t="s">
        <v>2554</v>
      </c>
    </row>
    <row r="649" spans="1:2">
      <c r="A649" s="194" t="s">
        <v>2555</v>
      </c>
      <c r="B649" s="193" t="s">
        <v>2556</v>
      </c>
    </row>
    <row r="650" spans="1:2">
      <c r="A650" s="194" t="s">
        <v>2557</v>
      </c>
      <c r="B650" s="193" t="s">
        <v>2558</v>
      </c>
    </row>
    <row r="651" spans="1:2">
      <c r="A651" s="194" t="s">
        <v>2559</v>
      </c>
      <c r="B651" s="193" t="s">
        <v>2560</v>
      </c>
    </row>
    <row r="652" spans="1:2">
      <c r="A652" s="194" t="s">
        <v>2561</v>
      </c>
      <c r="B652" s="193" t="s">
        <v>2562</v>
      </c>
    </row>
    <row r="653" spans="1:2">
      <c r="A653" s="194" t="s">
        <v>2563</v>
      </c>
      <c r="B653" s="193" t="s">
        <v>2564</v>
      </c>
    </row>
    <row r="654" spans="1:2">
      <c r="A654" s="194" t="s">
        <v>2565</v>
      </c>
      <c r="B654" s="193" t="s">
        <v>2566</v>
      </c>
    </row>
    <row r="655" spans="1:2">
      <c r="A655" s="194" t="s">
        <v>2567</v>
      </c>
      <c r="B655" s="193" t="s">
        <v>2568</v>
      </c>
    </row>
    <row r="656" spans="1:2">
      <c r="A656" s="194" t="s">
        <v>2569</v>
      </c>
      <c r="B656" s="193" t="s">
        <v>2570</v>
      </c>
    </row>
    <row r="657" spans="1:2">
      <c r="A657" s="194" t="s">
        <v>2571</v>
      </c>
      <c r="B657" s="193" t="s">
        <v>2572</v>
      </c>
    </row>
    <row r="658" spans="1:2">
      <c r="A658" s="194" t="s">
        <v>2573</v>
      </c>
      <c r="B658" s="193" t="s">
        <v>2574</v>
      </c>
    </row>
    <row r="659" spans="1:2">
      <c r="A659" s="194" t="s">
        <v>2575</v>
      </c>
      <c r="B659" s="193" t="s">
        <v>2576</v>
      </c>
    </row>
    <row r="660" spans="1:2">
      <c r="A660" s="194" t="s">
        <v>2577</v>
      </c>
      <c r="B660" s="193" t="s">
        <v>2578</v>
      </c>
    </row>
    <row r="661" spans="1:2">
      <c r="A661" s="194" t="s">
        <v>2579</v>
      </c>
      <c r="B661" s="193" t="s">
        <v>2580</v>
      </c>
    </row>
    <row r="662" spans="1:2">
      <c r="A662" s="194" t="s">
        <v>2581</v>
      </c>
      <c r="B662" s="193" t="s">
        <v>2582</v>
      </c>
    </row>
    <row r="663" spans="1:2">
      <c r="A663" s="194" t="s">
        <v>2583</v>
      </c>
      <c r="B663" s="193" t="s">
        <v>2584</v>
      </c>
    </row>
    <row r="664" spans="1:2">
      <c r="A664" s="194" t="s">
        <v>2585</v>
      </c>
      <c r="B664" s="193" t="s">
        <v>2586</v>
      </c>
    </row>
    <row r="665" spans="1:2">
      <c r="A665" s="194" t="s">
        <v>2587</v>
      </c>
      <c r="B665" s="193" t="s">
        <v>2588</v>
      </c>
    </row>
    <row r="666" spans="1:2">
      <c r="A666" s="194" t="s">
        <v>2589</v>
      </c>
      <c r="B666" s="193" t="s">
        <v>2590</v>
      </c>
    </row>
    <row r="667" spans="1:2">
      <c r="A667" s="194" t="s">
        <v>2591</v>
      </c>
      <c r="B667" s="193" t="s">
        <v>2592</v>
      </c>
    </row>
    <row r="668" spans="1:2">
      <c r="A668" s="194" t="s">
        <v>2593</v>
      </c>
      <c r="B668" s="193" t="s">
        <v>2594</v>
      </c>
    </row>
    <row r="669" spans="1:2">
      <c r="A669" s="194" t="s">
        <v>2595</v>
      </c>
      <c r="B669" s="193" t="s">
        <v>2596</v>
      </c>
    </row>
    <row r="670" spans="1:2">
      <c r="A670" s="194" t="s">
        <v>2597</v>
      </c>
      <c r="B670" s="193" t="s">
        <v>2598</v>
      </c>
    </row>
    <row r="671" spans="1:2">
      <c r="A671" s="194" t="s">
        <v>2599</v>
      </c>
      <c r="B671" s="193" t="s">
        <v>2600</v>
      </c>
    </row>
    <row r="672" spans="1:2">
      <c r="A672" s="194" t="s">
        <v>2601</v>
      </c>
      <c r="B672" s="193" t="s">
        <v>2602</v>
      </c>
    </row>
    <row r="673" spans="1:2">
      <c r="A673" s="194" t="s">
        <v>2603</v>
      </c>
      <c r="B673" s="193" t="s">
        <v>2604</v>
      </c>
    </row>
    <row r="674" spans="1:2">
      <c r="A674" s="194" t="s">
        <v>2605</v>
      </c>
      <c r="B674" s="193" t="s">
        <v>2606</v>
      </c>
    </row>
    <row r="675" spans="1:2">
      <c r="A675" s="194" t="s">
        <v>2607</v>
      </c>
      <c r="B675" s="193" t="s">
        <v>2608</v>
      </c>
    </row>
    <row r="676" spans="1:2">
      <c r="A676" s="194" t="s">
        <v>2609</v>
      </c>
      <c r="B676" s="193" t="s">
        <v>2610</v>
      </c>
    </row>
    <row r="677" spans="1:2">
      <c r="A677" s="194" t="s">
        <v>2611</v>
      </c>
      <c r="B677" s="193" t="s">
        <v>2612</v>
      </c>
    </row>
    <row r="678" spans="1:2">
      <c r="A678" s="194" t="s">
        <v>2613</v>
      </c>
      <c r="B678" s="193" t="s">
        <v>2614</v>
      </c>
    </row>
    <row r="679" spans="1:2">
      <c r="A679" s="194" t="s">
        <v>2615</v>
      </c>
      <c r="B679" s="193" t="s">
        <v>2616</v>
      </c>
    </row>
    <row r="680" spans="1:2">
      <c r="A680" s="194" t="s">
        <v>2617</v>
      </c>
      <c r="B680" s="193" t="s">
        <v>2618</v>
      </c>
    </row>
    <row r="681" spans="1:2">
      <c r="A681" s="194" t="s">
        <v>2619</v>
      </c>
      <c r="B681" s="193" t="s">
        <v>2620</v>
      </c>
    </row>
    <row r="682" spans="1:2">
      <c r="A682" s="194" t="s">
        <v>2621</v>
      </c>
      <c r="B682" s="193" t="s">
        <v>2622</v>
      </c>
    </row>
    <row r="683" spans="1:2">
      <c r="A683" s="194" t="s">
        <v>2623</v>
      </c>
      <c r="B683" s="193" t="s">
        <v>2624</v>
      </c>
    </row>
    <row r="684" spans="1:2">
      <c r="A684" s="194" t="s">
        <v>2625</v>
      </c>
      <c r="B684" s="193" t="s">
        <v>2626</v>
      </c>
    </row>
    <row r="685" spans="1:2">
      <c r="A685" s="194" t="s">
        <v>2627</v>
      </c>
      <c r="B685" s="193" t="s">
        <v>2628</v>
      </c>
    </row>
    <row r="686" spans="1:2">
      <c r="A686" s="194" t="s">
        <v>2629</v>
      </c>
      <c r="B686" s="193" t="s">
        <v>2630</v>
      </c>
    </row>
    <row r="687" spans="1:2">
      <c r="A687" s="194" t="s">
        <v>2631</v>
      </c>
      <c r="B687" s="193" t="s">
        <v>2632</v>
      </c>
    </row>
    <row r="688" spans="1:2">
      <c r="A688" s="194" t="s">
        <v>2633</v>
      </c>
      <c r="B688" s="193" t="s">
        <v>2634</v>
      </c>
    </row>
    <row r="689" spans="1:2">
      <c r="A689" s="194" t="s">
        <v>2635</v>
      </c>
      <c r="B689" s="193" t="s">
        <v>2636</v>
      </c>
    </row>
    <row r="690" spans="1:2">
      <c r="A690" s="194" t="s">
        <v>2637</v>
      </c>
      <c r="B690" s="193" t="s">
        <v>2638</v>
      </c>
    </row>
    <row r="691" spans="1:2">
      <c r="A691" s="194" t="s">
        <v>2639</v>
      </c>
      <c r="B691" s="193" t="s">
        <v>2640</v>
      </c>
    </row>
    <row r="692" spans="1:2">
      <c r="A692" s="194" t="s">
        <v>2641</v>
      </c>
      <c r="B692" s="193" t="s">
        <v>2642</v>
      </c>
    </row>
    <row r="693" spans="1:2">
      <c r="A693" s="194" t="s">
        <v>2643</v>
      </c>
      <c r="B693" s="193" t="s">
        <v>2644</v>
      </c>
    </row>
    <row r="694" spans="1:2">
      <c r="A694" s="194" t="s">
        <v>2645</v>
      </c>
      <c r="B694" s="193" t="s">
        <v>2646</v>
      </c>
    </row>
    <row r="695" spans="1:2">
      <c r="A695" s="194" t="s">
        <v>2647</v>
      </c>
      <c r="B695" s="193" t="s">
        <v>2648</v>
      </c>
    </row>
    <row r="696" spans="1:2">
      <c r="A696" s="194" t="s">
        <v>2649</v>
      </c>
      <c r="B696" s="193" t="s">
        <v>2650</v>
      </c>
    </row>
    <row r="697" spans="1:2">
      <c r="A697" s="194" t="s">
        <v>2651</v>
      </c>
      <c r="B697" s="193" t="s">
        <v>2652</v>
      </c>
    </row>
    <row r="698" spans="1:2">
      <c r="A698" s="194" t="s">
        <v>2653</v>
      </c>
      <c r="B698" s="193" t="s">
        <v>2654</v>
      </c>
    </row>
    <row r="699" spans="1:2">
      <c r="A699" s="194" t="s">
        <v>2655</v>
      </c>
      <c r="B699" s="193" t="s">
        <v>2656</v>
      </c>
    </row>
    <row r="700" spans="1:2">
      <c r="A700" s="194" t="s">
        <v>2657</v>
      </c>
      <c r="B700" s="193" t="s">
        <v>2658</v>
      </c>
    </row>
    <row r="701" spans="1:2">
      <c r="A701" s="194" t="s">
        <v>2659</v>
      </c>
      <c r="B701" s="193" t="s">
        <v>2660</v>
      </c>
    </row>
    <row r="702" spans="1:2">
      <c r="A702" s="194" t="s">
        <v>2661</v>
      </c>
      <c r="B702" s="193" t="s">
        <v>2662</v>
      </c>
    </row>
    <row r="703" spans="1:2">
      <c r="A703" s="194" t="s">
        <v>2663</v>
      </c>
      <c r="B703" s="193" t="s">
        <v>2664</v>
      </c>
    </row>
    <row r="704" spans="1:2">
      <c r="A704" s="194" t="s">
        <v>2665</v>
      </c>
      <c r="B704" s="193" t="s">
        <v>2666</v>
      </c>
    </row>
    <row r="705" spans="1:2">
      <c r="A705" s="194" t="s">
        <v>2667</v>
      </c>
      <c r="B705" s="193" t="s">
        <v>2668</v>
      </c>
    </row>
    <row r="706" spans="1:2">
      <c r="A706" s="194" t="s">
        <v>2669</v>
      </c>
      <c r="B706" s="193" t="s">
        <v>2670</v>
      </c>
    </row>
    <row r="707" spans="1:2">
      <c r="A707" s="194" t="s">
        <v>2671</v>
      </c>
      <c r="B707" s="193" t="s">
        <v>2672</v>
      </c>
    </row>
    <row r="708" spans="1:2">
      <c r="A708" s="194" t="s">
        <v>2673</v>
      </c>
      <c r="B708" s="193" t="s">
        <v>2674</v>
      </c>
    </row>
    <row r="709" spans="1:2">
      <c r="A709" s="194" t="s">
        <v>2675</v>
      </c>
      <c r="B709" s="193" t="s">
        <v>2676</v>
      </c>
    </row>
    <row r="710" spans="1:2">
      <c r="A710" s="194" t="s">
        <v>2677</v>
      </c>
      <c r="B710" s="193" t="s">
        <v>2678</v>
      </c>
    </row>
    <row r="711" spans="1:2">
      <c r="A711" s="194" t="s">
        <v>2679</v>
      </c>
      <c r="B711" s="193" t="s">
        <v>2680</v>
      </c>
    </row>
    <row r="712" spans="1:2">
      <c r="A712" s="194" t="s">
        <v>2681</v>
      </c>
      <c r="B712" s="193" t="s">
        <v>2682</v>
      </c>
    </row>
    <row r="713" spans="1:2">
      <c r="A713" s="194" t="s">
        <v>2683</v>
      </c>
      <c r="B713" s="193" t="s">
        <v>2684</v>
      </c>
    </row>
    <row r="714" spans="1:2">
      <c r="A714" s="194" t="s">
        <v>2685</v>
      </c>
      <c r="B714" s="193" t="s">
        <v>2686</v>
      </c>
    </row>
    <row r="715" spans="1:2">
      <c r="A715" s="194" t="s">
        <v>2687</v>
      </c>
      <c r="B715" s="193" t="s">
        <v>2688</v>
      </c>
    </row>
    <row r="716" spans="1:2">
      <c r="A716" s="194" t="s">
        <v>2689</v>
      </c>
      <c r="B716" s="193" t="s">
        <v>2690</v>
      </c>
    </row>
    <row r="717" spans="1:2">
      <c r="A717" s="194" t="s">
        <v>2691</v>
      </c>
      <c r="B717" s="193" t="s">
        <v>2692</v>
      </c>
    </row>
    <row r="718" spans="1:2">
      <c r="A718" s="194" t="s">
        <v>2693</v>
      </c>
      <c r="B718" s="193" t="s">
        <v>2694</v>
      </c>
    </row>
    <row r="719" spans="1:2">
      <c r="A719" s="194" t="s">
        <v>2695</v>
      </c>
      <c r="B719" s="193" t="s">
        <v>2696</v>
      </c>
    </row>
    <row r="720" spans="1:2">
      <c r="A720" s="194" t="s">
        <v>2697</v>
      </c>
      <c r="B720" s="193" t="s">
        <v>2698</v>
      </c>
    </row>
    <row r="721" spans="1:2">
      <c r="A721" s="194" t="s">
        <v>2699</v>
      </c>
      <c r="B721" s="193" t="s">
        <v>2700</v>
      </c>
    </row>
    <row r="722" spans="1:2">
      <c r="A722" s="194" t="s">
        <v>2701</v>
      </c>
      <c r="B722" s="193" t="s">
        <v>2702</v>
      </c>
    </row>
    <row r="723" spans="1:2">
      <c r="A723" s="194" t="s">
        <v>2703</v>
      </c>
      <c r="B723" s="193" t="s">
        <v>2704</v>
      </c>
    </row>
    <row r="724" spans="1:2">
      <c r="A724" s="194" t="s">
        <v>2705</v>
      </c>
      <c r="B724" s="193" t="s">
        <v>2706</v>
      </c>
    </row>
    <row r="725" spans="1:2">
      <c r="A725" s="194" t="s">
        <v>2707</v>
      </c>
      <c r="B725" s="193" t="s">
        <v>2708</v>
      </c>
    </row>
    <row r="726" spans="1:2">
      <c r="A726" s="194" t="s">
        <v>2709</v>
      </c>
      <c r="B726" s="193" t="s">
        <v>2710</v>
      </c>
    </row>
    <row r="727" spans="1:2">
      <c r="A727" s="194" t="s">
        <v>2711</v>
      </c>
      <c r="B727" s="193" t="s">
        <v>2712</v>
      </c>
    </row>
    <row r="728" spans="1:2">
      <c r="A728" s="194" t="s">
        <v>2713</v>
      </c>
      <c r="B728" s="193" t="s">
        <v>2714</v>
      </c>
    </row>
    <row r="729" spans="1:2">
      <c r="A729" s="194" t="s">
        <v>2715</v>
      </c>
      <c r="B729" s="193" t="s">
        <v>2716</v>
      </c>
    </row>
    <row r="730" spans="1:2">
      <c r="A730" s="194" t="s">
        <v>2717</v>
      </c>
      <c r="B730" s="193" t="s">
        <v>2718</v>
      </c>
    </row>
    <row r="731" spans="1:2">
      <c r="A731" s="194" t="s">
        <v>2719</v>
      </c>
      <c r="B731" s="193" t="s">
        <v>2720</v>
      </c>
    </row>
    <row r="732" spans="1:2">
      <c r="A732" s="194" t="s">
        <v>2721</v>
      </c>
      <c r="B732" s="193" t="s">
        <v>2722</v>
      </c>
    </row>
    <row r="733" spans="1:2">
      <c r="A733" s="194" t="s">
        <v>2723</v>
      </c>
      <c r="B733" s="193" t="s">
        <v>2724</v>
      </c>
    </row>
    <row r="734" spans="1:2">
      <c r="A734" s="194" t="s">
        <v>2725</v>
      </c>
      <c r="B734" s="193" t="s">
        <v>2726</v>
      </c>
    </row>
    <row r="735" spans="1:2">
      <c r="A735" s="194" t="s">
        <v>2727</v>
      </c>
      <c r="B735" s="193" t="s">
        <v>2728</v>
      </c>
    </row>
    <row r="736" spans="1:2">
      <c r="A736" s="194" t="s">
        <v>2729</v>
      </c>
      <c r="B736" s="193" t="s">
        <v>2730</v>
      </c>
    </row>
    <row r="737" spans="1:2">
      <c r="A737" s="194" t="s">
        <v>2731</v>
      </c>
      <c r="B737" s="193" t="s">
        <v>2732</v>
      </c>
    </row>
    <row r="738" spans="1:2">
      <c r="A738" s="194" t="s">
        <v>2733</v>
      </c>
      <c r="B738" s="193" t="s">
        <v>2734</v>
      </c>
    </row>
    <row r="739" spans="1:2">
      <c r="A739" s="194" t="s">
        <v>2735</v>
      </c>
      <c r="B739" s="193" t="s">
        <v>2736</v>
      </c>
    </row>
    <row r="740" spans="1:2">
      <c r="A740" s="194" t="s">
        <v>2737</v>
      </c>
      <c r="B740" s="193" t="s">
        <v>2738</v>
      </c>
    </row>
    <row r="741" spans="1:2">
      <c r="A741" s="194" t="s">
        <v>2739</v>
      </c>
      <c r="B741" s="193" t="s">
        <v>2740</v>
      </c>
    </row>
    <row r="742" spans="1:2">
      <c r="A742" s="194" t="s">
        <v>2741</v>
      </c>
      <c r="B742" s="193" t="s">
        <v>2742</v>
      </c>
    </row>
    <row r="743" spans="1:2">
      <c r="A743" s="194" t="s">
        <v>2743</v>
      </c>
      <c r="B743" s="193" t="s">
        <v>2744</v>
      </c>
    </row>
    <row r="744" spans="1:2">
      <c r="A744" s="194" t="s">
        <v>2745</v>
      </c>
      <c r="B744" s="193" t="s">
        <v>2746</v>
      </c>
    </row>
    <row r="745" spans="1:2">
      <c r="A745" s="194" t="s">
        <v>2747</v>
      </c>
      <c r="B745" s="193" t="s">
        <v>2748</v>
      </c>
    </row>
    <row r="746" spans="1:2">
      <c r="A746" s="194" t="s">
        <v>2749</v>
      </c>
      <c r="B746" s="193" t="s">
        <v>2750</v>
      </c>
    </row>
    <row r="747" spans="1:2">
      <c r="A747" s="194" t="s">
        <v>2751</v>
      </c>
      <c r="B747" s="193" t="s">
        <v>2271</v>
      </c>
    </row>
    <row r="748" spans="1:2">
      <c r="A748" s="194" t="s">
        <v>2752</v>
      </c>
      <c r="B748" s="193" t="s">
        <v>2753</v>
      </c>
    </row>
    <row r="749" spans="1:2">
      <c r="A749" s="194" t="s">
        <v>2754</v>
      </c>
      <c r="B749" s="193" t="s">
        <v>2755</v>
      </c>
    </row>
    <row r="750" spans="1:2">
      <c r="A750" s="194" t="s">
        <v>2756</v>
      </c>
      <c r="B750" s="193" t="s">
        <v>2757</v>
      </c>
    </row>
    <row r="751" spans="1:2">
      <c r="A751" s="194" t="s">
        <v>2758</v>
      </c>
      <c r="B751" s="193" t="s">
        <v>2759</v>
      </c>
    </row>
    <row r="752" spans="1:2">
      <c r="A752" s="194" t="s">
        <v>2760</v>
      </c>
      <c r="B752" s="193" t="s">
        <v>2761</v>
      </c>
    </row>
    <row r="753" spans="1:2">
      <c r="A753" s="194" t="s">
        <v>2762</v>
      </c>
      <c r="B753" s="193" t="s">
        <v>2763</v>
      </c>
    </row>
    <row r="754" spans="1:2">
      <c r="A754" s="194" t="s">
        <v>2764</v>
      </c>
      <c r="B754" s="193" t="s">
        <v>2765</v>
      </c>
    </row>
    <row r="755" spans="1:2">
      <c r="A755" s="194" t="s">
        <v>2766</v>
      </c>
      <c r="B755" s="193" t="s">
        <v>2767</v>
      </c>
    </row>
    <row r="756" spans="1:2">
      <c r="A756" s="194" t="s">
        <v>2768</v>
      </c>
      <c r="B756" s="193" t="s">
        <v>2769</v>
      </c>
    </row>
    <row r="757" spans="1:2">
      <c r="A757" s="194" t="s">
        <v>2770</v>
      </c>
      <c r="B757" s="193" t="s">
        <v>2771</v>
      </c>
    </row>
    <row r="758" spans="1:2">
      <c r="A758" s="194" t="s">
        <v>2772</v>
      </c>
      <c r="B758" s="193" t="s">
        <v>2773</v>
      </c>
    </row>
    <row r="759" spans="1:2">
      <c r="A759" s="194" t="s">
        <v>2774</v>
      </c>
      <c r="B759" s="193" t="s">
        <v>2775</v>
      </c>
    </row>
    <row r="760" spans="1:2">
      <c r="A760" s="194" t="s">
        <v>2776</v>
      </c>
      <c r="B760" s="193" t="s">
        <v>2777</v>
      </c>
    </row>
    <row r="761" spans="1:2">
      <c r="A761" s="194" t="s">
        <v>2778</v>
      </c>
      <c r="B761" s="193" t="s">
        <v>2779</v>
      </c>
    </row>
    <row r="762" spans="1:2">
      <c r="A762" s="194" t="s">
        <v>2780</v>
      </c>
      <c r="B762" s="193" t="s">
        <v>2781</v>
      </c>
    </row>
    <row r="763" spans="1:2">
      <c r="A763" s="194" t="s">
        <v>2782</v>
      </c>
      <c r="B763" s="193" t="s">
        <v>2783</v>
      </c>
    </row>
    <row r="764" spans="1:2">
      <c r="A764" s="194" t="s">
        <v>2784</v>
      </c>
      <c r="B764" s="193" t="s">
        <v>2785</v>
      </c>
    </row>
    <row r="765" spans="1:2">
      <c r="A765" s="194" t="s">
        <v>2786</v>
      </c>
      <c r="B765" s="193" t="s">
        <v>2787</v>
      </c>
    </row>
    <row r="766" spans="1:2">
      <c r="A766" s="194" t="s">
        <v>2788</v>
      </c>
      <c r="B766" s="193" t="s">
        <v>2789</v>
      </c>
    </row>
    <row r="767" spans="1:2">
      <c r="A767" s="194" t="s">
        <v>2790</v>
      </c>
      <c r="B767" s="193" t="s">
        <v>2791</v>
      </c>
    </row>
    <row r="768" spans="1:2">
      <c r="A768" s="194" t="s">
        <v>2792</v>
      </c>
      <c r="B768" s="193" t="s">
        <v>2793</v>
      </c>
    </row>
    <row r="769" spans="1:2">
      <c r="A769" s="194" t="s">
        <v>2794</v>
      </c>
      <c r="B769" s="193" t="s">
        <v>2795</v>
      </c>
    </row>
    <row r="770" spans="1:2">
      <c r="A770" s="194" t="s">
        <v>2796</v>
      </c>
      <c r="B770" s="193" t="s">
        <v>2797</v>
      </c>
    </row>
    <row r="771" spans="1:2">
      <c r="A771" s="194" t="s">
        <v>2798</v>
      </c>
      <c r="B771" s="193" t="s">
        <v>2799</v>
      </c>
    </row>
    <row r="772" spans="1:2">
      <c r="A772" s="194" t="s">
        <v>2800</v>
      </c>
      <c r="B772" s="193" t="s">
        <v>2801</v>
      </c>
    </row>
    <row r="773" spans="1:2">
      <c r="A773" s="194" t="s">
        <v>2802</v>
      </c>
      <c r="B773" s="193" t="s">
        <v>2803</v>
      </c>
    </row>
    <row r="774" spans="1:2">
      <c r="A774" s="194" t="s">
        <v>2804</v>
      </c>
      <c r="B774" s="193" t="s">
        <v>2805</v>
      </c>
    </row>
    <row r="775" spans="1:2">
      <c r="A775" s="194" t="s">
        <v>2806</v>
      </c>
      <c r="B775" s="193" t="s">
        <v>2807</v>
      </c>
    </row>
    <row r="776" spans="1:2">
      <c r="A776" s="194" t="s">
        <v>2808</v>
      </c>
      <c r="B776" s="193" t="s">
        <v>2809</v>
      </c>
    </row>
    <row r="777" spans="1:2">
      <c r="A777" s="194" t="s">
        <v>2810</v>
      </c>
      <c r="B777" s="193" t="s">
        <v>2811</v>
      </c>
    </row>
    <row r="778" spans="1:2">
      <c r="A778" s="194" t="s">
        <v>2812</v>
      </c>
      <c r="B778" s="193" t="s">
        <v>2813</v>
      </c>
    </row>
    <row r="779" spans="1:2">
      <c r="A779" s="194" t="s">
        <v>2814</v>
      </c>
      <c r="B779" s="193" t="s">
        <v>2815</v>
      </c>
    </row>
    <row r="780" spans="1:2">
      <c r="A780" s="194" t="s">
        <v>2816</v>
      </c>
      <c r="B780" s="193" t="s">
        <v>2817</v>
      </c>
    </row>
    <row r="781" spans="1:2">
      <c r="A781" s="194" t="s">
        <v>2818</v>
      </c>
      <c r="B781" s="193" t="s">
        <v>2761</v>
      </c>
    </row>
    <row r="782" spans="1:2">
      <c r="A782" s="194" t="s">
        <v>2819</v>
      </c>
      <c r="B782" s="193" t="s">
        <v>2767</v>
      </c>
    </row>
    <row r="783" spans="1:2">
      <c r="A783" s="194" t="s">
        <v>2820</v>
      </c>
      <c r="B783" s="193" t="s">
        <v>2821</v>
      </c>
    </row>
    <row r="784" spans="1:2">
      <c r="A784" s="194" t="s">
        <v>2822</v>
      </c>
      <c r="B784" s="193" t="s">
        <v>2823</v>
      </c>
    </row>
    <row r="785" spans="1:2">
      <c r="A785" s="194" t="s">
        <v>2824</v>
      </c>
      <c r="B785" s="193" t="s">
        <v>2825</v>
      </c>
    </row>
    <row r="786" spans="1:2">
      <c r="A786" s="194" t="s">
        <v>2826</v>
      </c>
      <c r="B786" s="193" t="s">
        <v>2827</v>
      </c>
    </row>
    <row r="787" spans="1:2">
      <c r="A787" s="194" t="s">
        <v>2828</v>
      </c>
      <c r="B787" s="193" t="s">
        <v>3189</v>
      </c>
    </row>
    <row r="788" spans="1:2">
      <c r="A788" s="194" t="s">
        <v>2829</v>
      </c>
      <c r="B788" s="193" t="s">
        <v>2830</v>
      </c>
    </row>
    <row r="789" spans="1:2">
      <c r="A789" s="194" t="s">
        <v>2831</v>
      </c>
      <c r="B789" s="193" t="s">
        <v>2832</v>
      </c>
    </row>
    <row r="790" spans="1:2">
      <c r="A790" s="194" t="s">
        <v>2833</v>
      </c>
      <c r="B790" s="193" t="s">
        <v>2834</v>
      </c>
    </row>
    <row r="791" spans="1:2">
      <c r="A791" s="194" t="s">
        <v>2835</v>
      </c>
      <c r="B791" s="193" t="s">
        <v>2836</v>
      </c>
    </row>
    <row r="792" spans="1:2">
      <c r="A792" s="194" t="s">
        <v>2837</v>
      </c>
      <c r="B792" s="193" t="s">
        <v>2838</v>
      </c>
    </row>
    <row r="793" spans="1:2">
      <c r="A793" s="194" t="s">
        <v>2839</v>
      </c>
      <c r="B793" s="193" t="s">
        <v>2840</v>
      </c>
    </row>
    <row r="794" spans="1:2">
      <c r="A794" s="194" t="s">
        <v>2841</v>
      </c>
      <c r="B794" s="193" t="s">
        <v>2842</v>
      </c>
    </row>
    <row r="795" spans="1:2">
      <c r="A795" s="194" t="s">
        <v>2843</v>
      </c>
      <c r="B795" s="193" t="s">
        <v>2844</v>
      </c>
    </row>
    <row r="796" spans="1:2">
      <c r="A796" s="194" t="s">
        <v>2845</v>
      </c>
      <c r="B796" s="193" t="s">
        <v>2846</v>
      </c>
    </row>
    <row r="797" spans="1:2">
      <c r="A797" s="194" t="s">
        <v>2847</v>
      </c>
      <c r="B797" s="193" t="s">
        <v>2848</v>
      </c>
    </row>
    <row r="798" spans="1:2">
      <c r="A798" s="194" t="s">
        <v>2849</v>
      </c>
      <c r="B798" s="193" t="s">
        <v>2850</v>
      </c>
    </row>
    <row r="799" spans="1:2">
      <c r="A799" s="194" t="s">
        <v>2851</v>
      </c>
      <c r="B799" s="193" t="s">
        <v>2852</v>
      </c>
    </row>
    <row r="800" spans="1:2">
      <c r="A800" s="194" t="s">
        <v>2853</v>
      </c>
      <c r="B800" s="193" t="s">
        <v>2854</v>
      </c>
    </row>
    <row r="801" spans="1:2">
      <c r="A801" s="194" t="s">
        <v>2855</v>
      </c>
      <c r="B801" s="193" t="s">
        <v>2856</v>
      </c>
    </row>
    <row r="802" spans="1:2">
      <c r="A802" s="194" t="s">
        <v>2857</v>
      </c>
      <c r="B802" s="193" t="s">
        <v>2858</v>
      </c>
    </row>
    <row r="803" spans="1:2">
      <c r="A803" s="194" t="s">
        <v>2859</v>
      </c>
      <c r="B803" s="193" t="s">
        <v>2860</v>
      </c>
    </row>
    <row r="804" spans="1:2">
      <c r="A804" s="194" t="s">
        <v>2861</v>
      </c>
      <c r="B804" s="193" t="s">
        <v>2862</v>
      </c>
    </row>
    <row r="805" spans="1:2">
      <c r="A805" s="194" t="s">
        <v>2863</v>
      </c>
      <c r="B805" s="193" t="s">
        <v>2864</v>
      </c>
    </row>
    <row r="806" spans="1:2">
      <c r="A806" s="194" t="s">
        <v>2865</v>
      </c>
      <c r="B806" s="193" t="s">
        <v>2866</v>
      </c>
    </row>
    <row r="807" spans="1:2">
      <c r="A807" s="194" t="s">
        <v>2867</v>
      </c>
      <c r="B807" s="193" t="s">
        <v>2868</v>
      </c>
    </row>
    <row r="808" spans="1:2">
      <c r="A808" s="194" t="s">
        <v>2869</v>
      </c>
      <c r="B808" s="193" t="s">
        <v>2870</v>
      </c>
    </row>
    <row r="809" spans="1:2">
      <c r="A809" s="194" t="s">
        <v>2871</v>
      </c>
      <c r="B809" s="193" t="s">
        <v>2872</v>
      </c>
    </row>
    <row r="810" spans="1:2">
      <c r="A810" s="194" t="s">
        <v>2873</v>
      </c>
      <c r="B810" s="193" t="s">
        <v>2874</v>
      </c>
    </row>
    <row r="811" spans="1:2">
      <c r="A811" s="194" t="s">
        <v>2875</v>
      </c>
      <c r="B811" s="193" t="s">
        <v>2876</v>
      </c>
    </row>
    <row r="812" spans="1:2">
      <c r="A812" s="194" t="s">
        <v>2877</v>
      </c>
      <c r="B812" s="193" t="s">
        <v>2878</v>
      </c>
    </row>
    <row r="813" spans="1:2">
      <c r="A813" s="194" t="s">
        <v>2879</v>
      </c>
      <c r="B813" s="193" t="s">
        <v>2880</v>
      </c>
    </row>
    <row r="814" spans="1:2">
      <c r="A814" s="194" t="s">
        <v>2881</v>
      </c>
      <c r="B814" s="193" t="s">
        <v>2882</v>
      </c>
    </row>
    <row r="815" spans="1:2">
      <c r="A815" s="194" t="s">
        <v>2883</v>
      </c>
      <c r="B815" s="193" t="s">
        <v>2884</v>
      </c>
    </row>
    <row r="816" spans="1:2">
      <c r="A816" s="194" t="s">
        <v>2885</v>
      </c>
      <c r="B816" s="193" t="s">
        <v>2642</v>
      </c>
    </row>
    <row r="817" spans="1:2">
      <c r="A817" s="194" t="s">
        <v>2886</v>
      </c>
      <c r="B817" s="193" t="s">
        <v>2887</v>
      </c>
    </row>
    <row r="818" spans="1:2">
      <c r="A818" s="194" t="s">
        <v>2888</v>
      </c>
      <c r="B818" s="193" t="s">
        <v>2889</v>
      </c>
    </row>
    <row r="819" spans="1:2">
      <c r="A819" s="194" t="s">
        <v>2890</v>
      </c>
      <c r="B819" s="193" t="s">
        <v>2891</v>
      </c>
    </row>
    <row r="820" spans="1:2">
      <c r="A820" s="194" t="s">
        <v>2892</v>
      </c>
      <c r="B820" s="193" t="s">
        <v>2893</v>
      </c>
    </row>
    <row r="821" spans="1:2">
      <c r="A821" s="194" t="s">
        <v>2894</v>
      </c>
      <c r="B821" s="193" t="s">
        <v>2895</v>
      </c>
    </row>
    <row r="822" spans="1:2">
      <c r="A822" s="194" t="s">
        <v>2896</v>
      </c>
      <c r="B822" s="193" t="s">
        <v>2897</v>
      </c>
    </row>
    <row r="823" spans="1:2">
      <c r="A823" s="194" t="s">
        <v>2898</v>
      </c>
      <c r="B823" s="193" t="s">
        <v>2899</v>
      </c>
    </row>
    <row r="824" spans="1:2">
      <c r="A824" s="194" t="s">
        <v>2900</v>
      </c>
      <c r="B824" s="193" t="s">
        <v>2901</v>
      </c>
    </row>
    <row r="825" spans="1:2">
      <c r="A825" s="194" t="s">
        <v>3190</v>
      </c>
      <c r="B825" s="193" t="s">
        <v>3191</v>
      </c>
    </row>
    <row r="826" spans="1:2">
      <c r="A826" s="194" t="s">
        <v>2902</v>
      </c>
      <c r="B826" s="193" t="s">
        <v>2903</v>
      </c>
    </row>
    <row r="827" spans="1:2">
      <c r="A827" s="194" t="s">
        <v>2904</v>
      </c>
      <c r="B827" s="193" t="s">
        <v>2905</v>
      </c>
    </row>
    <row r="828" spans="1:2">
      <c r="A828" s="194" t="s">
        <v>2906</v>
      </c>
      <c r="B828" s="193" t="s">
        <v>2907</v>
      </c>
    </row>
    <row r="829" spans="1:2">
      <c r="A829" s="194" t="s">
        <v>3192</v>
      </c>
      <c r="B829" s="193" t="s">
        <v>3193</v>
      </c>
    </row>
    <row r="830" spans="1:2">
      <c r="A830" s="194" t="s">
        <v>3194</v>
      </c>
      <c r="B830" s="193" t="s">
        <v>3195</v>
      </c>
    </row>
    <row r="831" spans="1:2">
      <c r="A831" s="194" t="s">
        <v>3196</v>
      </c>
      <c r="B831" s="193" t="s">
        <v>3197</v>
      </c>
    </row>
    <row r="832" spans="1:2">
      <c r="A832" s="194" t="s">
        <v>3198</v>
      </c>
      <c r="B832" s="193" t="s">
        <v>3199</v>
      </c>
    </row>
    <row r="833" spans="1:2">
      <c r="A833" s="194" t="s">
        <v>3200</v>
      </c>
      <c r="B833" s="193" t="s">
        <v>3201</v>
      </c>
    </row>
    <row r="834" spans="1:2">
      <c r="A834" s="194" t="s">
        <v>3202</v>
      </c>
      <c r="B834" s="193" t="s">
        <v>3203</v>
      </c>
    </row>
    <row r="835" spans="1:2">
      <c r="A835" s="194" t="s">
        <v>3204</v>
      </c>
      <c r="B835" s="193" t="s">
        <v>3205</v>
      </c>
    </row>
    <row r="836" spans="1:2">
      <c r="A836" s="194" t="s">
        <v>3206</v>
      </c>
      <c r="B836" s="193" t="s">
        <v>3207</v>
      </c>
    </row>
    <row r="837" spans="1:2">
      <c r="A837" s="194" t="s">
        <v>3208</v>
      </c>
      <c r="B837" s="193" t="s">
        <v>3209</v>
      </c>
    </row>
    <row r="838" spans="1:2">
      <c r="A838" s="194" t="s">
        <v>3210</v>
      </c>
      <c r="B838" s="193" t="s">
        <v>3211</v>
      </c>
    </row>
    <row r="839" spans="1:2">
      <c r="A839" s="194" t="s">
        <v>3212</v>
      </c>
      <c r="B839" s="193" t="s">
        <v>3213</v>
      </c>
    </row>
    <row r="840" spans="1:2">
      <c r="A840" s="194" t="s">
        <v>3214</v>
      </c>
      <c r="B840" s="193" t="s">
        <v>3215</v>
      </c>
    </row>
    <row r="841" spans="1:2">
      <c r="A841" s="194" t="s">
        <v>3216</v>
      </c>
      <c r="B841" s="193" t="s">
        <v>3217</v>
      </c>
    </row>
    <row r="842" spans="1:2">
      <c r="A842" s="194" t="s">
        <v>3218</v>
      </c>
      <c r="B842" s="193" t="s">
        <v>3219</v>
      </c>
    </row>
    <row r="843" spans="1:2">
      <c r="A843" s="194" t="s">
        <v>3220</v>
      </c>
      <c r="B843" s="193" t="s">
        <v>3221</v>
      </c>
    </row>
    <row r="844" spans="1:2">
      <c r="A844" s="194" t="s">
        <v>3222</v>
      </c>
      <c r="B844" s="193" t="s">
        <v>3223</v>
      </c>
    </row>
    <row r="845" spans="1:2">
      <c r="A845" s="194" t="s">
        <v>3224</v>
      </c>
      <c r="B845" s="193" t="s">
        <v>3225</v>
      </c>
    </row>
    <row r="846" spans="1:2">
      <c r="A846" s="194" t="s">
        <v>3226</v>
      </c>
      <c r="B846" s="193" t="s">
        <v>2803</v>
      </c>
    </row>
    <row r="847" spans="1:2">
      <c r="A847" s="194" t="s">
        <v>3227</v>
      </c>
      <c r="B847" s="193" t="s">
        <v>3121</v>
      </c>
    </row>
    <row r="848" spans="1:2">
      <c r="A848" s="194" t="s">
        <v>3228</v>
      </c>
      <c r="B848" s="193" t="s">
        <v>3229</v>
      </c>
    </row>
    <row r="849" spans="1:2">
      <c r="A849" s="194" t="s">
        <v>3230</v>
      </c>
      <c r="B849" s="193" t="s">
        <v>3231</v>
      </c>
    </row>
    <row r="850" spans="1:2">
      <c r="A850" s="194" t="s">
        <v>3232</v>
      </c>
      <c r="B850" s="193" t="s">
        <v>3233</v>
      </c>
    </row>
    <row r="851" spans="1:2">
      <c r="A851" s="194" t="s">
        <v>3234</v>
      </c>
      <c r="B851" s="193" t="s">
        <v>3235</v>
      </c>
    </row>
    <row r="852" spans="1:2">
      <c r="A852" s="194" t="s">
        <v>3236</v>
      </c>
      <c r="B852" s="193" t="s">
        <v>3237</v>
      </c>
    </row>
    <row r="853" spans="1:2">
      <c r="A853" s="194" t="s">
        <v>3238</v>
      </c>
      <c r="B853" s="193" t="s">
        <v>3239</v>
      </c>
    </row>
    <row r="854" spans="1:2">
      <c r="A854" s="194" t="s">
        <v>3240</v>
      </c>
      <c r="B854" s="193" t="s">
        <v>2474</v>
      </c>
    </row>
    <row r="855" spans="1:2">
      <c r="A855" s="194" t="s">
        <v>3241</v>
      </c>
      <c r="B855" s="193" t="s">
        <v>3242</v>
      </c>
    </row>
    <row r="856" spans="1:2">
      <c r="A856" s="194" t="s">
        <v>3243</v>
      </c>
      <c r="B856" s="193" t="s">
        <v>3244</v>
      </c>
    </row>
    <row r="857" spans="1:2">
      <c r="A857" s="194" t="s">
        <v>3245</v>
      </c>
      <c r="B857" s="193" t="s">
        <v>3246</v>
      </c>
    </row>
    <row r="858" spans="1:2">
      <c r="A858" s="194" t="s">
        <v>3247</v>
      </c>
      <c r="B858" s="193" t="s">
        <v>3248</v>
      </c>
    </row>
    <row r="859" spans="1:2">
      <c r="A859" s="194" t="s">
        <v>3249</v>
      </c>
      <c r="B859" s="193" t="s">
        <v>3250</v>
      </c>
    </row>
    <row r="860" spans="1:2">
      <c r="A860" s="194" t="s">
        <v>3251</v>
      </c>
      <c r="B860" s="193" t="s">
        <v>3252</v>
      </c>
    </row>
    <row r="861" spans="1:2">
      <c r="A861" s="194" t="s">
        <v>3253</v>
      </c>
      <c r="B861" s="193" t="s">
        <v>3254</v>
      </c>
    </row>
    <row r="862" spans="1:2">
      <c r="A862" s="194" t="s">
        <v>3255</v>
      </c>
      <c r="B862" s="193" t="s">
        <v>3256</v>
      </c>
    </row>
    <row r="863" spans="1:2">
      <c r="A863" s="194" t="s">
        <v>3257</v>
      </c>
      <c r="B863" s="193" t="s">
        <v>3258</v>
      </c>
    </row>
    <row r="864" spans="1:2">
      <c r="A864" s="194" t="s">
        <v>3259</v>
      </c>
      <c r="B864" s="193" t="s">
        <v>3260</v>
      </c>
    </row>
    <row r="865" spans="1:2">
      <c r="A865" s="194" t="s">
        <v>3261</v>
      </c>
      <c r="B865" s="193" t="s">
        <v>3262</v>
      </c>
    </row>
    <row r="866" spans="1:2">
      <c r="A866" s="194" t="s">
        <v>3263</v>
      </c>
      <c r="B866" s="193" t="s">
        <v>3264</v>
      </c>
    </row>
    <row r="867" spans="1:2">
      <c r="A867" s="194" t="s">
        <v>3265</v>
      </c>
      <c r="B867" s="193" t="s">
        <v>3266</v>
      </c>
    </row>
    <row r="868" spans="1:2">
      <c r="A868" s="194" t="s">
        <v>3267</v>
      </c>
      <c r="B868" s="193" t="s">
        <v>3268</v>
      </c>
    </row>
    <row r="869" spans="1:2">
      <c r="A869" s="194" t="s">
        <v>3269</v>
      </c>
      <c r="B869" s="193" t="s">
        <v>3270</v>
      </c>
    </row>
    <row r="870" spans="1:2">
      <c r="A870" s="194" t="s">
        <v>3271</v>
      </c>
      <c r="B870" s="193" t="s">
        <v>3272</v>
      </c>
    </row>
    <row r="871" spans="1:2">
      <c r="A871" s="194" t="s">
        <v>3273</v>
      </c>
      <c r="B871" s="193" t="s">
        <v>3274</v>
      </c>
    </row>
    <row r="872" spans="1:2">
      <c r="A872" s="194" t="s">
        <v>3275</v>
      </c>
      <c r="B872" s="193" t="s">
        <v>3276</v>
      </c>
    </row>
    <row r="873" spans="1:2">
      <c r="A873" s="194" t="s">
        <v>3277</v>
      </c>
      <c r="B873" s="193" t="s">
        <v>3278</v>
      </c>
    </row>
    <row r="874" spans="1:2">
      <c r="A874" s="194" t="s">
        <v>3279</v>
      </c>
      <c r="B874" s="193" t="s">
        <v>3280</v>
      </c>
    </row>
    <row r="875" spans="1:2">
      <c r="A875" s="194" t="s">
        <v>3281</v>
      </c>
      <c r="B875" s="193" t="s">
        <v>3282</v>
      </c>
    </row>
    <row r="876" spans="1:2">
      <c r="A876" s="194" t="s">
        <v>3283</v>
      </c>
      <c r="B876" s="193" t="s">
        <v>3284</v>
      </c>
    </row>
    <row r="877" spans="1:2">
      <c r="A877" s="194" t="s">
        <v>3285</v>
      </c>
      <c r="B877" s="193" t="s">
        <v>3286</v>
      </c>
    </row>
    <row r="878" spans="1:2">
      <c r="A878" s="194" t="s">
        <v>3287</v>
      </c>
      <c r="B878" s="193" t="s">
        <v>3288</v>
      </c>
    </row>
    <row r="879" spans="1:2">
      <c r="A879" s="194" t="s">
        <v>3289</v>
      </c>
      <c r="B879" s="193" t="s">
        <v>3290</v>
      </c>
    </row>
    <row r="880" spans="1:2">
      <c r="A880" s="194" t="s">
        <v>3291</v>
      </c>
      <c r="B880" s="193" t="s">
        <v>3292</v>
      </c>
    </row>
    <row r="881" spans="1:2">
      <c r="A881" s="194" t="s">
        <v>3293</v>
      </c>
      <c r="B881" s="193" t="s">
        <v>3294</v>
      </c>
    </row>
    <row r="882" spans="1:2">
      <c r="A882" s="194" t="s">
        <v>3295</v>
      </c>
      <c r="B882" s="193" t="s">
        <v>3296</v>
      </c>
    </row>
    <row r="883" spans="1:2">
      <c r="A883" s="194" t="s">
        <v>3297</v>
      </c>
      <c r="B883" s="193" t="s">
        <v>3298</v>
      </c>
    </row>
    <row r="884" spans="1:2">
      <c r="A884" s="194" t="s">
        <v>3299</v>
      </c>
      <c r="B884" s="193" t="s">
        <v>3300</v>
      </c>
    </row>
    <row r="885" spans="1:2">
      <c r="A885" s="194" t="s">
        <v>3301</v>
      </c>
      <c r="B885" s="193" t="s">
        <v>3302</v>
      </c>
    </row>
    <row r="886" spans="1:2">
      <c r="A886" s="194" t="s">
        <v>3303</v>
      </c>
      <c r="B886" s="193" t="s">
        <v>3304</v>
      </c>
    </row>
    <row r="887" spans="1:2">
      <c r="A887" s="194" t="s">
        <v>3305</v>
      </c>
      <c r="B887" s="193" t="s">
        <v>3306</v>
      </c>
    </row>
    <row r="888" spans="1:2">
      <c r="A888" s="194" t="s">
        <v>3307</v>
      </c>
      <c r="B888" s="193" t="s">
        <v>3308</v>
      </c>
    </row>
    <row r="889" spans="1:2">
      <c r="A889" s="194" t="s">
        <v>3309</v>
      </c>
      <c r="B889" s="193" t="s">
        <v>3310</v>
      </c>
    </row>
    <row r="890" spans="1:2">
      <c r="A890" s="194" t="s">
        <v>3311</v>
      </c>
      <c r="B890" s="193" t="s">
        <v>3312</v>
      </c>
    </row>
    <row r="891" spans="1:2">
      <c r="A891" s="194" t="s">
        <v>3313</v>
      </c>
      <c r="B891" s="193" t="s">
        <v>3314</v>
      </c>
    </row>
    <row r="892" spans="1:2">
      <c r="A892" s="194" t="s">
        <v>3315</v>
      </c>
      <c r="B892" s="193" t="s">
        <v>3316</v>
      </c>
    </row>
    <row r="893" spans="1:2">
      <c r="A893" s="194" t="s">
        <v>3317</v>
      </c>
      <c r="B893" s="193" t="s">
        <v>3318</v>
      </c>
    </row>
    <row r="894" spans="1:2">
      <c r="A894" s="194" t="s">
        <v>3319</v>
      </c>
      <c r="B894" s="193" t="s">
        <v>3320</v>
      </c>
    </row>
    <row r="895" spans="1:2">
      <c r="A895" s="194" t="s">
        <v>3321</v>
      </c>
      <c r="B895" s="193" t="s">
        <v>3322</v>
      </c>
    </row>
    <row r="896" spans="1:2">
      <c r="A896" s="194" t="s">
        <v>3323</v>
      </c>
      <c r="B896" s="193" t="s">
        <v>3324</v>
      </c>
    </row>
    <row r="897" spans="1:2">
      <c r="A897" s="194" t="s">
        <v>3325</v>
      </c>
      <c r="B897" s="193" t="s">
        <v>3326</v>
      </c>
    </row>
    <row r="898" spans="1:2">
      <c r="A898" s="194" t="s">
        <v>3327</v>
      </c>
      <c r="B898" s="193" t="s">
        <v>3328</v>
      </c>
    </row>
    <row r="899" spans="1:2">
      <c r="A899" s="194" t="s">
        <v>3329</v>
      </c>
      <c r="B899" s="193" t="s">
        <v>3330</v>
      </c>
    </row>
    <row r="900" spans="1:2">
      <c r="A900" s="194" t="s">
        <v>3331</v>
      </c>
      <c r="B900" s="193" t="s">
        <v>3332</v>
      </c>
    </row>
    <row r="901" spans="1:2">
      <c r="A901" s="194" t="s">
        <v>3333</v>
      </c>
      <c r="B901" s="193" t="s">
        <v>3334</v>
      </c>
    </row>
    <row r="902" spans="1:2">
      <c r="A902" s="194" t="s">
        <v>3335</v>
      </c>
      <c r="B902" s="193" t="s">
        <v>3336</v>
      </c>
    </row>
    <row r="903" spans="1:2">
      <c r="A903" s="194" t="s">
        <v>3337</v>
      </c>
      <c r="B903" s="193" t="s">
        <v>3338</v>
      </c>
    </row>
    <row r="904" spans="1:2">
      <c r="A904" s="194" t="s">
        <v>3339</v>
      </c>
      <c r="B904" s="193" t="s">
        <v>3340</v>
      </c>
    </row>
    <row r="905" spans="1:2">
      <c r="A905" s="194" t="s">
        <v>3341</v>
      </c>
      <c r="B905" s="193" t="s">
        <v>3342</v>
      </c>
    </row>
    <row r="906" spans="1:2">
      <c r="A906" s="194" t="s">
        <v>3343</v>
      </c>
      <c r="B906" s="193" t="s">
        <v>3344</v>
      </c>
    </row>
    <row r="907" spans="1:2">
      <c r="A907" s="194" t="s">
        <v>3345</v>
      </c>
      <c r="B907" s="193" t="s">
        <v>3346</v>
      </c>
    </row>
    <row r="908" spans="1:2">
      <c r="A908" s="194" t="s">
        <v>3347</v>
      </c>
      <c r="B908" s="193" t="s">
        <v>3348</v>
      </c>
    </row>
    <row r="909" spans="1:2">
      <c r="A909" s="194" t="s">
        <v>3349</v>
      </c>
      <c r="B909" s="193" t="s">
        <v>3350</v>
      </c>
    </row>
    <row r="910" spans="1:2">
      <c r="A910" s="194" t="s">
        <v>3351</v>
      </c>
      <c r="B910" s="193" t="s">
        <v>3352</v>
      </c>
    </row>
    <row r="911" spans="1:2">
      <c r="A911" s="194" t="s">
        <v>3353</v>
      </c>
      <c r="B911" s="193" t="s">
        <v>1269</v>
      </c>
    </row>
    <row r="912" spans="1:2">
      <c r="A912" s="194" t="s">
        <v>3354</v>
      </c>
      <c r="B912" s="193" t="s">
        <v>2036</v>
      </c>
    </row>
    <row r="913" spans="1:2">
      <c r="A913" s="194" t="s">
        <v>3355</v>
      </c>
      <c r="B913" s="193" t="s">
        <v>3356</v>
      </c>
    </row>
    <row r="914" spans="1:2">
      <c r="A914" s="194" t="s">
        <v>3357</v>
      </c>
      <c r="B914" s="193" t="s">
        <v>2919</v>
      </c>
    </row>
    <row r="915" spans="1:2">
      <c r="A915" s="194" t="s">
        <v>3358</v>
      </c>
      <c r="B915" s="193" t="s">
        <v>1165</v>
      </c>
    </row>
    <row r="916" spans="1:2">
      <c r="A916" s="194" t="s">
        <v>3359</v>
      </c>
      <c r="B916" s="193" t="s">
        <v>1259</v>
      </c>
    </row>
    <row r="917" spans="1:2">
      <c r="A917" s="194" t="s">
        <v>3360</v>
      </c>
      <c r="B917" s="193" t="s">
        <v>3361</v>
      </c>
    </row>
    <row r="918" spans="1:2">
      <c r="A918" s="194" t="s">
        <v>3362</v>
      </c>
      <c r="B918" s="193" t="s">
        <v>3363</v>
      </c>
    </row>
    <row r="919" spans="1:2">
      <c r="A919" s="170" t="s">
        <v>142</v>
      </c>
      <c r="B919" s="171" t="s">
        <v>1737</v>
      </c>
    </row>
    <row r="920" spans="1:2">
      <c r="A920" s="196" t="s">
        <v>855</v>
      </c>
      <c r="B920" s="195" t="s">
        <v>856</v>
      </c>
    </row>
    <row r="921" spans="1:2">
      <c r="A921" s="196" t="s">
        <v>3364</v>
      </c>
      <c r="B921" s="195" t="s">
        <v>3365</v>
      </c>
    </row>
    <row r="922" spans="1:2">
      <c r="A922" s="196" t="s">
        <v>857</v>
      </c>
      <c r="B922" s="195" t="s">
        <v>858</v>
      </c>
    </row>
    <row r="923" spans="1:2">
      <c r="A923" s="196" t="s">
        <v>859</v>
      </c>
      <c r="B923" s="195" t="s">
        <v>860</v>
      </c>
    </row>
    <row r="924" spans="1:2">
      <c r="A924" s="196" t="s">
        <v>1560</v>
      </c>
      <c r="B924" s="195" t="s">
        <v>1561</v>
      </c>
    </row>
    <row r="925" spans="1:2">
      <c r="A925" s="196" t="s">
        <v>3366</v>
      </c>
      <c r="B925" s="195" t="s">
        <v>3367</v>
      </c>
    </row>
    <row r="926" spans="1:2">
      <c r="A926" s="196" t="s">
        <v>3368</v>
      </c>
      <c r="B926" s="195" t="s">
        <v>3211</v>
      </c>
    </row>
    <row r="927" spans="1:2">
      <c r="A927" s="196" t="s">
        <v>3369</v>
      </c>
      <c r="B927" s="195" t="s">
        <v>3370</v>
      </c>
    </row>
    <row r="928" spans="1:2">
      <c r="A928" s="196" t="s">
        <v>3371</v>
      </c>
      <c r="B928" s="195" t="s">
        <v>3372</v>
      </c>
    </row>
    <row r="929" spans="1:2">
      <c r="A929" s="196" t="s">
        <v>3373</v>
      </c>
      <c r="B929" s="195" t="s">
        <v>3374</v>
      </c>
    </row>
    <row r="930" spans="1:2">
      <c r="A930" s="196" t="s">
        <v>3375</v>
      </c>
      <c r="B930" s="195" t="s">
        <v>3376</v>
      </c>
    </row>
    <row r="931" spans="1:2">
      <c r="A931" s="170" t="s">
        <v>1739</v>
      </c>
      <c r="B931" s="171" t="s">
        <v>1910</v>
      </c>
    </row>
    <row r="932" spans="1:2">
      <c r="A932" s="198" t="s">
        <v>2908</v>
      </c>
      <c r="B932" s="197" t="s">
        <v>2909</v>
      </c>
    </row>
    <row r="933" spans="1:2">
      <c r="A933" s="198" t="s">
        <v>2910</v>
      </c>
      <c r="B933" s="197" t="s">
        <v>2911</v>
      </c>
    </row>
    <row r="934" spans="1:2">
      <c r="A934" s="198" t="s">
        <v>2913</v>
      </c>
      <c r="B934" s="197" t="s">
        <v>2912</v>
      </c>
    </row>
    <row r="935" spans="1:2">
      <c r="A935" s="198" t="s">
        <v>2914</v>
      </c>
      <c r="B935" s="197" t="s">
        <v>2915</v>
      </c>
    </row>
    <row r="936" spans="1:2">
      <c r="A936" s="198" t="s">
        <v>2916</v>
      </c>
      <c r="B936" s="197" t="s">
        <v>2917</v>
      </c>
    </row>
    <row r="937" spans="1:2">
      <c r="A937" s="198" t="s">
        <v>3377</v>
      </c>
      <c r="B937" s="197" t="s">
        <v>3378</v>
      </c>
    </row>
    <row r="938" spans="1:2">
      <c r="A938" s="198" t="s">
        <v>3379</v>
      </c>
      <c r="B938" s="197" t="s">
        <v>3380</v>
      </c>
    </row>
    <row r="939" spans="1:2">
      <c r="A939" s="198" t="s">
        <v>3381</v>
      </c>
      <c r="B939" s="197" t="s">
        <v>3382</v>
      </c>
    </row>
    <row r="940" spans="1:2">
      <c r="A940" s="170" t="s">
        <v>229</v>
      </c>
      <c r="B940" s="171" t="s">
        <v>1647</v>
      </c>
    </row>
    <row r="941" spans="1:2">
      <c r="A941" s="175" t="s">
        <v>861</v>
      </c>
      <c r="B941" s="174" t="s">
        <v>253</v>
      </c>
    </row>
    <row r="942" spans="1:2">
      <c r="A942" s="175" t="s">
        <v>862</v>
      </c>
      <c r="B942" s="174" t="s">
        <v>254</v>
      </c>
    </row>
    <row r="943" spans="1:2">
      <c r="A943" s="175" t="s">
        <v>863</v>
      </c>
      <c r="B943" s="174" t="s">
        <v>864</v>
      </c>
    </row>
    <row r="944" spans="1:2">
      <c r="A944" s="175" t="s">
        <v>865</v>
      </c>
      <c r="B944" s="174" t="s">
        <v>866</v>
      </c>
    </row>
    <row r="945" spans="1:2">
      <c r="A945" s="175" t="s">
        <v>1562</v>
      </c>
      <c r="B945" s="174" t="s">
        <v>1167</v>
      </c>
    </row>
    <row r="946" spans="1:2">
      <c r="A946" s="175" t="s">
        <v>2918</v>
      </c>
      <c r="B946" s="174" t="s">
        <v>2919</v>
      </c>
    </row>
    <row r="947" spans="1:2">
      <c r="A947" s="175" t="s">
        <v>2920</v>
      </c>
      <c r="B947" s="174" t="s">
        <v>1174</v>
      </c>
    </row>
    <row r="948" spans="1:2">
      <c r="A948" s="170" t="s">
        <v>679</v>
      </c>
      <c r="B948" s="171" t="s">
        <v>680</v>
      </c>
    </row>
    <row r="949" spans="1:2">
      <c r="A949" s="175" t="s">
        <v>867</v>
      </c>
      <c r="B949" s="174" t="s">
        <v>868</v>
      </c>
    </row>
    <row r="950" spans="1:2">
      <c r="A950" s="175" t="s">
        <v>869</v>
      </c>
      <c r="B950" s="174" t="s">
        <v>870</v>
      </c>
    </row>
    <row r="951" spans="1:2">
      <c r="A951" s="175" t="s">
        <v>871</v>
      </c>
      <c r="B951" s="174" t="s">
        <v>872</v>
      </c>
    </row>
    <row r="952" spans="1:2">
      <c r="A952" s="175" t="s">
        <v>2921</v>
      </c>
      <c r="B952" s="174" t="s">
        <v>2922</v>
      </c>
    </row>
    <row r="953" spans="1:2">
      <c r="A953" s="175" t="s">
        <v>2923</v>
      </c>
      <c r="B953" s="174" t="s">
        <v>2924</v>
      </c>
    </row>
    <row r="954" spans="1:2">
      <c r="A954" s="170" t="s">
        <v>681</v>
      </c>
      <c r="B954" s="171" t="s">
        <v>682</v>
      </c>
    </row>
    <row r="955" spans="1:2">
      <c r="A955" s="175" t="s">
        <v>873</v>
      </c>
      <c r="B955" s="174" t="s">
        <v>874</v>
      </c>
    </row>
    <row r="956" spans="1:2">
      <c r="A956" s="169" t="s">
        <v>532</v>
      </c>
      <c r="B956" s="173" t="s">
        <v>932</v>
      </c>
    </row>
    <row r="957" spans="1:2">
      <c r="A957" s="170" t="s">
        <v>689</v>
      </c>
      <c r="B957" s="171" t="s">
        <v>1738</v>
      </c>
    </row>
    <row r="958" spans="1:2">
      <c r="A958" s="200" t="s">
        <v>875</v>
      </c>
      <c r="B958" s="199" t="s">
        <v>876</v>
      </c>
    </row>
    <row r="959" spans="1:2">
      <c r="A959" s="200" t="s">
        <v>3383</v>
      </c>
      <c r="B959" s="199" t="s">
        <v>876</v>
      </c>
    </row>
    <row r="960" spans="1:2">
      <c r="A960" s="200" t="s">
        <v>877</v>
      </c>
      <c r="B960" s="199" t="s">
        <v>878</v>
      </c>
    </row>
    <row r="961" spans="1:2">
      <c r="A961" s="200" t="s">
        <v>879</v>
      </c>
      <c r="B961" s="199" t="s">
        <v>880</v>
      </c>
    </row>
    <row r="962" spans="1:2">
      <c r="A962" s="200" t="s">
        <v>881</v>
      </c>
      <c r="B962" s="199" t="s">
        <v>882</v>
      </c>
    </row>
    <row r="963" spans="1:2">
      <c r="A963" s="200" t="s">
        <v>883</v>
      </c>
      <c r="B963" s="199" t="s">
        <v>884</v>
      </c>
    </row>
    <row r="964" spans="1:2">
      <c r="A964" s="200" t="s">
        <v>885</v>
      </c>
      <c r="B964" s="199" t="s">
        <v>886</v>
      </c>
    </row>
    <row r="965" spans="1:2">
      <c r="A965" s="200" t="s">
        <v>887</v>
      </c>
      <c r="B965" s="199" t="s">
        <v>888</v>
      </c>
    </row>
    <row r="966" spans="1:2">
      <c r="A966" s="200" t="s">
        <v>889</v>
      </c>
      <c r="B966" s="199" t="s">
        <v>890</v>
      </c>
    </row>
    <row r="967" spans="1:2">
      <c r="A967" s="200" t="s">
        <v>891</v>
      </c>
      <c r="B967" s="199" t="s">
        <v>892</v>
      </c>
    </row>
    <row r="968" spans="1:2">
      <c r="A968" s="200" t="s">
        <v>893</v>
      </c>
      <c r="B968" s="199" t="s">
        <v>894</v>
      </c>
    </row>
    <row r="969" spans="1:2">
      <c r="A969" s="200" t="s">
        <v>895</v>
      </c>
      <c r="B969" s="199" t="s">
        <v>896</v>
      </c>
    </row>
    <row r="970" spans="1:2">
      <c r="A970" s="200" t="s">
        <v>897</v>
      </c>
      <c r="B970" s="199" t="s">
        <v>898</v>
      </c>
    </row>
    <row r="971" spans="1:2">
      <c r="A971" s="200" t="s">
        <v>899</v>
      </c>
      <c r="B971" s="199" t="s">
        <v>900</v>
      </c>
    </row>
    <row r="972" spans="1:2">
      <c r="A972" s="200" t="s">
        <v>901</v>
      </c>
      <c r="B972" s="199" t="s">
        <v>902</v>
      </c>
    </row>
    <row r="973" spans="1:2">
      <c r="A973" s="200" t="s">
        <v>903</v>
      </c>
      <c r="B973" s="199" t="s">
        <v>904</v>
      </c>
    </row>
    <row r="974" spans="1:2">
      <c r="A974" s="200" t="s">
        <v>905</v>
      </c>
      <c r="B974" s="199" t="s">
        <v>906</v>
      </c>
    </row>
    <row r="975" spans="1:2">
      <c r="A975" s="200" t="s">
        <v>907</v>
      </c>
      <c r="B975" s="199" t="s">
        <v>908</v>
      </c>
    </row>
    <row r="976" spans="1:2">
      <c r="A976" s="200" t="s">
        <v>909</v>
      </c>
      <c r="B976" s="199" t="s">
        <v>910</v>
      </c>
    </row>
    <row r="977" spans="1:2">
      <c r="A977" s="200" t="s">
        <v>911</v>
      </c>
      <c r="B977" s="199" t="s">
        <v>912</v>
      </c>
    </row>
    <row r="978" spans="1:2">
      <c r="A978" s="200" t="s">
        <v>913</v>
      </c>
      <c r="B978" s="199" t="s">
        <v>914</v>
      </c>
    </row>
    <row r="979" spans="1:2">
      <c r="A979" s="200" t="s">
        <v>915</v>
      </c>
      <c r="B979" s="199" t="s">
        <v>916</v>
      </c>
    </row>
    <row r="980" spans="1:2">
      <c r="A980" s="200" t="s">
        <v>917</v>
      </c>
      <c r="B980" s="199" t="s">
        <v>918</v>
      </c>
    </row>
    <row r="981" spans="1:2">
      <c r="A981" s="200" t="s">
        <v>919</v>
      </c>
      <c r="B981" s="199" t="s">
        <v>920</v>
      </c>
    </row>
    <row r="982" spans="1:2">
      <c r="A982" s="200" t="s">
        <v>921</v>
      </c>
      <c r="B982" s="199" t="s">
        <v>922</v>
      </c>
    </row>
    <row r="983" spans="1:2">
      <c r="A983" s="200" t="s">
        <v>1563</v>
      </c>
      <c r="B983" s="199" t="s">
        <v>1564</v>
      </c>
    </row>
    <row r="984" spans="1:2">
      <c r="A984" s="200" t="s">
        <v>1565</v>
      </c>
      <c r="B984" s="199" t="s">
        <v>1566</v>
      </c>
    </row>
    <row r="985" spans="1:2">
      <c r="A985" s="200" t="s">
        <v>1567</v>
      </c>
      <c r="B985" s="199" t="s">
        <v>1568</v>
      </c>
    </row>
    <row r="986" spans="1:2">
      <c r="A986" s="200" t="s">
        <v>1569</v>
      </c>
      <c r="B986" s="199" t="s">
        <v>1570</v>
      </c>
    </row>
    <row r="987" spans="1:2">
      <c r="A987" s="200" t="s">
        <v>1571</v>
      </c>
      <c r="B987" s="199" t="s">
        <v>1572</v>
      </c>
    </row>
    <row r="988" spans="1:2">
      <c r="A988" s="200" t="s">
        <v>1573</v>
      </c>
      <c r="B988" s="199" t="s">
        <v>1574</v>
      </c>
    </row>
    <row r="989" spans="1:2">
      <c r="A989" s="200" t="s">
        <v>1575</v>
      </c>
      <c r="B989" s="199" t="s">
        <v>1576</v>
      </c>
    </row>
    <row r="990" spans="1:2">
      <c r="A990" s="200" t="s">
        <v>1577</v>
      </c>
      <c r="B990" s="199" t="s">
        <v>1578</v>
      </c>
    </row>
    <row r="991" spans="1:2">
      <c r="A991" s="200" t="s">
        <v>1579</v>
      </c>
      <c r="B991" s="199" t="s">
        <v>1580</v>
      </c>
    </row>
    <row r="992" spans="1:2">
      <c r="A992" s="200" t="s">
        <v>1581</v>
      </c>
      <c r="B992" s="199" t="s">
        <v>1582</v>
      </c>
    </row>
    <row r="993" spans="1:2">
      <c r="A993" s="200" t="s">
        <v>1583</v>
      </c>
      <c r="B993" s="199" t="s">
        <v>1584</v>
      </c>
    </row>
    <row r="994" spans="1:2">
      <c r="A994" s="200" t="s">
        <v>1585</v>
      </c>
      <c r="B994" s="199" t="s">
        <v>1586</v>
      </c>
    </row>
    <row r="995" spans="1:2">
      <c r="A995" s="200" t="s">
        <v>1587</v>
      </c>
      <c r="B995" s="199" t="s">
        <v>1588</v>
      </c>
    </row>
    <row r="996" spans="1:2">
      <c r="A996" s="200" t="s">
        <v>1589</v>
      </c>
      <c r="B996" s="199" t="s">
        <v>1590</v>
      </c>
    </row>
    <row r="997" spans="1:2">
      <c r="A997" s="200" t="s">
        <v>1591</v>
      </c>
      <c r="B997" s="199" t="s">
        <v>1592</v>
      </c>
    </row>
    <row r="998" spans="1:2">
      <c r="A998" s="200" t="s">
        <v>1593</v>
      </c>
      <c r="B998" s="199" t="s">
        <v>1594</v>
      </c>
    </row>
    <row r="999" spans="1:2">
      <c r="A999" s="200" t="s">
        <v>1595</v>
      </c>
      <c r="B999" s="199" t="s">
        <v>1596</v>
      </c>
    </row>
    <row r="1000" spans="1:2">
      <c r="A1000" s="200" t="s">
        <v>1597</v>
      </c>
      <c r="B1000" s="199" t="s">
        <v>1598</v>
      </c>
    </row>
    <row r="1001" spans="1:2">
      <c r="A1001" s="200" t="s">
        <v>1599</v>
      </c>
      <c r="B1001" s="199" t="s">
        <v>1600</v>
      </c>
    </row>
    <row r="1002" spans="1:2">
      <c r="A1002" s="200" t="s">
        <v>1601</v>
      </c>
      <c r="B1002" s="199" t="s">
        <v>1602</v>
      </c>
    </row>
    <row r="1003" spans="1:2">
      <c r="A1003" s="200" t="s">
        <v>1603</v>
      </c>
      <c r="B1003" s="199" t="s">
        <v>1604</v>
      </c>
    </row>
    <row r="1004" spans="1:2">
      <c r="A1004" s="200" t="s">
        <v>1605</v>
      </c>
      <c r="B1004" s="199" t="s">
        <v>1606</v>
      </c>
    </row>
    <row r="1005" spans="1:2">
      <c r="A1005" s="200" t="s">
        <v>1607</v>
      </c>
      <c r="B1005" s="199" t="s">
        <v>1608</v>
      </c>
    </row>
    <row r="1006" spans="1:2">
      <c r="A1006" s="200" t="s">
        <v>2925</v>
      </c>
      <c r="B1006" s="199" t="s">
        <v>2926</v>
      </c>
    </row>
    <row r="1007" spans="1:2">
      <c r="A1007" s="200" t="s">
        <v>2927</v>
      </c>
      <c r="B1007" s="199" t="s">
        <v>2928</v>
      </c>
    </row>
    <row r="1008" spans="1:2">
      <c r="A1008" s="200" t="s">
        <v>2929</v>
      </c>
      <c r="B1008" s="199" t="s">
        <v>2930</v>
      </c>
    </row>
    <row r="1009" spans="1:2">
      <c r="A1009" s="200" t="s">
        <v>2931</v>
      </c>
      <c r="B1009" s="199" t="s">
        <v>2932</v>
      </c>
    </row>
    <row r="1010" spans="1:2">
      <c r="A1010" s="200" t="s">
        <v>2933</v>
      </c>
      <c r="B1010" s="199" t="s">
        <v>2934</v>
      </c>
    </row>
    <row r="1011" spans="1:2">
      <c r="A1011" s="200" t="s">
        <v>2935</v>
      </c>
      <c r="B1011" s="199" t="s">
        <v>2936</v>
      </c>
    </row>
    <row r="1012" spans="1:2">
      <c r="A1012" s="200" t="s">
        <v>2937</v>
      </c>
      <c r="B1012" s="199" t="s">
        <v>2938</v>
      </c>
    </row>
    <row r="1013" spans="1:2">
      <c r="A1013" s="200" t="s">
        <v>2939</v>
      </c>
      <c r="B1013" s="199" t="s">
        <v>2940</v>
      </c>
    </row>
    <row r="1014" spans="1:2">
      <c r="A1014" s="200" t="s">
        <v>2941</v>
      </c>
      <c r="B1014" s="199" t="s">
        <v>2942</v>
      </c>
    </row>
    <row r="1015" spans="1:2">
      <c r="A1015" s="200" t="s">
        <v>2943</v>
      </c>
      <c r="B1015" s="199" t="s">
        <v>2944</v>
      </c>
    </row>
    <row r="1016" spans="1:2">
      <c r="A1016" s="200" t="s">
        <v>2945</v>
      </c>
      <c r="B1016" s="199" t="s">
        <v>2946</v>
      </c>
    </row>
    <row r="1017" spans="1:2">
      <c r="A1017" s="200" t="s">
        <v>2947</v>
      </c>
      <c r="B1017" s="199" t="s">
        <v>2948</v>
      </c>
    </row>
    <row r="1018" spans="1:2">
      <c r="A1018" s="200" t="s">
        <v>2949</v>
      </c>
      <c r="B1018" s="199" t="s">
        <v>2950</v>
      </c>
    </row>
    <row r="1019" spans="1:2">
      <c r="A1019" s="200" t="s">
        <v>2951</v>
      </c>
      <c r="B1019" s="199" t="s">
        <v>2952</v>
      </c>
    </row>
    <row r="1020" spans="1:2">
      <c r="A1020" s="200" t="s">
        <v>2953</v>
      </c>
      <c r="B1020" s="199" t="s">
        <v>2954</v>
      </c>
    </row>
    <row r="1021" spans="1:2">
      <c r="A1021" s="200" t="s">
        <v>2955</v>
      </c>
      <c r="B1021" s="199" t="s">
        <v>2956</v>
      </c>
    </row>
    <row r="1022" spans="1:2">
      <c r="A1022" s="200" t="s">
        <v>2957</v>
      </c>
      <c r="B1022" s="199" t="s">
        <v>2958</v>
      </c>
    </row>
    <row r="1023" spans="1:2">
      <c r="A1023" s="200" t="s">
        <v>2959</v>
      </c>
      <c r="B1023" s="199" t="s">
        <v>2960</v>
      </c>
    </row>
    <row r="1024" spans="1:2">
      <c r="A1024" s="200" t="s">
        <v>2961</v>
      </c>
      <c r="B1024" s="199" t="s">
        <v>2962</v>
      </c>
    </row>
    <row r="1025" spans="1:2">
      <c r="A1025" s="200" t="s">
        <v>2963</v>
      </c>
      <c r="B1025" s="199" t="s">
        <v>2964</v>
      </c>
    </row>
    <row r="1026" spans="1:2">
      <c r="A1026" s="200" t="s">
        <v>2965</v>
      </c>
      <c r="B1026" s="199" t="s">
        <v>2966</v>
      </c>
    </row>
    <row r="1027" spans="1:2">
      <c r="A1027" s="200" t="s">
        <v>2967</v>
      </c>
      <c r="B1027" s="199" t="s">
        <v>2968</v>
      </c>
    </row>
    <row r="1028" spans="1:2">
      <c r="A1028" s="200" t="s">
        <v>2969</v>
      </c>
      <c r="B1028" s="199" t="s">
        <v>2970</v>
      </c>
    </row>
    <row r="1029" spans="1:2">
      <c r="A1029" s="200" t="s">
        <v>2971</v>
      </c>
      <c r="B1029" s="199" t="s">
        <v>2972</v>
      </c>
    </row>
    <row r="1030" spans="1:2">
      <c r="A1030" s="200" t="s">
        <v>2973</v>
      </c>
      <c r="B1030" s="199" t="s">
        <v>2974</v>
      </c>
    </row>
    <row r="1031" spans="1:2">
      <c r="A1031" s="200" t="s">
        <v>2975</v>
      </c>
      <c r="B1031" s="199" t="s">
        <v>2976</v>
      </c>
    </row>
    <row r="1032" spans="1:2">
      <c r="A1032" s="200" t="s">
        <v>2977</v>
      </c>
      <c r="B1032" s="199" t="s">
        <v>3384</v>
      </c>
    </row>
    <row r="1033" spans="1:2">
      <c r="A1033" s="200" t="s">
        <v>2978</v>
      </c>
      <c r="B1033" s="199" t="s">
        <v>2979</v>
      </c>
    </row>
    <row r="1034" spans="1:2">
      <c r="A1034" s="200" t="s">
        <v>2980</v>
      </c>
      <c r="B1034" s="199" t="s">
        <v>2981</v>
      </c>
    </row>
    <row r="1035" spans="1:2">
      <c r="A1035" s="200" t="s">
        <v>3385</v>
      </c>
      <c r="B1035" s="199" t="s">
        <v>3386</v>
      </c>
    </row>
    <row r="1036" spans="1:2">
      <c r="A1036" s="200" t="s">
        <v>2982</v>
      </c>
      <c r="B1036" s="199" t="s">
        <v>2983</v>
      </c>
    </row>
    <row r="1037" spans="1:2">
      <c r="A1037" s="200" t="s">
        <v>2984</v>
      </c>
      <c r="B1037" s="199" t="s">
        <v>1588</v>
      </c>
    </row>
    <row r="1038" spans="1:2">
      <c r="A1038" s="200" t="s">
        <v>2985</v>
      </c>
      <c r="B1038" s="199" t="s">
        <v>2986</v>
      </c>
    </row>
    <row r="1039" spans="1:2">
      <c r="A1039" s="200" t="s">
        <v>2987</v>
      </c>
      <c r="B1039" s="199" t="s">
        <v>2988</v>
      </c>
    </row>
    <row r="1040" spans="1:2">
      <c r="A1040" s="200" t="s">
        <v>2990</v>
      </c>
      <c r="B1040" s="199" t="s">
        <v>2991</v>
      </c>
    </row>
    <row r="1041" spans="1:2">
      <c r="A1041" s="200" t="s">
        <v>2992</v>
      </c>
      <c r="B1041" s="199" t="s">
        <v>2981</v>
      </c>
    </row>
    <row r="1042" spans="1:2">
      <c r="A1042" s="200" t="s">
        <v>2993</v>
      </c>
      <c r="B1042" s="199" t="s">
        <v>2989</v>
      </c>
    </row>
    <row r="1043" spans="1:2">
      <c r="A1043" s="200" t="s">
        <v>2994</v>
      </c>
      <c r="B1043" s="199" t="s">
        <v>2995</v>
      </c>
    </row>
    <row r="1044" spans="1:2">
      <c r="A1044" s="200" t="s">
        <v>2996</v>
      </c>
      <c r="B1044" s="199" t="s">
        <v>2997</v>
      </c>
    </row>
    <row r="1045" spans="1:2">
      <c r="A1045" s="200" t="s">
        <v>2998</v>
      </c>
      <c r="B1045" s="199" t="s">
        <v>2999</v>
      </c>
    </row>
    <row r="1046" spans="1:2">
      <c r="A1046" s="200" t="s">
        <v>3000</v>
      </c>
      <c r="B1046" s="199" t="s">
        <v>3001</v>
      </c>
    </row>
    <row r="1047" spans="1:2">
      <c r="A1047" s="200" t="s">
        <v>3002</v>
      </c>
      <c r="B1047" s="199" t="s">
        <v>3003</v>
      </c>
    </row>
    <row r="1048" spans="1:2">
      <c r="A1048" s="200" t="s">
        <v>3004</v>
      </c>
      <c r="B1048" s="199" t="s">
        <v>3005</v>
      </c>
    </row>
    <row r="1049" spans="1:2">
      <c r="A1049" s="200" t="s">
        <v>3006</v>
      </c>
      <c r="B1049" s="199" t="s">
        <v>3007</v>
      </c>
    </row>
    <row r="1050" spans="1:2">
      <c r="A1050" s="200" t="s">
        <v>3008</v>
      </c>
      <c r="B1050" s="199" t="s">
        <v>3009</v>
      </c>
    </row>
    <row r="1051" spans="1:2">
      <c r="A1051" s="200" t="s">
        <v>3387</v>
      </c>
      <c r="B1051" s="199" t="s">
        <v>3388</v>
      </c>
    </row>
    <row r="1052" spans="1:2">
      <c r="A1052" s="200" t="s">
        <v>3389</v>
      </c>
      <c r="B1052" s="199" t="s">
        <v>3390</v>
      </c>
    </row>
    <row r="1053" spans="1:2">
      <c r="A1053" s="200" t="s">
        <v>3391</v>
      </c>
      <c r="B1053" s="199" t="s">
        <v>3392</v>
      </c>
    </row>
    <row r="1054" spans="1:2">
      <c r="A1054" s="200" t="s">
        <v>3393</v>
      </c>
      <c r="B1054" s="199" t="s">
        <v>3394</v>
      </c>
    </row>
    <row r="1055" spans="1:2">
      <c r="A1055" s="200" t="s">
        <v>3395</v>
      </c>
      <c r="B1055" s="199" t="s">
        <v>3396</v>
      </c>
    </row>
    <row r="1056" spans="1:2">
      <c r="A1056" s="200" t="s">
        <v>3397</v>
      </c>
      <c r="B1056" s="199" t="s">
        <v>3398</v>
      </c>
    </row>
    <row r="1057" spans="1:2">
      <c r="A1057" s="200" t="s">
        <v>3399</v>
      </c>
      <c r="B1057" s="199" t="s">
        <v>3400</v>
      </c>
    </row>
    <row r="1058" spans="1:2">
      <c r="A1058" s="200" t="s">
        <v>3401</v>
      </c>
      <c r="B1058" s="199" t="s">
        <v>3402</v>
      </c>
    </row>
    <row r="1059" spans="1:2">
      <c r="A1059" s="200" t="s">
        <v>3403</v>
      </c>
      <c r="B1059" s="199" t="s">
        <v>2803</v>
      </c>
    </row>
    <row r="1060" spans="1:2">
      <c r="A1060" s="200" t="s">
        <v>3404</v>
      </c>
      <c r="B1060" s="199" t="s">
        <v>3405</v>
      </c>
    </row>
    <row r="1061" spans="1:2">
      <c r="A1061" s="200" t="s">
        <v>3406</v>
      </c>
      <c r="B1061" s="199" t="s">
        <v>3407</v>
      </c>
    </row>
    <row r="1062" spans="1:2">
      <c r="A1062" s="200" t="s">
        <v>3408</v>
      </c>
      <c r="B1062" s="199" t="s">
        <v>3409</v>
      </c>
    </row>
    <row r="1063" spans="1:2">
      <c r="A1063" s="200" t="s">
        <v>3410</v>
      </c>
      <c r="B1063" s="199" t="s">
        <v>3411</v>
      </c>
    </row>
    <row r="1064" spans="1:2">
      <c r="A1064" s="200" t="s">
        <v>3412</v>
      </c>
      <c r="B1064" s="199" t="s">
        <v>3413</v>
      </c>
    </row>
    <row r="1065" spans="1:2">
      <c r="A1065" s="200" t="s">
        <v>3414</v>
      </c>
      <c r="B1065" s="199" t="s">
        <v>1261</v>
      </c>
    </row>
    <row r="1066" spans="1:2">
      <c r="A1066" s="200" t="s">
        <v>3415</v>
      </c>
      <c r="B1066" s="199" t="s">
        <v>3416</v>
      </c>
    </row>
    <row r="1067" spans="1:2">
      <c r="A1067" s="200" t="s">
        <v>3417</v>
      </c>
      <c r="B1067" s="199" t="s">
        <v>3418</v>
      </c>
    </row>
    <row r="1068" spans="1:2">
      <c r="A1068" s="200" t="s">
        <v>3419</v>
      </c>
      <c r="B1068" s="199" t="s">
        <v>3420</v>
      </c>
    </row>
    <row r="1069" spans="1:2">
      <c r="A1069" s="200" t="s">
        <v>3421</v>
      </c>
      <c r="B1069" s="199" t="s">
        <v>3422</v>
      </c>
    </row>
    <row r="1070" spans="1:2">
      <c r="A1070" s="200" t="s">
        <v>3423</v>
      </c>
      <c r="B1070" s="199" t="s">
        <v>3424</v>
      </c>
    </row>
    <row r="1071" spans="1:2">
      <c r="A1071" s="200" t="s">
        <v>3425</v>
      </c>
      <c r="B1071" s="199" t="s">
        <v>3426</v>
      </c>
    </row>
    <row r="1072" spans="1:2">
      <c r="A1072" s="200" t="s">
        <v>3427</v>
      </c>
      <c r="B1072" s="199" t="s">
        <v>3428</v>
      </c>
    </row>
    <row r="1073" spans="1:2">
      <c r="A1073" s="200" t="s">
        <v>3429</v>
      </c>
      <c r="B1073" s="199" t="s">
        <v>3430</v>
      </c>
    </row>
    <row r="1074" spans="1:2">
      <c r="A1074" s="200" t="s">
        <v>3431</v>
      </c>
      <c r="B1074" s="199" t="s">
        <v>3432</v>
      </c>
    </row>
    <row r="1075" spans="1:2">
      <c r="A1075" s="200" t="s">
        <v>3433</v>
      </c>
      <c r="B1075" s="199" t="s">
        <v>3262</v>
      </c>
    </row>
    <row r="1076" spans="1:2">
      <c r="A1076" s="200" t="s">
        <v>3434</v>
      </c>
      <c r="B1076" s="199" t="s">
        <v>3435</v>
      </c>
    </row>
    <row r="1077" spans="1:2">
      <c r="A1077" s="200" t="s">
        <v>3436</v>
      </c>
      <c r="B1077" s="199" t="s">
        <v>3437</v>
      </c>
    </row>
    <row r="1078" spans="1:2">
      <c r="A1078" s="200" t="s">
        <v>3438</v>
      </c>
      <c r="B1078" s="199" t="s">
        <v>3439</v>
      </c>
    </row>
    <row r="1079" spans="1:2">
      <c r="A1079" s="200" t="s">
        <v>3440</v>
      </c>
      <c r="B1079" s="199" t="s">
        <v>3441</v>
      </c>
    </row>
    <row r="1080" spans="1:2">
      <c r="A1080" s="200" t="s">
        <v>3442</v>
      </c>
      <c r="B1080" s="199" t="s">
        <v>3443</v>
      </c>
    </row>
    <row r="1081" spans="1:2">
      <c r="A1081" s="200" t="s">
        <v>3444</v>
      </c>
      <c r="B1081" s="199" t="s">
        <v>3445</v>
      </c>
    </row>
    <row r="1082" spans="1:2">
      <c r="A1082" s="200" t="s">
        <v>3446</v>
      </c>
      <c r="B1082" s="199" t="s">
        <v>1385</v>
      </c>
    </row>
    <row r="1083" spans="1:2">
      <c r="A1083" s="200" t="s">
        <v>3447</v>
      </c>
      <c r="B1083" s="199" t="s">
        <v>3448</v>
      </c>
    </row>
    <row r="1084" spans="1:2">
      <c r="A1084" s="170" t="s">
        <v>693</v>
      </c>
      <c r="B1084" s="171" t="s">
        <v>678</v>
      </c>
    </row>
    <row r="1085" spans="1:2">
      <c r="A1085" s="175" t="s">
        <v>923</v>
      </c>
      <c r="B1085" s="174" t="s">
        <v>253</v>
      </c>
    </row>
    <row r="1086" spans="1:2">
      <c r="A1086" s="175" t="s">
        <v>924</v>
      </c>
      <c r="B1086" s="174" t="s">
        <v>254</v>
      </c>
    </row>
    <row r="1087" spans="1:2">
      <c r="A1087" s="175" t="s">
        <v>925</v>
      </c>
      <c r="B1087" s="174" t="s">
        <v>926</v>
      </c>
    </row>
    <row r="1088" spans="1:2">
      <c r="A1088" s="175" t="s">
        <v>927</v>
      </c>
      <c r="B1088" s="174" t="s">
        <v>864</v>
      </c>
    </row>
    <row r="1089" spans="1:2">
      <c r="A1089" s="175" t="s">
        <v>1609</v>
      </c>
      <c r="B1089" s="174" t="s">
        <v>1610</v>
      </c>
    </row>
    <row r="1090" spans="1:2">
      <c r="A1090" s="175" t="s">
        <v>1611</v>
      </c>
      <c r="B1090" s="174" t="s">
        <v>1167</v>
      </c>
    </row>
    <row r="1091" spans="1:2">
      <c r="A1091" s="175" t="s">
        <v>3010</v>
      </c>
      <c r="B1091" s="174" t="s">
        <v>2919</v>
      </c>
    </row>
    <row r="1092" spans="1:2">
      <c r="A1092" s="202" t="s">
        <v>3449</v>
      </c>
      <c r="B1092" s="201" t="s">
        <v>1174</v>
      </c>
    </row>
    <row r="1093" spans="1:2">
      <c r="A1093" s="169" t="s">
        <v>974</v>
      </c>
      <c r="B1093" s="173" t="s">
        <v>975</v>
      </c>
    </row>
    <row r="1094" spans="1:2">
      <c r="A1094" s="170" t="s">
        <v>994</v>
      </c>
      <c r="B1094" s="171" t="s">
        <v>995</v>
      </c>
    </row>
    <row r="1095" spans="1:2">
      <c r="A1095" s="175" t="s">
        <v>1179</v>
      </c>
      <c r="B1095" s="174" t="s">
        <v>1180</v>
      </c>
    </row>
    <row r="1096" spans="1:2">
      <c r="A1096" s="204" t="s">
        <v>3450</v>
      </c>
      <c r="B1096" s="203" t="s">
        <v>3451</v>
      </c>
    </row>
    <row r="1097" spans="1:2">
      <c r="A1097" s="170" t="s">
        <v>996</v>
      </c>
      <c r="B1097" s="171" t="s">
        <v>997</v>
      </c>
    </row>
    <row r="1098" spans="1:2">
      <c r="A1098" s="175" t="s">
        <v>1181</v>
      </c>
      <c r="B1098" s="174" t="s">
        <v>1182</v>
      </c>
    </row>
    <row r="1099" spans="1:2">
      <c r="A1099" s="175" t="s">
        <v>1183</v>
      </c>
      <c r="B1099" s="174" t="s">
        <v>1184</v>
      </c>
    </row>
    <row r="1100" spans="1:2">
      <c r="A1100" s="206" t="s">
        <v>3452</v>
      </c>
      <c r="B1100" s="205" t="s">
        <v>3451</v>
      </c>
    </row>
    <row r="1101" spans="1:2">
      <c r="A1101" s="169" t="s">
        <v>1003</v>
      </c>
      <c r="B1101" s="173" t="s">
        <v>1004</v>
      </c>
    </row>
    <row r="1102" spans="1:2">
      <c r="A1102" s="170" t="s">
        <v>1011</v>
      </c>
      <c r="B1102" s="171" t="s">
        <v>1012</v>
      </c>
    </row>
    <row r="1103" spans="1:2">
      <c r="A1103" s="175" t="s">
        <v>1185</v>
      </c>
      <c r="B1103" s="174" t="s">
        <v>1186</v>
      </c>
    </row>
    <row r="1104" spans="1:2">
      <c r="A1104" s="175" t="s">
        <v>1187</v>
      </c>
      <c r="B1104" s="174" t="s">
        <v>1188</v>
      </c>
    </row>
    <row r="1105" spans="1:2">
      <c r="A1105" s="169" t="s">
        <v>1099</v>
      </c>
      <c r="B1105" s="173" t="s">
        <v>1100</v>
      </c>
    </row>
    <row r="1106" spans="1:2">
      <c r="A1106" s="170" t="s">
        <v>1123</v>
      </c>
      <c r="B1106" s="171" t="s">
        <v>680</v>
      </c>
    </row>
    <row r="1107" spans="1:2">
      <c r="A1107" s="175" t="s">
        <v>1189</v>
      </c>
      <c r="B1107" s="174" t="s">
        <v>1190</v>
      </c>
    </row>
    <row r="1108" spans="1:2">
      <c r="A1108" s="175" t="s">
        <v>1191</v>
      </c>
      <c r="B1108" s="174" t="s">
        <v>1192</v>
      </c>
    </row>
    <row r="1109" spans="1:2">
      <c r="A1109" s="175" t="s">
        <v>1193</v>
      </c>
      <c r="B1109" s="174" t="s">
        <v>1194</v>
      </c>
    </row>
    <row r="1110" spans="1:2">
      <c r="A1110" s="175" t="s">
        <v>1195</v>
      </c>
      <c r="B1110" s="174" t="s">
        <v>1196</v>
      </c>
    </row>
    <row r="1111" spans="1:2">
      <c r="A1111" s="175" t="s">
        <v>1197</v>
      </c>
      <c r="B1111" s="174" t="s">
        <v>1198</v>
      </c>
    </row>
    <row r="1112" spans="1:2">
      <c r="A1112" s="175" t="s">
        <v>1199</v>
      </c>
      <c r="B1112" s="174" t="s">
        <v>1200</v>
      </c>
    </row>
    <row r="1113" spans="1:2">
      <c r="A1113" s="210" t="s">
        <v>3453</v>
      </c>
      <c r="B1113" s="208" t="s">
        <v>3454</v>
      </c>
    </row>
    <row r="1114" spans="1:2">
      <c r="A1114" s="211" t="s">
        <v>3455</v>
      </c>
      <c r="B1114" s="207" t="s">
        <v>680</v>
      </c>
    </row>
    <row r="1115" spans="1:2">
      <c r="A1115" s="212" t="s">
        <v>3456</v>
      </c>
      <c r="B1115" s="209" t="s">
        <v>1149</v>
      </c>
    </row>
    <row r="1116" spans="1:2">
      <c r="A1116" s="212" t="s">
        <v>3457</v>
      </c>
      <c r="B1116" s="209" t="s">
        <v>1151</v>
      </c>
    </row>
  </sheetData>
  <autoFilter ref="A1:B1116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58" bestFit="1" customWidth="1"/>
    <col min="4" max="5" width="23.7109375" style="159" customWidth="1"/>
    <col min="6" max="6" width="11.7109375" style="157" customWidth="1"/>
  </cols>
  <sheetData>
    <row r="1" spans="1:6" ht="20.25" thickBot="1">
      <c r="A1" s="154" t="s">
        <v>634</v>
      </c>
      <c r="B1" s="154" t="s">
        <v>192</v>
      </c>
      <c r="C1" s="155" t="s">
        <v>1740</v>
      </c>
      <c r="D1" s="154"/>
      <c r="E1" s="154"/>
      <c r="F1" s="156" t="s">
        <v>1741</v>
      </c>
    </row>
    <row r="2" spans="1:6" ht="15.75" thickTop="1">
      <c r="B2" s="5" t="s">
        <v>226</v>
      </c>
      <c r="C2" s="5">
        <v>11</v>
      </c>
      <c r="D2" s="5" t="s">
        <v>46</v>
      </c>
      <c r="E2" s="5">
        <v>671</v>
      </c>
      <c r="F2" s="5" t="s">
        <v>645</v>
      </c>
    </row>
    <row r="3" spans="1:6">
      <c r="B3" s="5" t="s">
        <v>226</v>
      </c>
      <c r="C3" s="5">
        <v>12</v>
      </c>
      <c r="D3" s="5" t="s">
        <v>228</v>
      </c>
      <c r="E3" s="5">
        <v>671</v>
      </c>
      <c r="F3" s="5" t="s">
        <v>646</v>
      </c>
    </row>
    <row r="4" spans="1:6">
      <c r="B4" s="5" t="s">
        <v>1207</v>
      </c>
      <c r="C4" s="5">
        <v>41</v>
      </c>
      <c r="D4" s="5" t="s">
        <v>1204</v>
      </c>
      <c r="E4" s="5">
        <v>614</v>
      </c>
      <c r="F4" s="5">
        <v>614810041</v>
      </c>
    </row>
    <row r="5" spans="1:6">
      <c r="B5" s="5" t="s">
        <v>1208</v>
      </c>
      <c r="C5" s="5">
        <v>41</v>
      </c>
      <c r="D5" s="5" t="s">
        <v>1204</v>
      </c>
      <c r="E5" s="5">
        <v>614</v>
      </c>
      <c r="F5" s="5">
        <v>614820041</v>
      </c>
    </row>
    <row r="6" spans="1:6">
      <c r="B6" s="5" t="s">
        <v>1209</v>
      </c>
      <c r="C6" s="5">
        <v>41</v>
      </c>
      <c r="D6" s="5" t="s">
        <v>1204</v>
      </c>
      <c r="E6" s="5">
        <v>614</v>
      </c>
      <c r="F6" s="5">
        <v>614830041</v>
      </c>
    </row>
    <row r="7" spans="1:6">
      <c r="B7" s="5" t="s">
        <v>1210</v>
      </c>
      <c r="C7" s="5">
        <v>41</v>
      </c>
      <c r="D7" s="5" t="s">
        <v>1204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1666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1666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1666</v>
      </c>
      <c r="E10" s="5">
        <v>631</v>
      </c>
      <c r="F10" s="5">
        <v>631210000</v>
      </c>
    </row>
    <row r="11" spans="1:6" s="162" customFormat="1">
      <c r="B11" s="5" t="s">
        <v>25</v>
      </c>
      <c r="C11" s="5">
        <v>52</v>
      </c>
      <c r="D11" s="5" t="s">
        <v>1666</v>
      </c>
      <c r="E11" s="5">
        <v>631</v>
      </c>
      <c r="F11" s="5">
        <v>631220000</v>
      </c>
    </row>
    <row r="12" spans="1:6" s="162" customFormat="1">
      <c r="B12" s="5" t="s">
        <v>1667</v>
      </c>
      <c r="C12" s="5">
        <v>52</v>
      </c>
      <c r="D12" s="5" t="s">
        <v>1666</v>
      </c>
      <c r="E12" s="5">
        <v>632</v>
      </c>
      <c r="F12" s="5">
        <v>632112000</v>
      </c>
    </row>
    <row r="13" spans="1:6" s="162" customFormat="1">
      <c r="B13" s="5" t="s">
        <v>1668</v>
      </c>
      <c r="C13" s="5">
        <v>52</v>
      </c>
      <c r="D13" s="5" t="s">
        <v>1666</v>
      </c>
      <c r="E13" s="5">
        <v>632</v>
      </c>
      <c r="F13" s="5">
        <v>632212000</v>
      </c>
    </row>
    <row r="14" spans="1:6" s="162" customFormat="1">
      <c r="B14" s="5" t="s">
        <v>1212</v>
      </c>
      <c r="C14" s="5">
        <v>552</v>
      </c>
      <c r="D14" s="5" t="s">
        <v>1205</v>
      </c>
      <c r="E14" s="5">
        <v>632</v>
      </c>
      <c r="F14" s="5">
        <v>632310552</v>
      </c>
    </row>
    <row r="15" spans="1:6" s="162" customFormat="1">
      <c r="B15" s="5" t="s">
        <v>1213</v>
      </c>
      <c r="C15" s="5">
        <v>559</v>
      </c>
      <c r="D15" s="5" t="s">
        <v>1206</v>
      </c>
      <c r="E15" s="5">
        <v>632</v>
      </c>
      <c r="F15" s="5">
        <v>632310559</v>
      </c>
    </row>
    <row r="16" spans="1:6" s="162" customFormat="1">
      <c r="B16" s="5" t="s">
        <v>109</v>
      </c>
      <c r="C16" s="5">
        <v>561</v>
      </c>
      <c r="D16" s="5" t="s">
        <v>109</v>
      </c>
      <c r="E16" s="5">
        <v>632</v>
      </c>
      <c r="F16" s="5">
        <v>632310561</v>
      </c>
    </row>
    <row r="17" spans="2:6" s="162" customFormat="1">
      <c r="B17" s="5" t="s">
        <v>1742</v>
      </c>
      <c r="C17" s="5">
        <v>563</v>
      </c>
      <c r="D17" s="5" t="s">
        <v>111</v>
      </c>
      <c r="E17" s="5">
        <v>632</v>
      </c>
      <c r="F17" s="5">
        <v>632310563</v>
      </c>
    </row>
    <row r="18" spans="2:6" s="162" customFormat="1">
      <c r="B18" s="5" t="s">
        <v>1214</v>
      </c>
      <c r="C18" s="5">
        <v>573</v>
      </c>
      <c r="D18" s="5" t="s">
        <v>1215</v>
      </c>
      <c r="E18" s="5">
        <v>632</v>
      </c>
      <c r="F18" s="5">
        <v>632310573</v>
      </c>
    </row>
    <row r="19" spans="2:6" s="162" customFormat="1">
      <c r="B19" s="5" t="s">
        <v>1216</v>
      </c>
      <c r="C19" s="5">
        <v>575</v>
      </c>
      <c r="D19" s="5" t="s">
        <v>1217</v>
      </c>
      <c r="E19" s="5">
        <v>632</v>
      </c>
      <c r="F19" s="5">
        <v>632310575</v>
      </c>
    </row>
    <row r="20" spans="2:6" s="162" customFormat="1">
      <c r="B20" s="214" t="s">
        <v>1773</v>
      </c>
      <c r="C20" s="214">
        <v>5761</v>
      </c>
      <c r="D20" s="214" t="s">
        <v>1698</v>
      </c>
      <c r="E20" s="214">
        <v>632</v>
      </c>
      <c r="F20" s="214">
        <v>632315761</v>
      </c>
    </row>
    <row r="21" spans="2:6" s="162" customFormat="1">
      <c r="B21" s="214" t="s">
        <v>3521</v>
      </c>
      <c r="C21" s="214">
        <v>5762</v>
      </c>
      <c r="D21" s="214" t="s">
        <v>1698</v>
      </c>
      <c r="E21" s="214">
        <v>632</v>
      </c>
      <c r="F21" s="214">
        <v>632315762</v>
      </c>
    </row>
    <row r="22" spans="2:6" s="162" customFormat="1">
      <c r="B22" s="5" t="s">
        <v>1775</v>
      </c>
      <c r="C22" s="5">
        <v>581</v>
      </c>
      <c r="D22" s="5" t="s">
        <v>1772</v>
      </c>
      <c r="E22" s="5">
        <v>632</v>
      </c>
      <c r="F22" s="5">
        <v>632310581</v>
      </c>
    </row>
    <row r="23" spans="2:6" s="162" customFormat="1">
      <c r="B23" s="5" t="s">
        <v>20</v>
      </c>
      <c r="C23" s="5">
        <v>51</v>
      </c>
      <c r="D23" s="5" t="s">
        <v>1669</v>
      </c>
      <c r="E23" s="5">
        <v>632</v>
      </c>
      <c r="F23" s="5">
        <v>632311700</v>
      </c>
    </row>
    <row r="24" spans="2:6" s="162" customFormat="1">
      <c r="B24" s="5" t="s">
        <v>213</v>
      </c>
      <c r="C24" s="5">
        <v>51</v>
      </c>
      <c r="D24" s="5" t="s">
        <v>1669</v>
      </c>
      <c r="E24" s="5">
        <v>632</v>
      </c>
      <c r="F24" s="5">
        <v>632311800</v>
      </c>
    </row>
    <row r="25" spans="2:6" s="162" customFormat="1">
      <c r="B25" s="5" t="s">
        <v>1218</v>
      </c>
      <c r="C25" s="5">
        <v>552</v>
      </c>
      <c r="D25" s="5" t="s">
        <v>1205</v>
      </c>
      <c r="E25" s="5">
        <v>632</v>
      </c>
      <c r="F25" s="5">
        <v>632410552</v>
      </c>
    </row>
    <row r="26" spans="2:6" s="162" customFormat="1">
      <c r="B26" s="5" t="s">
        <v>1219</v>
      </c>
      <c r="C26" s="5">
        <v>559</v>
      </c>
      <c r="D26" s="5" t="s">
        <v>1206</v>
      </c>
      <c r="E26" s="5">
        <v>632</v>
      </c>
      <c r="F26" s="5">
        <v>632410559</v>
      </c>
    </row>
    <row r="27" spans="2:6" s="162" customFormat="1">
      <c r="B27" s="5" t="s">
        <v>109</v>
      </c>
      <c r="C27" s="5">
        <v>561</v>
      </c>
      <c r="D27" s="5" t="s">
        <v>109</v>
      </c>
      <c r="E27" s="5">
        <v>632</v>
      </c>
      <c r="F27" s="5">
        <v>632410561</v>
      </c>
    </row>
    <row r="28" spans="2:6" s="162" customFormat="1">
      <c r="B28" s="5" t="s">
        <v>1742</v>
      </c>
      <c r="C28" s="5">
        <v>563</v>
      </c>
      <c r="D28" s="5" t="s">
        <v>111</v>
      </c>
      <c r="E28" s="5">
        <v>632</v>
      </c>
      <c r="F28" s="5">
        <v>632410563</v>
      </c>
    </row>
    <row r="29" spans="2:6" s="162" customFormat="1">
      <c r="B29" s="5" t="s">
        <v>1220</v>
      </c>
      <c r="C29" s="5">
        <v>573</v>
      </c>
      <c r="D29" s="5" t="s">
        <v>1215</v>
      </c>
      <c r="E29" s="5">
        <v>632</v>
      </c>
      <c r="F29" s="5">
        <v>632410573</v>
      </c>
    </row>
    <row r="30" spans="2:6">
      <c r="B30" s="5" t="s">
        <v>1221</v>
      </c>
      <c r="C30" s="5">
        <v>575</v>
      </c>
      <c r="D30" s="5" t="s">
        <v>1217</v>
      </c>
      <c r="E30" s="5">
        <v>632</v>
      </c>
      <c r="F30" s="5">
        <v>632410575</v>
      </c>
    </row>
    <row r="31" spans="2:6">
      <c r="B31" s="214" t="s">
        <v>1774</v>
      </c>
      <c r="C31" s="214">
        <v>5761</v>
      </c>
      <c r="D31" s="214" t="s">
        <v>1698</v>
      </c>
      <c r="E31" s="214">
        <v>632</v>
      </c>
      <c r="F31" s="214">
        <v>632415761</v>
      </c>
    </row>
    <row r="32" spans="2:6">
      <c r="B32" s="214" t="s">
        <v>3522</v>
      </c>
      <c r="C32" s="214">
        <v>5762</v>
      </c>
      <c r="D32" s="214" t="s">
        <v>1698</v>
      </c>
      <c r="E32" s="214">
        <v>632</v>
      </c>
      <c r="F32" s="214">
        <v>632415762</v>
      </c>
    </row>
    <row r="33" spans="2:6">
      <c r="B33" s="5" t="s">
        <v>1776</v>
      </c>
      <c r="C33" s="5">
        <v>581</v>
      </c>
      <c r="D33" s="5" t="s">
        <v>1772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1669</v>
      </c>
      <c r="E34" s="5">
        <v>632</v>
      </c>
      <c r="F34" s="5">
        <v>632411700</v>
      </c>
    </row>
    <row r="35" spans="2:6">
      <c r="B35" s="5" t="s">
        <v>1700</v>
      </c>
      <c r="C35" s="5">
        <v>52</v>
      </c>
      <c r="D35" s="5" t="s">
        <v>1666</v>
      </c>
      <c r="E35" s="5">
        <v>634</v>
      </c>
      <c r="F35" s="5">
        <v>6341</v>
      </c>
    </row>
    <row r="36" spans="2:6">
      <c r="B36" s="5" t="s">
        <v>1701</v>
      </c>
      <c r="C36" s="5">
        <v>52</v>
      </c>
      <c r="D36" s="5" t="s">
        <v>1666</v>
      </c>
      <c r="E36" s="5">
        <v>634</v>
      </c>
      <c r="F36" s="5">
        <v>6342</v>
      </c>
    </row>
    <row r="37" spans="2:6">
      <c r="B37" s="5" t="s">
        <v>1670</v>
      </c>
      <c r="C37" s="5">
        <v>52</v>
      </c>
      <c r="D37" s="5" t="s">
        <v>1666</v>
      </c>
      <c r="E37" s="5">
        <v>636</v>
      </c>
      <c r="F37" s="5">
        <v>6361</v>
      </c>
    </row>
    <row r="38" spans="2:6">
      <c r="B38" s="5" t="s">
        <v>1671</v>
      </c>
      <c r="C38" s="5">
        <v>52</v>
      </c>
      <c r="D38" s="5" t="s">
        <v>1666</v>
      </c>
      <c r="E38" s="5">
        <v>636</v>
      </c>
      <c r="F38" s="5">
        <v>6362</v>
      </c>
    </row>
    <row r="39" spans="2:6">
      <c r="B39" s="5" t="s">
        <v>1777</v>
      </c>
      <c r="C39" s="5">
        <v>52</v>
      </c>
      <c r="D39" s="5" t="s">
        <v>1666</v>
      </c>
      <c r="E39" s="5">
        <v>638</v>
      </c>
      <c r="F39" s="5">
        <v>6381</v>
      </c>
    </row>
    <row r="40" spans="2:6">
      <c r="B40" s="5" t="s">
        <v>1778</v>
      </c>
      <c r="C40" s="5">
        <v>52</v>
      </c>
      <c r="D40" s="5" t="s">
        <v>1666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1666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1666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1666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1666</v>
      </c>
      <c r="E44" s="5">
        <v>639</v>
      </c>
      <c r="F44" s="5">
        <v>6394</v>
      </c>
    </row>
    <row r="45" spans="2:6">
      <c r="B45" s="5" t="s">
        <v>202</v>
      </c>
      <c r="C45" s="5">
        <v>31</v>
      </c>
      <c r="D45" s="5" t="s">
        <v>90</v>
      </c>
      <c r="E45" s="5">
        <v>641</v>
      </c>
      <c r="F45" s="5">
        <v>641290031</v>
      </c>
    </row>
    <row r="46" spans="2:6">
      <c r="B46" s="5" t="s">
        <v>203</v>
      </c>
      <c r="C46" s="5">
        <v>31</v>
      </c>
      <c r="D46" s="5" t="s">
        <v>90</v>
      </c>
      <c r="E46" s="5">
        <v>641</v>
      </c>
      <c r="F46" s="5">
        <v>641310031</v>
      </c>
    </row>
    <row r="47" spans="2:6">
      <c r="B47" s="5" t="s">
        <v>204</v>
      </c>
      <c r="C47" s="5">
        <v>31</v>
      </c>
      <c r="D47" s="5" t="s">
        <v>90</v>
      </c>
      <c r="E47" s="5">
        <v>641</v>
      </c>
      <c r="F47" s="5">
        <v>641320031</v>
      </c>
    </row>
    <row r="48" spans="2:6">
      <c r="B48" s="5" t="s">
        <v>1672</v>
      </c>
      <c r="C48" s="5">
        <v>43</v>
      </c>
      <c r="D48" s="5" t="s">
        <v>95</v>
      </c>
      <c r="E48" s="5">
        <v>641</v>
      </c>
      <c r="F48" s="5">
        <v>641320043</v>
      </c>
    </row>
    <row r="49" spans="2:6">
      <c r="B49" s="5" t="s">
        <v>1673</v>
      </c>
      <c r="C49" s="5">
        <v>31</v>
      </c>
      <c r="D49" s="5" t="s">
        <v>90</v>
      </c>
      <c r="E49" s="5">
        <v>641</v>
      </c>
      <c r="F49" s="5">
        <v>641510031</v>
      </c>
    </row>
    <row r="50" spans="2:6">
      <c r="B50" s="5" t="s">
        <v>1674</v>
      </c>
      <c r="C50" s="5">
        <v>43</v>
      </c>
      <c r="D50" s="5" t="s">
        <v>95</v>
      </c>
      <c r="E50" s="5">
        <v>641</v>
      </c>
      <c r="F50" s="5">
        <v>641510043</v>
      </c>
    </row>
    <row r="51" spans="2:6">
      <c r="B51" s="5" t="s">
        <v>205</v>
      </c>
      <c r="C51" s="5">
        <v>31</v>
      </c>
      <c r="D51" s="5" t="s">
        <v>90</v>
      </c>
      <c r="E51" s="5">
        <v>641</v>
      </c>
      <c r="F51" s="5">
        <v>641630031</v>
      </c>
    </row>
    <row r="52" spans="2:6">
      <c r="B52" s="5" t="s">
        <v>208</v>
      </c>
      <c r="C52" s="5">
        <v>43</v>
      </c>
      <c r="D52" s="5" t="s">
        <v>95</v>
      </c>
      <c r="E52" s="5">
        <v>641</v>
      </c>
      <c r="F52" s="5">
        <v>641720043</v>
      </c>
    </row>
    <row r="53" spans="2:6">
      <c r="B53" s="5" t="s">
        <v>1211</v>
      </c>
      <c r="C53" s="5">
        <v>41</v>
      </c>
      <c r="D53" s="5" t="s">
        <v>1204</v>
      </c>
      <c r="E53" s="5">
        <v>641</v>
      </c>
      <c r="F53" s="5">
        <v>641770041</v>
      </c>
    </row>
    <row r="54" spans="2:6">
      <c r="B54" s="5" t="s">
        <v>1675</v>
      </c>
      <c r="C54" s="5">
        <v>43</v>
      </c>
      <c r="D54" s="5" t="s">
        <v>95</v>
      </c>
      <c r="E54" s="5">
        <v>641</v>
      </c>
      <c r="F54" s="5">
        <v>641990043</v>
      </c>
    </row>
    <row r="55" spans="2:6">
      <c r="B55" s="5" t="s">
        <v>206</v>
      </c>
      <c r="C55" s="5">
        <v>31</v>
      </c>
      <c r="D55" s="5" t="s">
        <v>90</v>
      </c>
      <c r="E55" s="5">
        <v>642</v>
      </c>
      <c r="F55" s="5">
        <v>642510031</v>
      </c>
    </row>
    <row r="56" spans="2:6">
      <c r="B56" s="5" t="s">
        <v>207</v>
      </c>
      <c r="C56" s="5">
        <v>31</v>
      </c>
      <c r="D56" s="5" t="s">
        <v>90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95</v>
      </c>
      <c r="E57" s="5">
        <v>651</v>
      </c>
      <c r="F57" s="5">
        <v>65148</v>
      </c>
    </row>
    <row r="58" spans="2:6">
      <c r="B58" s="5" t="s">
        <v>1676</v>
      </c>
      <c r="C58" s="5">
        <v>43</v>
      </c>
      <c r="D58" s="5" t="s">
        <v>95</v>
      </c>
      <c r="E58" s="5">
        <v>652</v>
      </c>
      <c r="F58" s="5">
        <v>65218</v>
      </c>
    </row>
    <row r="59" spans="2:6">
      <c r="B59" s="5" t="s">
        <v>209</v>
      </c>
      <c r="C59" s="5">
        <v>43</v>
      </c>
      <c r="D59" s="5" t="s">
        <v>95</v>
      </c>
      <c r="E59" s="5">
        <v>652</v>
      </c>
      <c r="F59" s="5">
        <v>65264</v>
      </c>
    </row>
    <row r="60" spans="2:6">
      <c r="B60" s="5" t="s">
        <v>210</v>
      </c>
      <c r="C60" s="5">
        <v>43</v>
      </c>
      <c r="D60" s="5" t="s">
        <v>95</v>
      </c>
      <c r="E60" s="5">
        <v>652</v>
      </c>
      <c r="F60" s="5">
        <v>652670043</v>
      </c>
    </row>
    <row r="61" spans="2:6">
      <c r="B61" s="5" t="s">
        <v>1780</v>
      </c>
      <c r="C61" s="5">
        <v>71</v>
      </c>
      <c r="D61" s="5" t="s">
        <v>171</v>
      </c>
      <c r="E61" s="5">
        <v>652</v>
      </c>
      <c r="F61" s="5">
        <v>652670071</v>
      </c>
    </row>
    <row r="62" spans="2:6">
      <c r="B62" s="5" t="s">
        <v>1677</v>
      </c>
      <c r="C62" s="5">
        <v>43</v>
      </c>
      <c r="D62" s="5" t="s">
        <v>95</v>
      </c>
      <c r="E62" s="5">
        <v>652</v>
      </c>
      <c r="F62" s="5">
        <v>65268</v>
      </c>
    </row>
    <row r="63" spans="2:6">
      <c r="B63" s="5" t="s">
        <v>1699</v>
      </c>
      <c r="C63" s="5">
        <v>31</v>
      </c>
      <c r="D63" s="5" t="s">
        <v>90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90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1678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1678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1678</v>
      </c>
      <c r="E67" s="5">
        <v>663</v>
      </c>
      <c r="F67" s="5">
        <v>663130000</v>
      </c>
    </row>
    <row r="68" spans="2:6">
      <c r="B68" s="5" t="s">
        <v>1679</v>
      </c>
      <c r="C68" s="5">
        <v>61</v>
      </c>
      <c r="D68" s="5" t="s">
        <v>1678</v>
      </c>
      <c r="E68" s="5">
        <v>663</v>
      </c>
      <c r="F68" s="5">
        <v>663140000</v>
      </c>
    </row>
    <row r="69" spans="2:6">
      <c r="B69" s="5" t="s">
        <v>1680</v>
      </c>
      <c r="C69" s="5">
        <v>61</v>
      </c>
      <c r="D69" s="5" t="s">
        <v>1678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1678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1678</v>
      </c>
      <c r="E71" s="5">
        <v>663</v>
      </c>
      <c r="F71" s="5">
        <v>663230000</v>
      </c>
    </row>
    <row r="72" spans="2:6">
      <c r="B72" s="5" t="s">
        <v>1681</v>
      </c>
      <c r="C72" s="5">
        <v>61</v>
      </c>
      <c r="D72" s="5" t="s">
        <v>1678</v>
      </c>
      <c r="E72" s="5">
        <v>663</v>
      </c>
      <c r="F72" s="5">
        <v>663240000</v>
      </c>
    </row>
    <row r="73" spans="2:6">
      <c r="B73" s="5" t="s">
        <v>211</v>
      </c>
      <c r="C73" s="5">
        <v>43</v>
      </c>
      <c r="D73" s="5" t="s">
        <v>95</v>
      </c>
      <c r="E73" s="5">
        <v>681</v>
      </c>
      <c r="F73" s="5">
        <v>681910043</v>
      </c>
    </row>
    <row r="74" spans="2:6">
      <c r="B74" s="5" t="s">
        <v>1682</v>
      </c>
      <c r="C74" s="5">
        <v>31</v>
      </c>
      <c r="D74" s="5" t="s">
        <v>90</v>
      </c>
      <c r="E74" s="5">
        <v>683</v>
      </c>
      <c r="F74" s="5">
        <v>683110031</v>
      </c>
    </row>
    <row r="75" spans="2:6">
      <c r="B75" s="5" t="s">
        <v>212</v>
      </c>
      <c r="C75" s="5">
        <v>43</v>
      </c>
      <c r="D75" s="5" t="s">
        <v>95</v>
      </c>
      <c r="E75" s="5">
        <v>683</v>
      </c>
      <c r="F75" s="5">
        <v>683110043</v>
      </c>
    </row>
    <row r="76" spans="2:6">
      <c r="B76" s="5" t="s">
        <v>1683</v>
      </c>
      <c r="C76" s="5">
        <v>71</v>
      </c>
      <c r="D76" s="5" t="s">
        <v>1684</v>
      </c>
      <c r="E76" s="5">
        <v>711</v>
      </c>
      <c r="F76" s="5">
        <v>711110071</v>
      </c>
    </row>
    <row r="77" spans="2:6">
      <c r="B77" s="5" t="s">
        <v>1685</v>
      </c>
      <c r="C77" s="5">
        <v>71</v>
      </c>
      <c r="D77" s="5" t="s">
        <v>1684</v>
      </c>
      <c r="E77" s="5">
        <v>711</v>
      </c>
      <c r="F77" s="5">
        <v>711120071</v>
      </c>
    </row>
    <row r="78" spans="2:6">
      <c r="B78" s="5" t="s">
        <v>214</v>
      </c>
      <c r="C78" s="5">
        <v>71</v>
      </c>
      <c r="D78" s="5" t="s">
        <v>1684</v>
      </c>
      <c r="E78" s="5">
        <v>712</v>
      </c>
      <c r="F78" s="5">
        <v>712410071</v>
      </c>
    </row>
    <row r="79" spans="2:6">
      <c r="B79" s="5" t="s">
        <v>215</v>
      </c>
      <c r="C79" s="5">
        <v>71</v>
      </c>
      <c r="D79" s="5" t="s">
        <v>1684</v>
      </c>
      <c r="E79" s="5">
        <v>712</v>
      </c>
      <c r="F79" s="5">
        <v>712490071</v>
      </c>
    </row>
    <row r="80" spans="2:6">
      <c r="B80" s="5" t="s">
        <v>216</v>
      </c>
      <c r="C80" s="5">
        <v>71</v>
      </c>
      <c r="D80" s="5" t="s">
        <v>1684</v>
      </c>
      <c r="E80" s="5">
        <v>721</v>
      </c>
      <c r="F80" s="5">
        <v>721110071</v>
      </c>
    </row>
    <row r="81" spans="2:6">
      <c r="B81" s="5" t="s">
        <v>217</v>
      </c>
      <c r="C81" s="5">
        <v>71</v>
      </c>
      <c r="D81" s="5" t="s">
        <v>1684</v>
      </c>
      <c r="E81" s="5">
        <v>721</v>
      </c>
      <c r="F81" s="5">
        <v>721190071</v>
      </c>
    </row>
    <row r="82" spans="2:6">
      <c r="B82" s="5" t="s">
        <v>218</v>
      </c>
      <c r="C82" s="5">
        <v>71</v>
      </c>
      <c r="D82" s="5" t="s">
        <v>1684</v>
      </c>
      <c r="E82" s="5">
        <v>721</v>
      </c>
      <c r="F82" s="5">
        <v>721230071</v>
      </c>
    </row>
    <row r="83" spans="2:6">
      <c r="B83" s="5" t="s">
        <v>219</v>
      </c>
      <c r="C83" s="5">
        <v>71</v>
      </c>
      <c r="D83" s="5" t="s">
        <v>1684</v>
      </c>
      <c r="E83" s="5">
        <v>721</v>
      </c>
      <c r="F83" s="5">
        <v>721290071</v>
      </c>
    </row>
    <row r="84" spans="2:6">
      <c r="B84" s="5" t="s">
        <v>220</v>
      </c>
      <c r="C84" s="5">
        <v>71</v>
      </c>
      <c r="D84" s="5" t="s">
        <v>1684</v>
      </c>
      <c r="E84" s="5">
        <v>722</v>
      </c>
      <c r="F84" s="5">
        <v>722110071</v>
      </c>
    </row>
    <row r="85" spans="2:6">
      <c r="B85" s="5" t="s">
        <v>1686</v>
      </c>
      <c r="C85" s="5">
        <v>71</v>
      </c>
      <c r="D85" s="5" t="s">
        <v>1684</v>
      </c>
      <c r="E85" s="5">
        <v>722</v>
      </c>
      <c r="F85" s="5">
        <v>722120071</v>
      </c>
    </row>
    <row r="86" spans="2:6">
      <c r="B86" s="5" t="s">
        <v>221</v>
      </c>
      <c r="C86" s="5">
        <v>71</v>
      </c>
      <c r="D86" s="5" t="s">
        <v>1684</v>
      </c>
      <c r="E86" s="5">
        <v>722</v>
      </c>
      <c r="F86" s="5">
        <v>722190071</v>
      </c>
    </row>
    <row r="87" spans="2:6">
      <c r="B87" s="5" t="s">
        <v>222</v>
      </c>
      <c r="C87" s="5">
        <v>71</v>
      </c>
      <c r="D87" s="5" t="s">
        <v>1684</v>
      </c>
      <c r="E87" s="5">
        <v>722</v>
      </c>
      <c r="F87" s="5">
        <v>722620071</v>
      </c>
    </row>
    <row r="88" spans="2:6">
      <c r="B88" s="5" t="s">
        <v>1781</v>
      </c>
      <c r="C88" s="5">
        <v>71</v>
      </c>
      <c r="D88" s="5" t="s">
        <v>171</v>
      </c>
      <c r="E88" s="5">
        <v>722</v>
      </c>
      <c r="F88" s="5">
        <v>722720071</v>
      </c>
    </row>
    <row r="89" spans="2:6">
      <c r="B89" s="5" t="s">
        <v>223</v>
      </c>
      <c r="C89" s="5">
        <v>71</v>
      </c>
      <c r="D89" s="5" t="s">
        <v>1684</v>
      </c>
      <c r="E89" s="5">
        <v>722</v>
      </c>
      <c r="F89" s="5">
        <v>722730071</v>
      </c>
    </row>
    <row r="90" spans="2:6">
      <c r="B90" s="5" t="s">
        <v>224</v>
      </c>
      <c r="C90" s="5">
        <v>71</v>
      </c>
      <c r="D90" s="5" t="s">
        <v>1684</v>
      </c>
      <c r="E90" s="5">
        <v>723</v>
      </c>
      <c r="F90" s="5">
        <v>723110071</v>
      </c>
    </row>
    <row r="91" spans="2:6">
      <c r="B91" s="5" t="s">
        <v>1687</v>
      </c>
      <c r="C91" s="5">
        <v>71</v>
      </c>
      <c r="D91" s="5" t="s">
        <v>1684</v>
      </c>
      <c r="E91" s="5">
        <v>723</v>
      </c>
      <c r="F91" s="5">
        <v>723130071</v>
      </c>
    </row>
    <row r="92" spans="2:6">
      <c r="B92" s="5" t="s">
        <v>1688</v>
      </c>
      <c r="C92" s="5">
        <v>71</v>
      </c>
      <c r="D92" s="5" t="s">
        <v>1684</v>
      </c>
      <c r="E92" s="5">
        <v>723</v>
      </c>
      <c r="F92" s="5">
        <v>723140071</v>
      </c>
    </row>
    <row r="93" spans="2:6">
      <c r="B93" s="5" t="s">
        <v>1689</v>
      </c>
      <c r="C93" s="5">
        <v>71</v>
      </c>
      <c r="D93" s="5" t="s">
        <v>1684</v>
      </c>
      <c r="E93" s="5">
        <v>723</v>
      </c>
      <c r="F93" s="5">
        <v>723150071</v>
      </c>
    </row>
    <row r="94" spans="2:6">
      <c r="B94" s="5" t="s">
        <v>1690</v>
      </c>
      <c r="C94" s="5">
        <v>71</v>
      </c>
      <c r="D94" s="5" t="s">
        <v>1684</v>
      </c>
      <c r="E94" s="5">
        <v>723</v>
      </c>
      <c r="F94" s="5">
        <v>723160071</v>
      </c>
    </row>
    <row r="95" spans="2:6">
      <c r="B95" s="5" t="s">
        <v>1782</v>
      </c>
      <c r="C95" s="5">
        <v>71</v>
      </c>
      <c r="D95" s="5" t="s">
        <v>171</v>
      </c>
      <c r="E95" s="5">
        <v>723</v>
      </c>
      <c r="F95" s="5">
        <v>723190071</v>
      </c>
    </row>
    <row r="96" spans="2:6">
      <c r="B96" s="5" t="s">
        <v>1691</v>
      </c>
      <c r="C96" s="5">
        <v>71</v>
      </c>
      <c r="D96" s="5" t="s">
        <v>1684</v>
      </c>
      <c r="E96" s="5">
        <v>723</v>
      </c>
      <c r="F96" s="5">
        <v>723310071</v>
      </c>
    </row>
    <row r="97" spans="1:6">
      <c r="B97" s="5" t="s">
        <v>225</v>
      </c>
      <c r="C97" s="5">
        <v>71</v>
      </c>
      <c r="D97" s="5" t="s">
        <v>1684</v>
      </c>
      <c r="E97" s="5">
        <v>725</v>
      </c>
      <c r="F97" s="5">
        <v>725210071</v>
      </c>
    </row>
    <row r="98" spans="1:6">
      <c r="B98" s="5" t="s">
        <v>1783</v>
      </c>
      <c r="C98" s="5">
        <v>43</v>
      </c>
      <c r="D98" s="5" t="s">
        <v>95</v>
      </c>
      <c r="E98" s="5">
        <v>818</v>
      </c>
      <c r="F98" s="5">
        <v>818110043</v>
      </c>
    </row>
    <row r="99" spans="1:6">
      <c r="B99" s="5" t="s">
        <v>1222</v>
      </c>
      <c r="C99" s="5">
        <v>43</v>
      </c>
      <c r="D99" s="5" t="s">
        <v>95</v>
      </c>
      <c r="E99" s="5">
        <v>818</v>
      </c>
      <c r="F99" s="5">
        <v>818120043</v>
      </c>
    </row>
    <row r="100" spans="1:6">
      <c r="B100" s="5" t="s">
        <v>1223</v>
      </c>
      <c r="C100" s="5">
        <v>43</v>
      </c>
      <c r="D100" s="5" t="s">
        <v>95</v>
      </c>
      <c r="E100" s="5">
        <v>832</v>
      </c>
      <c r="F100" s="5">
        <v>832120043</v>
      </c>
    </row>
    <row r="101" spans="1:6">
      <c r="B101" s="5" t="s">
        <v>1693</v>
      </c>
      <c r="C101" s="5">
        <v>43</v>
      </c>
      <c r="D101" s="5" t="s">
        <v>95</v>
      </c>
      <c r="E101" s="5">
        <v>833</v>
      </c>
      <c r="F101" s="5">
        <v>833130043</v>
      </c>
    </row>
    <row r="102" spans="1:6">
      <c r="A102" s="157"/>
      <c r="B102" s="5" t="s">
        <v>1779</v>
      </c>
      <c r="C102" s="5">
        <v>81</v>
      </c>
      <c r="D102" s="5" t="s">
        <v>1692</v>
      </c>
      <c r="E102" s="5">
        <v>841</v>
      </c>
      <c r="F102" s="5">
        <v>841320000</v>
      </c>
    </row>
    <row r="103" spans="1:6">
      <c r="B103" s="5" t="s">
        <v>1694</v>
      </c>
      <c r="C103" s="5">
        <v>81</v>
      </c>
      <c r="D103" s="5" t="s">
        <v>1692</v>
      </c>
      <c r="E103" s="5">
        <v>842</v>
      </c>
      <c r="F103" s="5">
        <v>842220081</v>
      </c>
    </row>
    <row r="104" spans="1:6">
      <c r="B104" s="214" t="s">
        <v>3520</v>
      </c>
      <c r="C104" s="214">
        <v>81</v>
      </c>
      <c r="D104" s="214" t="s">
        <v>1692</v>
      </c>
      <c r="E104" s="214">
        <v>841</v>
      </c>
      <c r="F104" s="214">
        <v>841320150</v>
      </c>
    </row>
    <row r="106" spans="1:6">
      <c r="A106" s="160"/>
    </row>
    <row r="107" spans="1:6">
      <c r="A107" s="160"/>
    </row>
    <row r="108" spans="1:6">
      <c r="A108" s="160"/>
      <c r="B108" s="160"/>
      <c r="C108" s="160"/>
      <c r="D108" s="160"/>
      <c r="E108" s="160"/>
      <c r="F108" s="160"/>
    </row>
    <row r="109" spans="1:6">
      <c r="A109" s="160"/>
      <c r="B109" s="160"/>
      <c r="C109" s="160"/>
      <c r="D109" s="160"/>
      <c r="E109" s="160"/>
      <c r="F109" s="160"/>
    </row>
    <row r="110" spans="1:6">
      <c r="A110" s="160"/>
      <c r="B110" s="160"/>
      <c r="C110" s="160"/>
      <c r="D110" s="160"/>
      <c r="E110" s="160"/>
      <c r="F110" s="160"/>
    </row>
    <row r="111" spans="1:6">
      <c r="A111" s="160"/>
      <c r="B111" s="160"/>
      <c r="C111" s="160"/>
      <c r="D111" s="160"/>
      <c r="E111" s="160"/>
      <c r="F111" s="160"/>
    </row>
    <row r="112" spans="1:6">
      <c r="A112" s="160"/>
      <c r="B112" s="160"/>
      <c r="C112" s="160"/>
      <c r="D112" s="160"/>
      <c r="E112" s="160"/>
      <c r="F112" s="160"/>
    </row>
    <row r="113" spans="1:6">
      <c r="A113" s="160"/>
      <c r="B113" s="160"/>
      <c r="C113" s="160"/>
      <c r="D113" s="160"/>
      <c r="E113" s="160"/>
      <c r="F113" s="160"/>
    </row>
    <row r="114" spans="1:6">
      <c r="A114" s="160"/>
      <c r="B114" s="160"/>
      <c r="C114" s="160"/>
      <c r="D114" s="160"/>
      <c r="E114" s="160"/>
      <c r="F114" s="160"/>
    </row>
    <row r="115" spans="1:6">
      <c r="A115" s="160"/>
      <c r="B115" s="160"/>
      <c r="C115" s="160"/>
      <c r="D115" s="160"/>
      <c r="E115" s="160"/>
      <c r="F115" s="160"/>
    </row>
    <row r="116" spans="1:6">
      <c r="A116" s="160"/>
      <c r="B116" s="160"/>
      <c r="C116" s="160"/>
      <c r="D116" s="160"/>
      <c r="E116" s="160"/>
      <c r="F116" s="160"/>
    </row>
    <row r="117" spans="1:6">
      <c r="A117" s="160"/>
      <c r="B117" s="160"/>
      <c r="C117" s="160"/>
      <c r="D117" s="160"/>
      <c r="E117" s="160"/>
      <c r="F117" s="160"/>
    </row>
    <row r="118" spans="1:6">
      <c r="A118" s="160"/>
      <c r="B118" s="160"/>
      <c r="C118" s="160"/>
      <c r="D118" s="160"/>
      <c r="E118" s="160"/>
      <c r="F118" s="160"/>
    </row>
    <row r="119" spans="1:6">
      <c r="B119" s="160"/>
      <c r="C119" s="160"/>
      <c r="D119" s="160"/>
      <c r="E119" s="160"/>
      <c r="F119" s="160"/>
    </row>
    <row r="120" spans="1:6">
      <c r="B120" s="160"/>
      <c r="C120" s="160"/>
      <c r="D120" s="160"/>
      <c r="E120" s="160"/>
      <c r="F120" s="16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106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0" customWidth="1"/>
    <col min="2" max="2" width="6.85546875" style="275" customWidth="1"/>
    <col min="3" max="4" width="81.7109375" style="271" customWidth="1"/>
    <col min="5" max="5" width="37.140625" style="271" customWidth="1"/>
    <col min="6" max="6" width="24.7109375" style="272" customWidth="1"/>
    <col min="7" max="7" width="11.7109375" style="271" customWidth="1"/>
    <col min="8" max="8" width="12" style="276" bestFit="1" customWidth="1"/>
    <col min="9" max="9" width="21.7109375" style="218" customWidth="1"/>
    <col min="10" max="257" width="9.140625" style="218"/>
    <col min="258" max="258" width="4.5703125" style="218" customWidth="1"/>
    <col min="259" max="259" width="6.85546875" style="218" customWidth="1"/>
    <col min="260" max="260" width="81.7109375" style="218" customWidth="1"/>
    <col min="261" max="261" width="37.140625" style="218" customWidth="1"/>
    <col min="262" max="262" width="24.7109375" style="218" customWidth="1"/>
    <col min="263" max="263" width="11.7109375" style="218" customWidth="1"/>
    <col min="264" max="264" width="12" style="218" bestFit="1" customWidth="1"/>
    <col min="265" max="265" width="21.7109375" style="218" customWidth="1"/>
    <col min="266" max="513" width="9.140625" style="218"/>
    <col min="514" max="514" width="4.5703125" style="218" customWidth="1"/>
    <col min="515" max="515" width="6.85546875" style="218" customWidth="1"/>
    <col min="516" max="516" width="81.7109375" style="218" customWidth="1"/>
    <col min="517" max="517" width="37.140625" style="218" customWidth="1"/>
    <col min="518" max="518" width="24.7109375" style="218" customWidth="1"/>
    <col min="519" max="519" width="11.7109375" style="218" customWidth="1"/>
    <col min="520" max="520" width="12" style="218" bestFit="1" customWidth="1"/>
    <col min="521" max="521" width="21.7109375" style="218" customWidth="1"/>
    <col min="522" max="769" width="9.140625" style="218"/>
    <col min="770" max="770" width="4.5703125" style="218" customWidth="1"/>
    <col min="771" max="771" width="6.85546875" style="218" customWidth="1"/>
    <col min="772" max="772" width="81.7109375" style="218" customWidth="1"/>
    <col min="773" max="773" width="37.140625" style="218" customWidth="1"/>
    <col min="774" max="774" width="24.7109375" style="218" customWidth="1"/>
    <col min="775" max="775" width="11.7109375" style="218" customWidth="1"/>
    <col min="776" max="776" width="12" style="218" bestFit="1" customWidth="1"/>
    <col min="777" max="777" width="21.7109375" style="218" customWidth="1"/>
    <col min="778" max="1025" width="9.140625" style="218"/>
    <col min="1026" max="1026" width="4.5703125" style="218" customWidth="1"/>
    <col min="1027" max="1027" width="6.85546875" style="218" customWidth="1"/>
    <col min="1028" max="1028" width="81.7109375" style="218" customWidth="1"/>
    <col min="1029" max="1029" width="37.140625" style="218" customWidth="1"/>
    <col min="1030" max="1030" width="24.7109375" style="218" customWidth="1"/>
    <col min="1031" max="1031" width="11.7109375" style="218" customWidth="1"/>
    <col min="1032" max="1032" width="12" style="218" bestFit="1" customWidth="1"/>
    <col min="1033" max="1033" width="21.7109375" style="218" customWidth="1"/>
    <col min="1034" max="1281" width="9.140625" style="218"/>
    <col min="1282" max="1282" width="4.5703125" style="218" customWidth="1"/>
    <col min="1283" max="1283" width="6.85546875" style="218" customWidth="1"/>
    <col min="1284" max="1284" width="81.7109375" style="218" customWidth="1"/>
    <col min="1285" max="1285" width="37.140625" style="218" customWidth="1"/>
    <col min="1286" max="1286" width="24.7109375" style="218" customWidth="1"/>
    <col min="1287" max="1287" width="11.7109375" style="218" customWidth="1"/>
    <col min="1288" max="1288" width="12" style="218" bestFit="1" customWidth="1"/>
    <col min="1289" max="1289" width="21.7109375" style="218" customWidth="1"/>
    <col min="1290" max="1537" width="9.140625" style="218"/>
    <col min="1538" max="1538" width="4.5703125" style="218" customWidth="1"/>
    <col min="1539" max="1539" width="6.85546875" style="218" customWidth="1"/>
    <col min="1540" max="1540" width="81.7109375" style="218" customWidth="1"/>
    <col min="1541" max="1541" width="37.140625" style="218" customWidth="1"/>
    <col min="1542" max="1542" width="24.7109375" style="218" customWidth="1"/>
    <col min="1543" max="1543" width="11.7109375" style="218" customWidth="1"/>
    <col min="1544" max="1544" width="12" style="218" bestFit="1" customWidth="1"/>
    <col min="1545" max="1545" width="21.7109375" style="218" customWidth="1"/>
    <col min="1546" max="1793" width="9.140625" style="218"/>
    <col min="1794" max="1794" width="4.5703125" style="218" customWidth="1"/>
    <col min="1795" max="1795" width="6.85546875" style="218" customWidth="1"/>
    <col min="1796" max="1796" width="81.7109375" style="218" customWidth="1"/>
    <col min="1797" max="1797" width="37.140625" style="218" customWidth="1"/>
    <col min="1798" max="1798" width="24.7109375" style="218" customWidth="1"/>
    <col min="1799" max="1799" width="11.7109375" style="218" customWidth="1"/>
    <col min="1800" max="1800" width="12" style="218" bestFit="1" customWidth="1"/>
    <col min="1801" max="1801" width="21.7109375" style="218" customWidth="1"/>
    <col min="1802" max="2049" width="9.140625" style="218"/>
    <col min="2050" max="2050" width="4.5703125" style="218" customWidth="1"/>
    <col min="2051" max="2051" width="6.85546875" style="218" customWidth="1"/>
    <col min="2052" max="2052" width="81.7109375" style="218" customWidth="1"/>
    <col min="2053" max="2053" width="37.140625" style="218" customWidth="1"/>
    <col min="2054" max="2054" width="24.7109375" style="218" customWidth="1"/>
    <col min="2055" max="2055" width="11.7109375" style="218" customWidth="1"/>
    <col min="2056" max="2056" width="12" style="218" bestFit="1" customWidth="1"/>
    <col min="2057" max="2057" width="21.7109375" style="218" customWidth="1"/>
    <col min="2058" max="2305" width="9.140625" style="218"/>
    <col min="2306" max="2306" width="4.5703125" style="218" customWidth="1"/>
    <col min="2307" max="2307" width="6.85546875" style="218" customWidth="1"/>
    <col min="2308" max="2308" width="81.7109375" style="218" customWidth="1"/>
    <col min="2309" max="2309" width="37.140625" style="218" customWidth="1"/>
    <col min="2310" max="2310" width="24.7109375" style="218" customWidth="1"/>
    <col min="2311" max="2311" width="11.7109375" style="218" customWidth="1"/>
    <col min="2312" max="2312" width="12" style="218" bestFit="1" customWidth="1"/>
    <col min="2313" max="2313" width="21.7109375" style="218" customWidth="1"/>
    <col min="2314" max="2561" width="9.140625" style="218"/>
    <col min="2562" max="2562" width="4.5703125" style="218" customWidth="1"/>
    <col min="2563" max="2563" width="6.85546875" style="218" customWidth="1"/>
    <col min="2564" max="2564" width="81.7109375" style="218" customWidth="1"/>
    <col min="2565" max="2565" width="37.140625" style="218" customWidth="1"/>
    <col min="2566" max="2566" width="24.7109375" style="218" customWidth="1"/>
    <col min="2567" max="2567" width="11.7109375" style="218" customWidth="1"/>
    <col min="2568" max="2568" width="12" style="218" bestFit="1" customWidth="1"/>
    <col min="2569" max="2569" width="21.7109375" style="218" customWidth="1"/>
    <col min="2570" max="2817" width="9.140625" style="218"/>
    <col min="2818" max="2818" width="4.5703125" style="218" customWidth="1"/>
    <col min="2819" max="2819" width="6.85546875" style="218" customWidth="1"/>
    <col min="2820" max="2820" width="81.7109375" style="218" customWidth="1"/>
    <col min="2821" max="2821" width="37.140625" style="218" customWidth="1"/>
    <col min="2822" max="2822" width="24.7109375" style="218" customWidth="1"/>
    <col min="2823" max="2823" width="11.7109375" style="218" customWidth="1"/>
    <col min="2824" max="2824" width="12" style="218" bestFit="1" customWidth="1"/>
    <col min="2825" max="2825" width="21.7109375" style="218" customWidth="1"/>
    <col min="2826" max="3073" width="9.140625" style="218"/>
    <col min="3074" max="3074" width="4.5703125" style="218" customWidth="1"/>
    <col min="3075" max="3075" width="6.85546875" style="218" customWidth="1"/>
    <col min="3076" max="3076" width="81.7109375" style="218" customWidth="1"/>
    <col min="3077" max="3077" width="37.140625" style="218" customWidth="1"/>
    <col min="3078" max="3078" width="24.7109375" style="218" customWidth="1"/>
    <col min="3079" max="3079" width="11.7109375" style="218" customWidth="1"/>
    <col min="3080" max="3080" width="12" style="218" bestFit="1" customWidth="1"/>
    <col min="3081" max="3081" width="21.7109375" style="218" customWidth="1"/>
    <col min="3082" max="3329" width="9.140625" style="218"/>
    <col min="3330" max="3330" width="4.5703125" style="218" customWidth="1"/>
    <col min="3331" max="3331" width="6.85546875" style="218" customWidth="1"/>
    <col min="3332" max="3332" width="81.7109375" style="218" customWidth="1"/>
    <col min="3333" max="3333" width="37.140625" style="218" customWidth="1"/>
    <col min="3334" max="3334" width="24.7109375" style="218" customWidth="1"/>
    <col min="3335" max="3335" width="11.7109375" style="218" customWidth="1"/>
    <col min="3336" max="3336" width="12" style="218" bestFit="1" customWidth="1"/>
    <col min="3337" max="3337" width="21.7109375" style="218" customWidth="1"/>
    <col min="3338" max="3585" width="9.140625" style="218"/>
    <col min="3586" max="3586" width="4.5703125" style="218" customWidth="1"/>
    <col min="3587" max="3587" width="6.85546875" style="218" customWidth="1"/>
    <col min="3588" max="3588" width="81.7109375" style="218" customWidth="1"/>
    <col min="3589" max="3589" width="37.140625" style="218" customWidth="1"/>
    <col min="3590" max="3590" width="24.7109375" style="218" customWidth="1"/>
    <col min="3591" max="3591" width="11.7109375" style="218" customWidth="1"/>
    <col min="3592" max="3592" width="12" style="218" bestFit="1" customWidth="1"/>
    <col min="3593" max="3593" width="21.7109375" style="218" customWidth="1"/>
    <col min="3594" max="3841" width="9.140625" style="218"/>
    <col min="3842" max="3842" width="4.5703125" style="218" customWidth="1"/>
    <col min="3843" max="3843" width="6.85546875" style="218" customWidth="1"/>
    <col min="3844" max="3844" width="81.7109375" style="218" customWidth="1"/>
    <col min="3845" max="3845" width="37.140625" style="218" customWidth="1"/>
    <col min="3846" max="3846" width="24.7109375" style="218" customWidth="1"/>
    <col min="3847" max="3847" width="11.7109375" style="218" customWidth="1"/>
    <col min="3848" max="3848" width="12" style="218" bestFit="1" customWidth="1"/>
    <col min="3849" max="3849" width="21.7109375" style="218" customWidth="1"/>
    <col min="3850" max="4097" width="9.140625" style="218"/>
    <col min="4098" max="4098" width="4.5703125" style="218" customWidth="1"/>
    <col min="4099" max="4099" width="6.85546875" style="218" customWidth="1"/>
    <col min="4100" max="4100" width="81.7109375" style="218" customWidth="1"/>
    <col min="4101" max="4101" width="37.140625" style="218" customWidth="1"/>
    <col min="4102" max="4102" width="24.7109375" style="218" customWidth="1"/>
    <col min="4103" max="4103" width="11.7109375" style="218" customWidth="1"/>
    <col min="4104" max="4104" width="12" style="218" bestFit="1" customWidth="1"/>
    <col min="4105" max="4105" width="21.7109375" style="218" customWidth="1"/>
    <col min="4106" max="4353" width="9.140625" style="218"/>
    <col min="4354" max="4354" width="4.5703125" style="218" customWidth="1"/>
    <col min="4355" max="4355" width="6.85546875" style="218" customWidth="1"/>
    <col min="4356" max="4356" width="81.7109375" style="218" customWidth="1"/>
    <col min="4357" max="4357" width="37.140625" style="218" customWidth="1"/>
    <col min="4358" max="4358" width="24.7109375" style="218" customWidth="1"/>
    <col min="4359" max="4359" width="11.7109375" style="218" customWidth="1"/>
    <col min="4360" max="4360" width="12" style="218" bestFit="1" customWidth="1"/>
    <col min="4361" max="4361" width="21.7109375" style="218" customWidth="1"/>
    <col min="4362" max="4609" width="9.140625" style="218"/>
    <col min="4610" max="4610" width="4.5703125" style="218" customWidth="1"/>
    <col min="4611" max="4611" width="6.85546875" style="218" customWidth="1"/>
    <col min="4612" max="4612" width="81.7109375" style="218" customWidth="1"/>
    <col min="4613" max="4613" width="37.140625" style="218" customWidth="1"/>
    <col min="4614" max="4614" width="24.7109375" style="218" customWidth="1"/>
    <col min="4615" max="4615" width="11.7109375" style="218" customWidth="1"/>
    <col min="4616" max="4616" width="12" style="218" bestFit="1" customWidth="1"/>
    <col min="4617" max="4617" width="21.7109375" style="218" customWidth="1"/>
    <col min="4618" max="4865" width="9.140625" style="218"/>
    <col min="4866" max="4866" width="4.5703125" style="218" customWidth="1"/>
    <col min="4867" max="4867" width="6.85546875" style="218" customWidth="1"/>
    <col min="4868" max="4868" width="81.7109375" style="218" customWidth="1"/>
    <col min="4869" max="4869" width="37.140625" style="218" customWidth="1"/>
    <col min="4870" max="4870" width="24.7109375" style="218" customWidth="1"/>
    <col min="4871" max="4871" width="11.7109375" style="218" customWidth="1"/>
    <col min="4872" max="4872" width="12" style="218" bestFit="1" customWidth="1"/>
    <col min="4873" max="4873" width="21.7109375" style="218" customWidth="1"/>
    <col min="4874" max="5121" width="9.140625" style="218"/>
    <col min="5122" max="5122" width="4.5703125" style="218" customWidth="1"/>
    <col min="5123" max="5123" width="6.85546875" style="218" customWidth="1"/>
    <col min="5124" max="5124" width="81.7109375" style="218" customWidth="1"/>
    <col min="5125" max="5125" width="37.140625" style="218" customWidth="1"/>
    <col min="5126" max="5126" width="24.7109375" style="218" customWidth="1"/>
    <col min="5127" max="5127" width="11.7109375" style="218" customWidth="1"/>
    <col min="5128" max="5128" width="12" style="218" bestFit="1" customWidth="1"/>
    <col min="5129" max="5129" width="21.7109375" style="218" customWidth="1"/>
    <col min="5130" max="5377" width="9.140625" style="218"/>
    <col min="5378" max="5378" width="4.5703125" style="218" customWidth="1"/>
    <col min="5379" max="5379" width="6.85546875" style="218" customWidth="1"/>
    <col min="5380" max="5380" width="81.7109375" style="218" customWidth="1"/>
    <col min="5381" max="5381" width="37.140625" style="218" customWidth="1"/>
    <col min="5382" max="5382" width="24.7109375" style="218" customWidth="1"/>
    <col min="5383" max="5383" width="11.7109375" style="218" customWidth="1"/>
    <col min="5384" max="5384" width="12" style="218" bestFit="1" customWidth="1"/>
    <col min="5385" max="5385" width="21.7109375" style="218" customWidth="1"/>
    <col min="5386" max="5633" width="9.140625" style="218"/>
    <col min="5634" max="5634" width="4.5703125" style="218" customWidth="1"/>
    <col min="5635" max="5635" width="6.85546875" style="218" customWidth="1"/>
    <col min="5636" max="5636" width="81.7109375" style="218" customWidth="1"/>
    <col min="5637" max="5637" width="37.140625" style="218" customWidth="1"/>
    <col min="5638" max="5638" width="24.7109375" style="218" customWidth="1"/>
    <col min="5639" max="5639" width="11.7109375" style="218" customWidth="1"/>
    <col min="5640" max="5640" width="12" style="218" bestFit="1" customWidth="1"/>
    <col min="5641" max="5641" width="21.7109375" style="218" customWidth="1"/>
    <col min="5642" max="5889" width="9.140625" style="218"/>
    <col min="5890" max="5890" width="4.5703125" style="218" customWidth="1"/>
    <col min="5891" max="5891" width="6.85546875" style="218" customWidth="1"/>
    <col min="5892" max="5892" width="81.7109375" style="218" customWidth="1"/>
    <col min="5893" max="5893" width="37.140625" style="218" customWidth="1"/>
    <col min="5894" max="5894" width="24.7109375" style="218" customWidth="1"/>
    <col min="5895" max="5895" width="11.7109375" style="218" customWidth="1"/>
    <col min="5896" max="5896" width="12" style="218" bestFit="1" customWidth="1"/>
    <col min="5897" max="5897" width="21.7109375" style="218" customWidth="1"/>
    <col min="5898" max="6145" width="9.140625" style="218"/>
    <col min="6146" max="6146" width="4.5703125" style="218" customWidth="1"/>
    <col min="6147" max="6147" width="6.85546875" style="218" customWidth="1"/>
    <col min="6148" max="6148" width="81.7109375" style="218" customWidth="1"/>
    <col min="6149" max="6149" width="37.140625" style="218" customWidth="1"/>
    <col min="6150" max="6150" width="24.7109375" style="218" customWidth="1"/>
    <col min="6151" max="6151" width="11.7109375" style="218" customWidth="1"/>
    <col min="6152" max="6152" width="12" style="218" bestFit="1" customWidth="1"/>
    <col min="6153" max="6153" width="21.7109375" style="218" customWidth="1"/>
    <col min="6154" max="6401" width="9.140625" style="218"/>
    <col min="6402" max="6402" width="4.5703125" style="218" customWidth="1"/>
    <col min="6403" max="6403" width="6.85546875" style="218" customWidth="1"/>
    <col min="6404" max="6404" width="81.7109375" style="218" customWidth="1"/>
    <col min="6405" max="6405" width="37.140625" style="218" customWidth="1"/>
    <col min="6406" max="6406" width="24.7109375" style="218" customWidth="1"/>
    <col min="6407" max="6407" width="11.7109375" style="218" customWidth="1"/>
    <col min="6408" max="6408" width="12" style="218" bestFit="1" customWidth="1"/>
    <col min="6409" max="6409" width="21.7109375" style="218" customWidth="1"/>
    <col min="6410" max="6657" width="9.140625" style="218"/>
    <col min="6658" max="6658" width="4.5703125" style="218" customWidth="1"/>
    <col min="6659" max="6659" width="6.85546875" style="218" customWidth="1"/>
    <col min="6660" max="6660" width="81.7109375" style="218" customWidth="1"/>
    <col min="6661" max="6661" width="37.140625" style="218" customWidth="1"/>
    <col min="6662" max="6662" width="24.7109375" style="218" customWidth="1"/>
    <col min="6663" max="6663" width="11.7109375" style="218" customWidth="1"/>
    <col min="6664" max="6664" width="12" style="218" bestFit="1" customWidth="1"/>
    <col min="6665" max="6665" width="21.7109375" style="218" customWidth="1"/>
    <col min="6666" max="6913" width="9.140625" style="218"/>
    <col min="6914" max="6914" width="4.5703125" style="218" customWidth="1"/>
    <col min="6915" max="6915" width="6.85546875" style="218" customWidth="1"/>
    <col min="6916" max="6916" width="81.7109375" style="218" customWidth="1"/>
    <col min="6917" max="6917" width="37.140625" style="218" customWidth="1"/>
    <col min="6918" max="6918" width="24.7109375" style="218" customWidth="1"/>
    <col min="6919" max="6919" width="11.7109375" style="218" customWidth="1"/>
    <col min="6920" max="6920" width="12" style="218" bestFit="1" customWidth="1"/>
    <col min="6921" max="6921" width="21.7109375" style="218" customWidth="1"/>
    <col min="6922" max="7169" width="9.140625" style="218"/>
    <col min="7170" max="7170" width="4.5703125" style="218" customWidth="1"/>
    <col min="7171" max="7171" width="6.85546875" style="218" customWidth="1"/>
    <col min="7172" max="7172" width="81.7109375" style="218" customWidth="1"/>
    <col min="7173" max="7173" width="37.140625" style="218" customWidth="1"/>
    <col min="7174" max="7174" width="24.7109375" style="218" customWidth="1"/>
    <col min="7175" max="7175" width="11.7109375" style="218" customWidth="1"/>
    <col min="7176" max="7176" width="12" style="218" bestFit="1" customWidth="1"/>
    <col min="7177" max="7177" width="21.7109375" style="218" customWidth="1"/>
    <col min="7178" max="7425" width="9.140625" style="218"/>
    <col min="7426" max="7426" width="4.5703125" style="218" customWidth="1"/>
    <col min="7427" max="7427" width="6.85546875" style="218" customWidth="1"/>
    <col min="7428" max="7428" width="81.7109375" style="218" customWidth="1"/>
    <col min="7429" max="7429" width="37.140625" style="218" customWidth="1"/>
    <col min="7430" max="7430" width="24.7109375" style="218" customWidth="1"/>
    <col min="7431" max="7431" width="11.7109375" style="218" customWidth="1"/>
    <col min="7432" max="7432" width="12" style="218" bestFit="1" customWidth="1"/>
    <col min="7433" max="7433" width="21.7109375" style="218" customWidth="1"/>
    <col min="7434" max="7681" width="9.140625" style="218"/>
    <col min="7682" max="7682" width="4.5703125" style="218" customWidth="1"/>
    <col min="7683" max="7683" width="6.85546875" style="218" customWidth="1"/>
    <col min="7684" max="7684" width="81.7109375" style="218" customWidth="1"/>
    <col min="7685" max="7685" width="37.140625" style="218" customWidth="1"/>
    <col min="7686" max="7686" width="24.7109375" style="218" customWidth="1"/>
    <col min="7687" max="7687" width="11.7109375" style="218" customWidth="1"/>
    <col min="7688" max="7688" width="12" style="218" bestFit="1" customWidth="1"/>
    <col min="7689" max="7689" width="21.7109375" style="218" customWidth="1"/>
    <col min="7690" max="7937" width="9.140625" style="218"/>
    <col min="7938" max="7938" width="4.5703125" style="218" customWidth="1"/>
    <col min="7939" max="7939" width="6.85546875" style="218" customWidth="1"/>
    <col min="7940" max="7940" width="81.7109375" style="218" customWidth="1"/>
    <col min="7941" max="7941" width="37.140625" style="218" customWidth="1"/>
    <col min="7942" max="7942" width="24.7109375" style="218" customWidth="1"/>
    <col min="7943" max="7943" width="11.7109375" style="218" customWidth="1"/>
    <col min="7944" max="7944" width="12" style="218" bestFit="1" customWidth="1"/>
    <col min="7945" max="7945" width="21.7109375" style="218" customWidth="1"/>
    <col min="7946" max="8193" width="9.140625" style="218"/>
    <col min="8194" max="8194" width="4.5703125" style="218" customWidth="1"/>
    <col min="8195" max="8195" width="6.85546875" style="218" customWidth="1"/>
    <col min="8196" max="8196" width="81.7109375" style="218" customWidth="1"/>
    <col min="8197" max="8197" width="37.140625" style="218" customWidth="1"/>
    <col min="8198" max="8198" width="24.7109375" style="218" customWidth="1"/>
    <col min="8199" max="8199" width="11.7109375" style="218" customWidth="1"/>
    <col min="8200" max="8200" width="12" style="218" bestFit="1" customWidth="1"/>
    <col min="8201" max="8201" width="21.7109375" style="218" customWidth="1"/>
    <col min="8202" max="8449" width="9.140625" style="218"/>
    <col min="8450" max="8450" width="4.5703125" style="218" customWidth="1"/>
    <col min="8451" max="8451" width="6.85546875" style="218" customWidth="1"/>
    <col min="8452" max="8452" width="81.7109375" style="218" customWidth="1"/>
    <col min="8453" max="8453" width="37.140625" style="218" customWidth="1"/>
    <col min="8454" max="8454" width="24.7109375" style="218" customWidth="1"/>
    <col min="8455" max="8455" width="11.7109375" style="218" customWidth="1"/>
    <col min="8456" max="8456" width="12" style="218" bestFit="1" customWidth="1"/>
    <col min="8457" max="8457" width="21.7109375" style="218" customWidth="1"/>
    <col min="8458" max="8705" width="9.140625" style="218"/>
    <col min="8706" max="8706" width="4.5703125" style="218" customWidth="1"/>
    <col min="8707" max="8707" width="6.85546875" style="218" customWidth="1"/>
    <col min="8708" max="8708" width="81.7109375" style="218" customWidth="1"/>
    <col min="8709" max="8709" width="37.140625" style="218" customWidth="1"/>
    <col min="8710" max="8710" width="24.7109375" style="218" customWidth="1"/>
    <col min="8711" max="8711" width="11.7109375" style="218" customWidth="1"/>
    <col min="8712" max="8712" width="12" style="218" bestFit="1" customWidth="1"/>
    <col min="8713" max="8713" width="21.7109375" style="218" customWidth="1"/>
    <col min="8714" max="8961" width="9.140625" style="218"/>
    <col min="8962" max="8962" width="4.5703125" style="218" customWidth="1"/>
    <col min="8963" max="8963" width="6.85546875" style="218" customWidth="1"/>
    <col min="8964" max="8964" width="81.7109375" style="218" customWidth="1"/>
    <col min="8965" max="8965" width="37.140625" style="218" customWidth="1"/>
    <col min="8966" max="8966" width="24.7109375" style="218" customWidth="1"/>
    <col min="8967" max="8967" width="11.7109375" style="218" customWidth="1"/>
    <col min="8968" max="8968" width="12" style="218" bestFit="1" customWidth="1"/>
    <col min="8969" max="8969" width="21.7109375" style="218" customWidth="1"/>
    <col min="8970" max="9217" width="9.140625" style="218"/>
    <col min="9218" max="9218" width="4.5703125" style="218" customWidth="1"/>
    <col min="9219" max="9219" width="6.85546875" style="218" customWidth="1"/>
    <col min="9220" max="9220" width="81.7109375" style="218" customWidth="1"/>
    <col min="9221" max="9221" width="37.140625" style="218" customWidth="1"/>
    <col min="9222" max="9222" width="24.7109375" style="218" customWidth="1"/>
    <col min="9223" max="9223" width="11.7109375" style="218" customWidth="1"/>
    <col min="9224" max="9224" width="12" style="218" bestFit="1" customWidth="1"/>
    <col min="9225" max="9225" width="21.7109375" style="218" customWidth="1"/>
    <col min="9226" max="9473" width="9.140625" style="218"/>
    <col min="9474" max="9474" width="4.5703125" style="218" customWidth="1"/>
    <col min="9475" max="9475" width="6.85546875" style="218" customWidth="1"/>
    <col min="9476" max="9476" width="81.7109375" style="218" customWidth="1"/>
    <col min="9477" max="9477" width="37.140625" style="218" customWidth="1"/>
    <col min="9478" max="9478" width="24.7109375" style="218" customWidth="1"/>
    <col min="9479" max="9479" width="11.7109375" style="218" customWidth="1"/>
    <col min="9480" max="9480" width="12" style="218" bestFit="1" customWidth="1"/>
    <col min="9481" max="9481" width="21.7109375" style="218" customWidth="1"/>
    <col min="9482" max="9729" width="9.140625" style="218"/>
    <col min="9730" max="9730" width="4.5703125" style="218" customWidth="1"/>
    <col min="9731" max="9731" width="6.85546875" style="218" customWidth="1"/>
    <col min="9732" max="9732" width="81.7109375" style="218" customWidth="1"/>
    <col min="9733" max="9733" width="37.140625" style="218" customWidth="1"/>
    <col min="9734" max="9734" width="24.7109375" style="218" customWidth="1"/>
    <col min="9735" max="9735" width="11.7109375" style="218" customWidth="1"/>
    <col min="9736" max="9736" width="12" style="218" bestFit="1" customWidth="1"/>
    <col min="9737" max="9737" width="21.7109375" style="218" customWidth="1"/>
    <col min="9738" max="9985" width="9.140625" style="218"/>
    <col min="9986" max="9986" width="4.5703125" style="218" customWidth="1"/>
    <col min="9987" max="9987" width="6.85546875" style="218" customWidth="1"/>
    <col min="9988" max="9988" width="81.7109375" style="218" customWidth="1"/>
    <col min="9989" max="9989" width="37.140625" style="218" customWidth="1"/>
    <col min="9990" max="9990" width="24.7109375" style="218" customWidth="1"/>
    <col min="9991" max="9991" width="11.7109375" style="218" customWidth="1"/>
    <col min="9992" max="9992" width="12" style="218" bestFit="1" customWidth="1"/>
    <col min="9993" max="9993" width="21.7109375" style="218" customWidth="1"/>
    <col min="9994" max="10241" width="9.140625" style="218"/>
    <col min="10242" max="10242" width="4.5703125" style="218" customWidth="1"/>
    <col min="10243" max="10243" width="6.85546875" style="218" customWidth="1"/>
    <col min="10244" max="10244" width="81.7109375" style="218" customWidth="1"/>
    <col min="10245" max="10245" width="37.140625" style="218" customWidth="1"/>
    <col min="10246" max="10246" width="24.7109375" style="218" customWidth="1"/>
    <col min="10247" max="10247" width="11.7109375" style="218" customWidth="1"/>
    <col min="10248" max="10248" width="12" style="218" bestFit="1" customWidth="1"/>
    <col min="10249" max="10249" width="21.7109375" style="218" customWidth="1"/>
    <col min="10250" max="10497" width="9.140625" style="218"/>
    <col min="10498" max="10498" width="4.5703125" style="218" customWidth="1"/>
    <col min="10499" max="10499" width="6.85546875" style="218" customWidth="1"/>
    <col min="10500" max="10500" width="81.7109375" style="218" customWidth="1"/>
    <col min="10501" max="10501" width="37.140625" style="218" customWidth="1"/>
    <col min="10502" max="10502" width="24.7109375" style="218" customWidth="1"/>
    <col min="10503" max="10503" width="11.7109375" style="218" customWidth="1"/>
    <col min="10504" max="10504" width="12" style="218" bestFit="1" customWidth="1"/>
    <col min="10505" max="10505" width="21.7109375" style="218" customWidth="1"/>
    <col min="10506" max="10753" width="9.140625" style="218"/>
    <col min="10754" max="10754" width="4.5703125" style="218" customWidth="1"/>
    <col min="10755" max="10755" width="6.85546875" style="218" customWidth="1"/>
    <col min="10756" max="10756" width="81.7109375" style="218" customWidth="1"/>
    <col min="10757" max="10757" width="37.140625" style="218" customWidth="1"/>
    <col min="10758" max="10758" width="24.7109375" style="218" customWidth="1"/>
    <col min="10759" max="10759" width="11.7109375" style="218" customWidth="1"/>
    <col min="10760" max="10760" width="12" style="218" bestFit="1" customWidth="1"/>
    <col min="10761" max="10761" width="21.7109375" style="218" customWidth="1"/>
    <col min="10762" max="11009" width="9.140625" style="218"/>
    <col min="11010" max="11010" width="4.5703125" style="218" customWidth="1"/>
    <col min="11011" max="11011" width="6.85546875" style="218" customWidth="1"/>
    <col min="11012" max="11012" width="81.7109375" style="218" customWidth="1"/>
    <col min="11013" max="11013" width="37.140625" style="218" customWidth="1"/>
    <col min="11014" max="11014" width="24.7109375" style="218" customWidth="1"/>
    <col min="11015" max="11015" width="11.7109375" style="218" customWidth="1"/>
    <col min="11016" max="11016" width="12" style="218" bestFit="1" customWidth="1"/>
    <col min="11017" max="11017" width="21.7109375" style="218" customWidth="1"/>
    <col min="11018" max="11265" width="9.140625" style="218"/>
    <col min="11266" max="11266" width="4.5703125" style="218" customWidth="1"/>
    <col min="11267" max="11267" width="6.85546875" style="218" customWidth="1"/>
    <col min="11268" max="11268" width="81.7109375" style="218" customWidth="1"/>
    <col min="11269" max="11269" width="37.140625" style="218" customWidth="1"/>
    <col min="11270" max="11270" width="24.7109375" style="218" customWidth="1"/>
    <col min="11271" max="11271" width="11.7109375" style="218" customWidth="1"/>
    <col min="11272" max="11272" width="12" style="218" bestFit="1" customWidth="1"/>
    <col min="11273" max="11273" width="21.7109375" style="218" customWidth="1"/>
    <col min="11274" max="11521" width="9.140625" style="218"/>
    <col min="11522" max="11522" width="4.5703125" style="218" customWidth="1"/>
    <col min="11523" max="11523" width="6.85546875" style="218" customWidth="1"/>
    <col min="11524" max="11524" width="81.7109375" style="218" customWidth="1"/>
    <col min="11525" max="11525" width="37.140625" style="218" customWidth="1"/>
    <col min="11526" max="11526" width="24.7109375" style="218" customWidth="1"/>
    <col min="11527" max="11527" width="11.7109375" style="218" customWidth="1"/>
    <col min="11528" max="11528" width="12" style="218" bestFit="1" customWidth="1"/>
    <col min="11529" max="11529" width="21.7109375" style="218" customWidth="1"/>
    <col min="11530" max="11777" width="9.140625" style="218"/>
    <col min="11778" max="11778" width="4.5703125" style="218" customWidth="1"/>
    <col min="11779" max="11779" width="6.85546875" style="218" customWidth="1"/>
    <col min="11780" max="11780" width="81.7109375" style="218" customWidth="1"/>
    <col min="11781" max="11781" width="37.140625" style="218" customWidth="1"/>
    <col min="11782" max="11782" width="24.7109375" style="218" customWidth="1"/>
    <col min="11783" max="11783" width="11.7109375" style="218" customWidth="1"/>
    <col min="11784" max="11784" width="12" style="218" bestFit="1" customWidth="1"/>
    <col min="11785" max="11785" width="21.7109375" style="218" customWidth="1"/>
    <col min="11786" max="12033" width="9.140625" style="218"/>
    <col min="12034" max="12034" width="4.5703125" style="218" customWidth="1"/>
    <col min="12035" max="12035" width="6.85546875" style="218" customWidth="1"/>
    <col min="12036" max="12036" width="81.7109375" style="218" customWidth="1"/>
    <col min="12037" max="12037" width="37.140625" style="218" customWidth="1"/>
    <col min="12038" max="12038" width="24.7109375" style="218" customWidth="1"/>
    <col min="12039" max="12039" width="11.7109375" style="218" customWidth="1"/>
    <col min="12040" max="12040" width="12" style="218" bestFit="1" customWidth="1"/>
    <col min="12041" max="12041" width="21.7109375" style="218" customWidth="1"/>
    <col min="12042" max="12289" width="9.140625" style="218"/>
    <col min="12290" max="12290" width="4.5703125" style="218" customWidth="1"/>
    <col min="12291" max="12291" width="6.85546875" style="218" customWidth="1"/>
    <col min="12292" max="12292" width="81.7109375" style="218" customWidth="1"/>
    <col min="12293" max="12293" width="37.140625" style="218" customWidth="1"/>
    <col min="12294" max="12294" width="24.7109375" style="218" customWidth="1"/>
    <col min="12295" max="12295" width="11.7109375" style="218" customWidth="1"/>
    <col min="12296" max="12296" width="12" style="218" bestFit="1" customWidth="1"/>
    <col min="12297" max="12297" width="21.7109375" style="218" customWidth="1"/>
    <col min="12298" max="12545" width="9.140625" style="218"/>
    <col min="12546" max="12546" width="4.5703125" style="218" customWidth="1"/>
    <col min="12547" max="12547" width="6.85546875" style="218" customWidth="1"/>
    <col min="12548" max="12548" width="81.7109375" style="218" customWidth="1"/>
    <col min="12549" max="12549" width="37.140625" style="218" customWidth="1"/>
    <col min="12550" max="12550" width="24.7109375" style="218" customWidth="1"/>
    <col min="12551" max="12551" width="11.7109375" style="218" customWidth="1"/>
    <col min="12552" max="12552" width="12" style="218" bestFit="1" customWidth="1"/>
    <col min="12553" max="12553" width="21.7109375" style="218" customWidth="1"/>
    <col min="12554" max="12801" width="9.140625" style="218"/>
    <col min="12802" max="12802" width="4.5703125" style="218" customWidth="1"/>
    <col min="12803" max="12803" width="6.85546875" style="218" customWidth="1"/>
    <col min="12804" max="12804" width="81.7109375" style="218" customWidth="1"/>
    <col min="12805" max="12805" width="37.140625" style="218" customWidth="1"/>
    <col min="12806" max="12806" width="24.7109375" style="218" customWidth="1"/>
    <col min="12807" max="12807" width="11.7109375" style="218" customWidth="1"/>
    <col min="12808" max="12808" width="12" style="218" bestFit="1" customWidth="1"/>
    <col min="12809" max="12809" width="21.7109375" style="218" customWidth="1"/>
    <col min="12810" max="13057" width="9.140625" style="218"/>
    <col min="13058" max="13058" width="4.5703125" style="218" customWidth="1"/>
    <col min="13059" max="13059" width="6.85546875" style="218" customWidth="1"/>
    <col min="13060" max="13060" width="81.7109375" style="218" customWidth="1"/>
    <col min="13061" max="13061" width="37.140625" style="218" customWidth="1"/>
    <col min="13062" max="13062" width="24.7109375" style="218" customWidth="1"/>
    <col min="13063" max="13063" width="11.7109375" style="218" customWidth="1"/>
    <col min="13064" max="13064" width="12" style="218" bestFit="1" customWidth="1"/>
    <col min="13065" max="13065" width="21.7109375" style="218" customWidth="1"/>
    <col min="13066" max="13313" width="9.140625" style="218"/>
    <col min="13314" max="13314" width="4.5703125" style="218" customWidth="1"/>
    <col min="13315" max="13315" width="6.85546875" style="218" customWidth="1"/>
    <col min="13316" max="13316" width="81.7109375" style="218" customWidth="1"/>
    <col min="13317" max="13317" width="37.140625" style="218" customWidth="1"/>
    <col min="13318" max="13318" width="24.7109375" style="218" customWidth="1"/>
    <col min="13319" max="13319" width="11.7109375" style="218" customWidth="1"/>
    <col min="13320" max="13320" width="12" style="218" bestFit="1" customWidth="1"/>
    <col min="13321" max="13321" width="21.7109375" style="218" customWidth="1"/>
    <col min="13322" max="13569" width="9.140625" style="218"/>
    <col min="13570" max="13570" width="4.5703125" style="218" customWidth="1"/>
    <col min="13571" max="13571" width="6.85546875" style="218" customWidth="1"/>
    <col min="13572" max="13572" width="81.7109375" style="218" customWidth="1"/>
    <col min="13573" max="13573" width="37.140625" style="218" customWidth="1"/>
    <col min="13574" max="13574" width="24.7109375" style="218" customWidth="1"/>
    <col min="13575" max="13575" width="11.7109375" style="218" customWidth="1"/>
    <col min="13576" max="13576" width="12" style="218" bestFit="1" customWidth="1"/>
    <col min="13577" max="13577" width="21.7109375" style="218" customWidth="1"/>
    <col min="13578" max="13825" width="9.140625" style="218"/>
    <col min="13826" max="13826" width="4.5703125" style="218" customWidth="1"/>
    <col min="13827" max="13827" width="6.85546875" style="218" customWidth="1"/>
    <col min="13828" max="13828" width="81.7109375" style="218" customWidth="1"/>
    <col min="13829" max="13829" width="37.140625" style="218" customWidth="1"/>
    <col min="13830" max="13830" width="24.7109375" style="218" customWidth="1"/>
    <col min="13831" max="13831" width="11.7109375" style="218" customWidth="1"/>
    <col min="13832" max="13832" width="12" style="218" bestFit="1" customWidth="1"/>
    <col min="13833" max="13833" width="21.7109375" style="218" customWidth="1"/>
    <col min="13834" max="14081" width="9.140625" style="218"/>
    <col min="14082" max="14082" width="4.5703125" style="218" customWidth="1"/>
    <col min="14083" max="14083" width="6.85546875" style="218" customWidth="1"/>
    <col min="14084" max="14084" width="81.7109375" style="218" customWidth="1"/>
    <col min="14085" max="14085" width="37.140625" style="218" customWidth="1"/>
    <col min="14086" max="14086" width="24.7109375" style="218" customWidth="1"/>
    <col min="14087" max="14087" width="11.7109375" style="218" customWidth="1"/>
    <col min="14088" max="14088" width="12" style="218" bestFit="1" customWidth="1"/>
    <col min="14089" max="14089" width="21.7109375" style="218" customWidth="1"/>
    <col min="14090" max="14337" width="9.140625" style="218"/>
    <col min="14338" max="14338" width="4.5703125" style="218" customWidth="1"/>
    <col min="14339" max="14339" width="6.85546875" style="218" customWidth="1"/>
    <col min="14340" max="14340" width="81.7109375" style="218" customWidth="1"/>
    <col min="14341" max="14341" width="37.140625" style="218" customWidth="1"/>
    <col min="14342" max="14342" width="24.7109375" style="218" customWidth="1"/>
    <col min="14343" max="14343" width="11.7109375" style="218" customWidth="1"/>
    <col min="14344" max="14344" width="12" style="218" bestFit="1" customWidth="1"/>
    <col min="14345" max="14345" width="21.7109375" style="218" customWidth="1"/>
    <col min="14346" max="14593" width="9.140625" style="218"/>
    <col min="14594" max="14594" width="4.5703125" style="218" customWidth="1"/>
    <col min="14595" max="14595" width="6.85546875" style="218" customWidth="1"/>
    <col min="14596" max="14596" width="81.7109375" style="218" customWidth="1"/>
    <col min="14597" max="14597" width="37.140625" style="218" customWidth="1"/>
    <col min="14598" max="14598" width="24.7109375" style="218" customWidth="1"/>
    <col min="14599" max="14599" width="11.7109375" style="218" customWidth="1"/>
    <col min="14600" max="14600" width="12" style="218" bestFit="1" customWidth="1"/>
    <col min="14601" max="14601" width="21.7109375" style="218" customWidth="1"/>
    <col min="14602" max="14849" width="9.140625" style="218"/>
    <col min="14850" max="14850" width="4.5703125" style="218" customWidth="1"/>
    <col min="14851" max="14851" width="6.85546875" style="218" customWidth="1"/>
    <col min="14852" max="14852" width="81.7109375" style="218" customWidth="1"/>
    <col min="14853" max="14853" width="37.140625" style="218" customWidth="1"/>
    <col min="14854" max="14854" width="24.7109375" style="218" customWidth="1"/>
    <col min="14855" max="14855" width="11.7109375" style="218" customWidth="1"/>
    <col min="14856" max="14856" width="12" style="218" bestFit="1" customWidth="1"/>
    <col min="14857" max="14857" width="21.7109375" style="218" customWidth="1"/>
    <col min="14858" max="15105" width="9.140625" style="218"/>
    <col min="15106" max="15106" width="4.5703125" style="218" customWidth="1"/>
    <col min="15107" max="15107" width="6.85546875" style="218" customWidth="1"/>
    <col min="15108" max="15108" width="81.7109375" style="218" customWidth="1"/>
    <col min="15109" max="15109" width="37.140625" style="218" customWidth="1"/>
    <col min="15110" max="15110" width="24.7109375" style="218" customWidth="1"/>
    <col min="15111" max="15111" width="11.7109375" style="218" customWidth="1"/>
    <col min="15112" max="15112" width="12" style="218" bestFit="1" customWidth="1"/>
    <col min="15113" max="15113" width="21.7109375" style="218" customWidth="1"/>
    <col min="15114" max="15361" width="9.140625" style="218"/>
    <col min="15362" max="15362" width="4.5703125" style="218" customWidth="1"/>
    <col min="15363" max="15363" width="6.85546875" style="218" customWidth="1"/>
    <col min="15364" max="15364" width="81.7109375" style="218" customWidth="1"/>
    <col min="15365" max="15365" width="37.140625" style="218" customWidth="1"/>
    <col min="15366" max="15366" width="24.7109375" style="218" customWidth="1"/>
    <col min="15367" max="15367" width="11.7109375" style="218" customWidth="1"/>
    <col min="15368" max="15368" width="12" style="218" bestFit="1" customWidth="1"/>
    <col min="15369" max="15369" width="21.7109375" style="218" customWidth="1"/>
    <col min="15370" max="15617" width="9.140625" style="218"/>
    <col min="15618" max="15618" width="4.5703125" style="218" customWidth="1"/>
    <col min="15619" max="15619" width="6.85546875" style="218" customWidth="1"/>
    <col min="15620" max="15620" width="81.7109375" style="218" customWidth="1"/>
    <col min="15621" max="15621" width="37.140625" style="218" customWidth="1"/>
    <col min="15622" max="15622" width="24.7109375" style="218" customWidth="1"/>
    <col min="15623" max="15623" width="11.7109375" style="218" customWidth="1"/>
    <col min="15624" max="15624" width="12" style="218" bestFit="1" customWidth="1"/>
    <col min="15625" max="15625" width="21.7109375" style="218" customWidth="1"/>
    <col min="15626" max="15873" width="9.140625" style="218"/>
    <col min="15874" max="15874" width="4.5703125" style="218" customWidth="1"/>
    <col min="15875" max="15875" width="6.85546875" style="218" customWidth="1"/>
    <col min="15876" max="15876" width="81.7109375" style="218" customWidth="1"/>
    <col min="15877" max="15877" width="37.140625" style="218" customWidth="1"/>
    <col min="15878" max="15878" width="24.7109375" style="218" customWidth="1"/>
    <col min="15879" max="15879" width="11.7109375" style="218" customWidth="1"/>
    <col min="15880" max="15880" width="12" style="218" bestFit="1" customWidth="1"/>
    <col min="15881" max="15881" width="21.7109375" style="218" customWidth="1"/>
    <col min="15882" max="16129" width="9.140625" style="218"/>
    <col min="16130" max="16130" width="4.5703125" style="218" customWidth="1"/>
    <col min="16131" max="16131" width="6.85546875" style="218" customWidth="1"/>
    <col min="16132" max="16132" width="81.7109375" style="218" customWidth="1"/>
    <col min="16133" max="16133" width="37.140625" style="218" customWidth="1"/>
    <col min="16134" max="16134" width="24.7109375" style="218" customWidth="1"/>
    <col min="16135" max="16135" width="11.7109375" style="218" customWidth="1"/>
    <col min="16136" max="16136" width="12" style="218" bestFit="1" customWidth="1"/>
    <col min="16137" max="16137" width="21.7109375" style="218" customWidth="1"/>
    <col min="16138" max="16384" width="9.140625" style="218"/>
  </cols>
  <sheetData>
    <row r="1" spans="1:10" ht="18" customHeight="1" thickBot="1">
      <c r="A1" s="400" t="s">
        <v>3528</v>
      </c>
      <c r="B1" s="400"/>
      <c r="C1" s="400"/>
      <c r="D1" s="400"/>
      <c r="E1" s="400"/>
      <c r="F1" s="400"/>
      <c r="G1" s="400"/>
      <c r="H1" s="400"/>
    </row>
    <row r="2" spans="1:10" ht="30" customHeight="1" thickTop="1">
      <c r="A2" s="219" t="s">
        <v>262</v>
      </c>
      <c r="B2" s="220" t="s">
        <v>263</v>
      </c>
      <c r="C2" s="220" t="s">
        <v>264</v>
      </c>
      <c r="D2" s="220"/>
      <c r="E2" s="220" t="s">
        <v>266</v>
      </c>
      <c r="F2" s="220" t="s">
        <v>267</v>
      </c>
      <c r="G2" s="220" t="s">
        <v>268</v>
      </c>
      <c r="H2" s="221" t="s">
        <v>269</v>
      </c>
    </row>
    <row r="3" spans="1:10" s="227" customFormat="1" ht="12" customHeight="1" thickBot="1">
      <c r="A3" s="222">
        <v>1</v>
      </c>
      <c r="B3" s="223">
        <v>2</v>
      </c>
      <c r="C3" s="223" t="s">
        <v>3529</v>
      </c>
      <c r="D3" s="223"/>
      <c r="E3" s="224">
        <v>4</v>
      </c>
      <c r="F3" s="225">
        <v>5</v>
      </c>
      <c r="G3" s="225">
        <v>6</v>
      </c>
      <c r="H3" s="226">
        <v>7</v>
      </c>
    </row>
    <row r="4" spans="1:10" s="233" customFormat="1" ht="15" customHeight="1" thickTop="1">
      <c r="A4" s="228">
        <v>1</v>
      </c>
      <c r="B4" s="229">
        <v>19</v>
      </c>
      <c r="C4" s="230" t="s">
        <v>3530</v>
      </c>
      <c r="D4" s="242" t="str">
        <f t="shared" ref="D4:D67" si="0">C4&amp;" ("&amp;B4&amp;")"</f>
        <v>HRVATSKI SABOR (19)</v>
      </c>
      <c r="E4" s="230" t="s">
        <v>3531</v>
      </c>
      <c r="F4" s="230" t="s">
        <v>271</v>
      </c>
      <c r="G4" s="231">
        <v>3205860</v>
      </c>
      <c r="H4" s="232" t="s">
        <v>3532</v>
      </c>
    </row>
    <row r="5" spans="1:10" s="233" customFormat="1" ht="15" customHeight="1">
      <c r="A5" s="228">
        <f>+A4+1</f>
        <v>2</v>
      </c>
      <c r="B5" s="234">
        <v>52321</v>
      </c>
      <c r="C5" s="230" t="s">
        <v>3533</v>
      </c>
      <c r="D5" s="242" t="str">
        <f t="shared" si="0"/>
        <v>POVJERENSTVO ZA FISKALNU POLITIKU (52321)</v>
      </c>
      <c r="E5" s="230" t="s">
        <v>3534</v>
      </c>
      <c r="F5" s="230" t="s">
        <v>271</v>
      </c>
      <c r="G5" s="231">
        <v>5513260</v>
      </c>
      <c r="H5" s="232" t="s">
        <v>3535</v>
      </c>
    </row>
    <row r="6" spans="1:10" s="233" customFormat="1" ht="15" customHeight="1">
      <c r="A6" s="228">
        <f t="shared" ref="A6:A69" si="1">+A5+1</f>
        <v>3</v>
      </c>
      <c r="B6" s="235">
        <v>42434</v>
      </c>
      <c r="C6" s="236" t="s">
        <v>3536</v>
      </c>
      <c r="D6" s="242" t="str">
        <f t="shared" si="0"/>
        <v>DRŽAVNO IZBORNO POVJERENSTVO REPUBLIKE HRVATSKE (42434)</v>
      </c>
      <c r="E6" s="236" t="s">
        <v>3537</v>
      </c>
      <c r="F6" s="236" t="s">
        <v>271</v>
      </c>
      <c r="G6" s="237">
        <v>2197278</v>
      </c>
      <c r="H6" s="238" t="s">
        <v>3538</v>
      </c>
    </row>
    <row r="7" spans="1:10" s="233" customFormat="1" ht="15" customHeight="1">
      <c r="A7" s="228">
        <f t="shared" si="1"/>
        <v>4</v>
      </c>
      <c r="B7" s="235">
        <v>46028</v>
      </c>
      <c r="C7" s="230" t="s">
        <v>3539</v>
      </c>
      <c r="D7" s="242" t="str">
        <f t="shared" si="0"/>
        <v>URED PREDSJEDNICE REPUBLIKE HRVATSKE PO PRESTANKU OBNAŠANJA DUŽNOSTI (46028)</v>
      </c>
      <c r="E7" s="230" t="s">
        <v>3540</v>
      </c>
      <c r="F7" s="230" t="s">
        <v>271</v>
      </c>
      <c r="G7" s="231">
        <v>2611660</v>
      </c>
      <c r="H7" s="232" t="s">
        <v>3541</v>
      </c>
    </row>
    <row r="8" spans="1:10" s="239" customFormat="1" ht="15" customHeight="1">
      <c r="A8" s="228">
        <f t="shared" si="1"/>
        <v>5</v>
      </c>
      <c r="B8" s="235">
        <v>35</v>
      </c>
      <c r="C8" s="230" t="s">
        <v>3542</v>
      </c>
      <c r="D8" s="242" t="str">
        <f t="shared" si="0"/>
        <v>URED PREDSJEDNIKA REPUBLIKE HRVATSKE (35)</v>
      </c>
      <c r="E8" s="230" t="s">
        <v>3543</v>
      </c>
      <c r="F8" s="230" t="s">
        <v>271</v>
      </c>
      <c r="G8" s="231">
        <v>3220346</v>
      </c>
      <c r="H8" s="232" t="s">
        <v>3544</v>
      </c>
      <c r="J8" s="233"/>
    </row>
    <row r="9" spans="1:10" s="233" customFormat="1" ht="15" customHeight="1">
      <c r="A9" s="228">
        <f t="shared" si="1"/>
        <v>6</v>
      </c>
      <c r="B9" s="235">
        <v>6031</v>
      </c>
      <c r="C9" s="230" t="s">
        <v>3545</v>
      </c>
      <c r="D9" s="242" t="str">
        <f t="shared" si="0"/>
        <v>USTAVNI SUD REPUBLIKE HRVATSKE (6031)</v>
      </c>
      <c r="E9" s="230" t="s">
        <v>3546</v>
      </c>
      <c r="F9" s="230" t="s">
        <v>271</v>
      </c>
      <c r="G9" s="231">
        <v>3206084</v>
      </c>
      <c r="H9" s="232" t="s">
        <v>3547</v>
      </c>
    </row>
    <row r="10" spans="1:10" s="233" customFormat="1" ht="15" customHeight="1">
      <c r="A10" s="228">
        <f t="shared" si="1"/>
        <v>7</v>
      </c>
      <c r="B10" s="235">
        <v>20833</v>
      </c>
      <c r="C10" s="230" t="s">
        <v>3548</v>
      </c>
      <c r="D10" s="242" t="str">
        <f t="shared" si="0"/>
        <v>AGENCIJA ZA ZAŠTITU TRŽIŠNOG NATJECANJA (20833)</v>
      </c>
      <c r="E10" s="230" t="s">
        <v>3549</v>
      </c>
      <c r="F10" s="230" t="s">
        <v>271</v>
      </c>
      <c r="G10" s="231">
        <v>1253433</v>
      </c>
      <c r="H10" s="232" t="s">
        <v>3550</v>
      </c>
    </row>
    <row r="11" spans="1:10" s="233" customFormat="1" ht="15" customHeight="1">
      <c r="A11" s="228">
        <f t="shared" si="1"/>
        <v>8</v>
      </c>
      <c r="B11" s="235">
        <v>51</v>
      </c>
      <c r="C11" s="230" t="s">
        <v>3551</v>
      </c>
      <c r="D11" s="242" t="str">
        <f t="shared" si="0"/>
        <v>VLADA REPUBLIKE HRVATSKE (51)</v>
      </c>
      <c r="E11" s="230" t="s">
        <v>3552</v>
      </c>
      <c r="F11" s="230" t="s">
        <v>271</v>
      </c>
      <c r="G11" s="231">
        <v>3205924</v>
      </c>
      <c r="H11" s="232" t="s">
        <v>3553</v>
      </c>
    </row>
    <row r="12" spans="1:10" ht="15" customHeight="1">
      <c r="A12" s="240">
        <f t="shared" si="1"/>
        <v>9</v>
      </c>
      <c r="B12" s="241">
        <v>23753</v>
      </c>
      <c r="C12" s="242" t="s">
        <v>3554</v>
      </c>
      <c r="D12" s="242" t="str">
        <f t="shared" si="0"/>
        <v>URED PREDSJEDNIKA VLADE REPUBLIKE HRVATSKE (23753)</v>
      </c>
      <c r="E12" s="242" t="s">
        <v>3552</v>
      </c>
      <c r="F12" s="242" t="s">
        <v>271</v>
      </c>
      <c r="G12" s="243">
        <v>1676504</v>
      </c>
      <c r="H12" s="244" t="s">
        <v>3555</v>
      </c>
      <c r="J12" s="233"/>
    </row>
    <row r="13" spans="1:10" ht="15" customHeight="1">
      <c r="A13" s="240">
        <f t="shared" si="1"/>
        <v>10</v>
      </c>
      <c r="B13" s="241">
        <v>51386</v>
      </c>
      <c r="C13" s="242" t="s">
        <v>3556</v>
      </c>
      <c r="D13" s="242" t="str">
        <f t="shared" si="0"/>
        <v>URED POTPREDSJEDNIKA VLADE REPUBLIKE HRVATSKE (51386)</v>
      </c>
      <c r="E13" s="242" t="s">
        <v>3552</v>
      </c>
      <c r="F13" s="242" t="s">
        <v>271</v>
      </c>
      <c r="G13" s="243">
        <v>5294584</v>
      </c>
      <c r="H13" s="244" t="s">
        <v>3557</v>
      </c>
      <c r="J13" s="233"/>
    </row>
    <row r="14" spans="1:10" ht="15" customHeight="1">
      <c r="A14" s="240">
        <f t="shared" si="1"/>
        <v>11</v>
      </c>
      <c r="B14" s="241">
        <v>22275</v>
      </c>
      <c r="C14" s="242" t="s">
        <v>3558</v>
      </c>
      <c r="D14" s="242" t="str">
        <f t="shared" si="0"/>
        <v>URED ZA UDRUGE (22275)</v>
      </c>
      <c r="E14" s="242" t="s">
        <v>3559</v>
      </c>
      <c r="F14" s="242" t="s">
        <v>271</v>
      </c>
      <c r="G14" s="243">
        <v>1404113</v>
      </c>
      <c r="H14" s="244" t="s">
        <v>3560</v>
      </c>
      <c r="J14" s="233"/>
    </row>
    <row r="15" spans="1:10" ht="15" customHeight="1">
      <c r="A15" s="240">
        <f t="shared" si="1"/>
        <v>12</v>
      </c>
      <c r="B15" s="241">
        <v>47406</v>
      </c>
      <c r="C15" s="242" t="s">
        <v>3561</v>
      </c>
      <c r="D15" s="242" t="str">
        <f t="shared" si="0"/>
        <v>URED ZASTUPNIKA REPUBLIKE HRVATSKE PRED EUROPSKIM SUDOM ZA LJUDSKA PRAVA  (47406)</v>
      </c>
      <c r="E15" s="242" t="s">
        <v>3562</v>
      </c>
      <c r="F15" s="242" t="s">
        <v>271</v>
      </c>
      <c r="G15" s="243">
        <v>2864851</v>
      </c>
      <c r="H15" s="244" t="s">
        <v>3563</v>
      </c>
      <c r="J15" s="233"/>
    </row>
    <row r="16" spans="1:10" ht="15" customHeight="1">
      <c r="A16" s="240">
        <f t="shared" si="1"/>
        <v>13</v>
      </c>
      <c r="B16" s="241">
        <v>23979</v>
      </c>
      <c r="C16" s="242" t="s">
        <v>3564</v>
      </c>
      <c r="D16" s="242" t="str">
        <f t="shared" si="0"/>
        <v>STRUČNA SLUŽBA SAVJETA ZA NACIONALNE MANJINE (23979)</v>
      </c>
      <c r="E16" s="242" t="s">
        <v>3565</v>
      </c>
      <c r="F16" s="242" t="s">
        <v>271</v>
      </c>
      <c r="G16" s="243">
        <v>1730118</v>
      </c>
      <c r="H16" s="244" t="s">
        <v>3566</v>
      </c>
      <c r="J16" s="233"/>
    </row>
    <row r="17" spans="1:10" ht="15" customHeight="1">
      <c r="A17" s="240">
        <f t="shared" si="1"/>
        <v>14</v>
      </c>
      <c r="B17" s="241">
        <v>115</v>
      </c>
      <c r="C17" s="242" t="s">
        <v>3567</v>
      </c>
      <c r="D17" s="242" t="str">
        <f t="shared" si="0"/>
        <v>URED ZA ZAKONODAVSTVO (115)</v>
      </c>
      <c r="E17" s="242" t="s">
        <v>3552</v>
      </c>
      <c r="F17" s="242" t="s">
        <v>271</v>
      </c>
      <c r="G17" s="243">
        <v>3205959</v>
      </c>
      <c r="H17" s="244" t="s">
        <v>3568</v>
      </c>
      <c r="J17" s="233"/>
    </row>
    <row r="18" spans="1:10" ht="15" customHeight="1">
      <c r="A18" s="240">
        <f t="shared" si="1"/>
        <v>15</v>
      </c>
      <c r="B18" s="241">
        <v>123</v>
      </c>
      <c r="C18" s="242" t="s">
        <v>3569</v>
      </c>
      <c r="D18" s="242" t="str">
        <f t="shared" si="0"/>
        <v>URED ZA OPĆE POSLOVE HRVATSKOG SABORA I VLADE REPUBLIKE HRVATSKE (123)</v>
      </c>
      <c r="E18" s="242" t="s">
        <v>3570</v>
      </c>
      <c r="F18" s="242" t="s">
        <v>271</v>
      </c>
      <c r="G18" s="243">
        <v>3205916</v>
      </c>
      <c r="H18" s="244" t="s">
        <v>3571</v>
      </c>
      <c r="J18" s="233"/>
    </row>
    <row r="19" spans="1:10" ht="15" customHeight="1">
      <c r="A19" s="240">
        <f t="shared" si="1"/>
        <v>16</v>
      </c>
      <c r="B19" s="241">
        <v>23673</v>
      </c>
      <c r="C19" s="242" t="s">
        <v>3572</v>
      </c>
      <c r="D19" s="242" t="str">
        <f t="shared" si="0"/>
        <v>URED ZA PROTOKOL (23673)</v>
      </c>
      <c r="E19" s="242" t="s">
        <v>3552</v>
      </c>
      <c r="F19" s="242" t="s">
        <v>271</v>
      </c>
      <c r="G19" s="243">
        <v>1594478</v>
      </c>
      <c r="H19" s="244" t="s">
        <v>3573</v>
      </c>
      <c r="J19" s="233"/>
    </row>
    <row r="20" spans="1:10" ht="15" customHeight="1">
      <c r="A20" s="240">
        <f t="shared" si="1"/>
        <v>17</v>
      </c>
      <c r="B20" s="241">
        <v>23745</v>
      </c>
      <c r="C20" s="242" t="s">
        <v>3574</v>
      </c>
      <c r="D20" s="242" t="str">
        <f t="shared" si="0"/>
        <v>URED VLADE REPUBLIKE HRVATSKE ZA UNUTARNJU REVIZIJU (23745)</v>
      </c>
      <c r="E20" s="242" t="s">
        <v>3575</v>
      </c>
      <c r="F20" s="242" t="s">
        <v>271</v>
      </c>
      <c r="G20" s="243">
        <v>1654098</v>
      </c>
      <c r="H20" s="244" t="s">
        <v>3576</v>
      </c>
      <c r="J20" s="233"/>
    </row>
    <row r="21" spans="1:10" ht="24">
      <c r="A21" s="240">
        <f t="shared" si="1"/>
        <v>18</v>
      </c>
      <c r="B21" s="241">
        <v>23690</v>
      </c>
      <c r="C21" s="242" t="s">
        <v>3577</v>
      </c>
      <c r="D21" s="242" t="str">
        <f t="shared" si="0"/>
        <v>DIREKCIJA ZA KORIŠTENJE SLUŽBENIH ZRAKOPLOVA (23690)</v>
      </c>
      <c r="E21" s="242" t="s">
        <v>3578</v>
      </c>
      <c r="F21" s="242" t="s">
        <v>3579</v>
      </c>
      <c r="G21" s="243">
        <v>1604686</v>
      </c>
      <c r="H21" s="244" t="s">
        <v>3580</v>
      </c>
      <c r="J21" s="233"/>
    </row>
    <row r="22" spans="1:10" ht="15" customHeight="1">
      <c r="A22" s="240">
        <f t="shared" si="1"/>
        <v>19</v>
      </c>
      <c r="B22" s="241">
        <v>47422</v>
      </c>
      <c r="C22" s="242" t="s">
        <v>3581</v>
      </c>
      <c r="D22" s="242" t="str">
        <f t="shared" si="0"/>
        <v>URED ZA LJUDSKA PRAVA I PRAVA NACIONALNH MANJINA (47422)</v>
      </c>
      <c r="E22" s="242" t="s">
        <v>3565</v>
      </c>
      <c r="F22" s="242" t="s">
        <v>271</v>
      </c>
      <c r="G22" s="243">
        <v>2872781</v>
      </c>
      <c r="H22" s="244" t="s">
        <v>3582</v>
      </c>
      <c r="J22" s="233"/>
    </row>
    <row r="23" spans="1:10" ht="15" customHeight="1">
      <c r="A23" s="240">
        <f t="shared" si="1"/>
        <v>20</v>
      </c>
      <c r="B23" s="241">
        <v>48066</v>
      </c>
      <c r="C23" s="242" t="s">
        <v>3583</v>
      </c>
      <c r="D23" s="242" t="str">
        <f t="shared" si="0"/>
        <v>URED KOMISIJE ZA ODNOSE S VJERSKIM ZAJEDNICAMA (48066)</v>
      </c>
      <c r="E23" s="242" t="s">
        <v>3565</v>
      </c>
      <c r="F23" s="242" t="s">
        <v>271</v>
      </c>
      <c r="G23" s="245" t="s">
        <v>3584</v>
      </c>
      <c r="H23" s="244" t="s">
        <v>3585</v>
      </c>
      <c r="J23" s="233"/>
    </row>
    <row r="24" spans="1:10" ht="15" customHeight="1">
      <c r="A24" s="240">
        <f t="shared" si="1"/>
        <v>21</v>
      </c>
      <c r="B24" s="241">
        <v>24051</v>
      </c>
      <c r="C24" s="242" t="s">
        <v>3586</v>
      </c>
      <c r="D24" s="242" t="str">
        <f t="shared" si="0"/>
        <v>URED ZA RAVNOPRAVNOST SPOLOVA (24051)</v>
      </c>
      <c r="E24" s="242" t="s">
        <v>3565</v>
      </c>
      <c r="F24" s="242" t="s">
        <v>271</v>
      </c>
      <c r="G24" s="243">
        <v>1815342</v>
      </c>
      <c r="H24" s="244" t="s">
        <v>3587</v>
      </c>
      <c r="I24" s="246"/>
      <c r="J24" s="233"/>
    </row>
    <row r="25" spans="1:10" s="233" customFormat="1" ht="15" customHeight="1">
      <c r="A25" s="228">
        <f t="shared" si="1"/>
        <v>22</v>
      </c>
      <c r="B25" s="235">
        <v>20157</v>
      </c>
      <c r="C25" s="230" t="s">
        <v>3588</v>
      </c>
      <c r="D25" s="242" t="str">
        <f t="shared" si="0"/>
        <v>MINISTARSTVO FINANCIJA (20157)</v>
      </c>
      <c r="E25" s="230" t="s">
        <v>3589</v>
      </c>
      <c r="F25" s="230" t="s">
        <v>271</v>
      </c>
      <c r="G25" s="231">
        <v>3205991</v>
      </c>
      <c r="H25" s="232" t="s">
        <v>3590</v>
      </c>
    </row>
    <row r="26" spans="1:10" ht="15" customHeight="1">
      <c r="A26" s="240">
        <f>+A25+1</f>
        <v>23</v>
      </c>
      <c r="B26" s="241">
        <v>43732</v>
      </c>
      <c r="C26" s="242" t="s">
        <v>3591</v>
      </c>
      <c r="D26" s="242" t="str">
        <f t="shared" si="0"/>
        <v>AGENCIJA ZA REVIZIJU SUSTAVA PROVEDBE PROGRAMA EUROPSKE UNIJE (43732)</v>
      </c>
      <c r="E26" s="242" t="s">
        <v>3592</v>
      </c>
      <c r="F26" s="242" t="s">
        <v>271</v>
      </c>
      <c r="G26" s="243">
        <v>2400774</v>
      </c>
      <c r="H26" s="244" t="s">
        <v>3593</v>
      </c>
      <c r="J26" s="233"/>
    </row>
    <row r="27" spans="1:10" ht="15" customHeight="1">
      <c r="A27" s="240">
        <f t="shared" si="1"/>
        <v>24</v>
      </c>
      <c r="B27" s="241">
        <v>49286</v>
      </c>
      <c r="C27" s="242" t="s">
        <v>3594</v>
      </c>
      <c r="D27" s="242" t="str">
        <f t="shared" si="0"/>
        <v>ODBOR ZA STANDARDE FINANCIJSKOG IZVJEŠTAVANJA (49286)</v>
      </c>
      <c r="E27" s="242" t="s">
        <v>3589</v>
      </c>
      <c r="F27" s="242" t="s">
        <v>271</v>
      </c>
      <c r="G27" s="245" t="s">
        <v>3595</v>
      </c>
      <c r="H27" s="244" t="s">
        <v>3596</v>
      </c>
      <c r="J27" s="233"/>
    </row>
    <row r="28" spans="1:10" s="233" customFormat="1" ht="15" customHeight="1">
      <c r="A28" s="228">
        <f t="shared" si="1"/>
        <v>25</v>
      </c>
      <c r="B28" s="235">
        <v>40834</v>
      </c>
      <c r="C28" s="236" t="s">
        <v>3597</v>
      </c>
      <c r="D28" s="242" t="str">
        <f t="shared" si="0"/>
        <v>SIGURNOSNO OBAVJEŠTAJNA AGENCIJA (40834)</v>
      </c>
      <c r="E28" s="236" t="s">
        <v>3598</v>
      </c>
      <c r="F28" s="236" t="s">
        <v>271</v>
      </c>
      <c r="G28" s="237">
        <v>2111004</v>
      </c>
      <c r="H28" s="238" t="s">
        <v>3599</v>
      </c>
    </row>
    <row r="29" spans="1:10" s="233" customFormat="1" ht="15" customHeight="1">
      <c r="A29" s="228">
        <f t="shared" si="1"/>
        <v>26</v>
      </c>
      <c r="B29" s="235">
        <v>47334</v>
      </c>
      <c r="C29" s="236" t="s">
        <v>3600</v>
      </c>
      <c r="D29" s="242" t="str">
        <f t="shared" si="0"/>
        <v>SREDIŠNJI DRŽAVNI URED ZA SREDIŠNJU JAVNU NABAVU (47334)</v>
      </c>
      <c r="E29" s="236" t="s">
        <v>3601</v>
      </c>
      <c r="F29" s="236" t="s">
        <v>271</v>
      </c>
      <c r="G29" s="237">
        <v>2840731</v>
      </c>
      <c r="H29" s="238" t="s">
        <v>3602</v>
      </c>
    </row>
    <row r="30" spans="1:10" s="233" customFormat="1" ht="15" customHeight="1">
      <c r="A30" s="228">
        <f t="shared" si="1"/>
        <v>27</v>
      </c>
      <c r="B30" s="235">
        <v>174</v>
      </c>
      <c r="C30" s="236" t="s">
        <v>3603</v>
      </c>
      <c r="D30" s="242" t="str">
        <f t="shared" si="0"/>
        <v>MINISTARSTVO OBRANE (174)</v>
      </c>
      <c r="E30" s="236" t="s">
        <v>3604</v>
      </c>
      <c r="F30" s="236" t="s">
        <v>271</v>
      </c>
      <c r="G30" s="237">
        <v>3207595</v>
      </c>
      <c r="H30" s="238" t="s">
        <v>3605</v>
      </c>
    </row>
    <row r="31" spans="1:10" s="233" customFormat="1" ht="15" customHeight="1">
      <c r="A31" s="228">
        <f t="shared" si="1"/>
        <v>28</v>
      </c>
      <c r="B31" s="235">
        <v>47439</v>
      </c>
      <c r="C31" s="236" t="s">
        <v>3606</v>
      </c>
      <c r="D31" s="242" t="str">
        <f t="shared" si="0"/>
        <v>SREDIŠNJI DRŽAVNI URED ZA HRVATE IZVAN REPUBLIKE HRVATSKE (47439)</v>
      </c>
      <c r="E31" s="236" t="s">
        <v>3607</v>
      </c>
      <c r="F31" s="236" t="s">
        <v>271</v>
      </c>
      <c r="G31" s="237">
        <v>2875004</v>
      </c>
      <c r="H31" s="238" t="s">
        <v>3608</v>
      </c>
    </row>
    <row r="32" spans="1:10" s="233" customFormat="1" ht="15" customHeight="1">
      <c r="A32" s="240">
        <f t="shared" si="1"/>
        <v>29</v>
      </c>
      <c r="B32" s="241">
        <v>25917</v>
      </c>
      <c r="C32" s="242" t="s">
        <v>3609</v>
      </c>
      <c r="D32" s="242" t="str">
        <f t="shared" si="0"/>
        <v>HRVATSKA MATICA ISELJENIKA (25917)</v>
      </c>
      <c r="E32" s="242" t="s">
        <v>581</v>
      </c>
      <c r="F32" s="242" t="s">
        <v>271</v>
      </c>
      <c r="G32" s="243">
        <v>3277348</v>
      </c>
      <c r="H32" s="244" t="s">
        <v>3610</v>
      </c>
    </row>
    <row r="33" spans="1:10" s="233" customFormat="1" ht="15" customHeight="1">
      <c r="A33" s="228">
        <f t="shared" si="1"/>
        <v>30</v>
      </c>
      <c r="B33" s="235">
        <v>47932</v>
      </c>
      <c r="C33" s="236" t="s">
        <v>3611</v>
      </c>
      <c r="D33" s="242" t="str">
        <f t="shared" si="0"/>
        <v>SREDIŠNJI DRŽAVNI URED ZA OBNOVU I STAMBENO ZBRINJAVANJE  (47932)</v>
      </c>
      <c r="E33" s="236" t="s">
        <v>3612</v>
      </c>
      <c r="F33" s="236" t="s">
        <v>271</v>
      </c>
      <c r="G33" s="237">
        <v>4041186</v>
      </c>
      <c r="H33" s="238" t="s">
        <v>3613</v>
      </c>
    </row>
    <row r="34" spans="1:10" s="233" customFormat="1" ht="15" customHeight="1">
      <c r="A34" s="228">
        <f t="shared" si="1"/>
        <v>31</v>
      </c>
      <c r="B34" s="235">
        <v>49585</v>
      </c>
      <c r="C34" s="236" t="s">
        <v>3614</v>
      </c>
      <c r="D34" s="242" t="str">
        <f t="shared" si="0"/>
        <v>SREDIŠNJI DRŽAVNI URED ZA RAZVOJ DIGITALNOG DRUŠTVA (49585)</v>
      </c>
      <c r="E34" s="236" t="s">
        <v>3601</v>
      </c>
      <c r="F34" s="236" t="s">
        <v>271</v>
      </c>
      <c r="G34" s="247" t="s">
        <v>3615</v>
      </c>
      <c r="H34" s="238" t="s">
        <v>3616</v>
      </c>
    </row>
    <row r="35" spans="1:10" s="233" customFormat="1" ht="15" customHeight="1">
      <c r="A35" s="228">
        <f t="shared" si="1"/>
        <v>32</v>
      </c>
      <c r="B35" s="235">
        <v>51409</v>
      </c>
      <c r="C35" s="236" t="s">
        <v>3617</v>
      </c>
      <c r="D35" s="242" t="str">
        <f t="shared" si="0"/>
        <v>SREDIŠNJI DRŽAVNI URED ZA DEMOGRAFIJU I MLADE (51409)</v>
      </c>
      <c r="E35" s="236" t="s">
        <v>3618</v>
      </c>
      <c r="F35" s="236" t="s">
        <v>271</v>
      </c>
      <c r="G35" s="247">
        <v>5292441</v>
      </c>
      <c r="H35" s="238" t="s">
        <v>3619</v>
      </c>
    </row>
    <row r="36" spans="1:10" s="233" customFormat="1" ht="15" customHeight="1">
      <c r="A36" s="228">
        <f t="shared" si="1"/>
        <v>33</v>
      </c>
      <c r="B36" s="235">
        <v>50985</v>
      </c>
      <c r="C36" s="236" t="s">
        <v>3620</v>
      </c>
      <c r="D36" s="242" t="str">
        <f t="shared" si="0"/>
        <v>HRVATSKA VATROGASNA ZAJEDNICA (50985)</v>
      </c>
      <c r="E36" s="236" t="s">
        <v>3621</v>
      </c>
      <c r="F36" s="236" t="s">
        <v>271</v>
      </c>
      <c r="G36" s="237">
        <v>5205689</v>
      </c>
      <c r="H36" s="238" t="s">
        <v>3622</v>
      </c>
    </row>
    <row r="37" spans="1:10" s="233" customFormat="1" ht="15" customHeight="1">
      <c r="A37" s="240">
        <f t="shared" si="1"/>
        <v>34</v>
      </c>
      <c r="B37" s="241">
        <v>51853</v>
      </c>
      <c r="C37" s="242" t="s">
        <v>3623</v>
      </c>
      <c r="D37" s="242" t="str">
        <f t="shared" si="0"/>
        <v>DRŽAVNA VATROGASNA ŠKOLA (51853)</v>
      </c>
      <c r="E37" s="242" t="s">
        <v>3624</v>
      </c>
      <c r="F37" s="242" t="s">
        <v>271</v>
      </c>
      <c r="G37" s="243">
        <v>5379229</v>
      </c>
      <c r="H37" s="244">
        <v>68850110329</v>
      </c>
    </row>
    <row r="38" spans="1:10" s="233" customFormat="1" ht="15" customHeight="1">
      <c r="A38" s="228">
        <f t="shared" si="1"/>
        <v>35</v>
      </c>
      <c r="B38" s="235">
        <v>713</v>
      </c>
      <c r="C38" s="236" t="s">
        <v>3625</v>
      </c>
      <c r="D38" s="242" t="str">
        <f t="shared" si="0"/>
        <v>MINISTARSTVO UNUTARNJIH POSLOVA (713)</v>
      </c>
      <c r="E38" s="236" t="s">
        <v>3626</v>
      </c>
      <c r="F38" s="236" t="s">
        <v>271</v>
      </c>
      <c r="G38" s="237">
        <v>3281418</v>
      </c>
      <c r="H38" s="238" t="s">
        <v>3627</v>
      </c>
    </row>
    <row r="39" spans="1:10" s="233" customFormat="1" ht="15" customHeight="1">
      <c r="A39" s="228">
        <f t="shared" si="1"/>
        <v>36</v>
      </c>
      <c r="B39" s="235">
        <v>47037</v>
      </c>
      <c r="C39" s="236" t="s">
        <v>3628</v>
      </c>
      <c r="D39" s="242" t="str">
        <f t="shared" si="0"/>
        <v>MINISTARSTVO HRVATSKIH BRANITELJA (47037)</v>
      </c>
      <c r="E39" s="248" t="s">
        <v>3618</v>
      </c>
      <c r="F39" s="236" t="s">
        <v>271</v>
      </c>
      <c r="G39" s="237">
        <v>2829541</v>
      </c>
      <c r="H39" s="238" t="s">
        <v>3629</v>
      </c>
    </row>
    <row r="40" spans="1:10" s="233" customFormat="1" ht="15" customHeight="1">
      <c r="A40" s="240">
        <f t="shared" si="1"/>
        <v>37</v>
      </c>
      <c r="B40" s="241">
        <v>48314</v>
      </c>
      <c r="C40" s="242" t="s">
        <v>3630</v>
      </c>
      <c r="D40" s="242" t="str">
        <f t="shared" si="0"/>
        <v>JAVNA USTANOVA MEMORIJALNI CENTAR DOMOVINSKOG RATA VUKOVAR (48314)</v>
      </c>
      <c r="E40" s="242" t="s">
        <v>3631</v>
      </c>
      <c r="F40" s="242" t="s">
        <v>497</v>
      </c>
      <c r="G40" s="243">
        <v>4140966</v>
      </c>
      <c r="H40" s="244" t="s">
        <v>3632</v>
      </c>
    </row>
    <row r="41" spans="1:10" ht="15" customHeight="1">
      <c r="A41" s="240">
        <f t="shared" si="1"/>
        <v>38</v>
      </c>
      <c r="B41" s="241">
        <v>48710</v>
      </c>
      <c r="C41" s="242" t="s">
        <v>3633</v>
      </c>
      <c r="D41" s="242" t="str">
        <f t="shared" si="0"/>
        <v>DOM HRVATSKIH VETERANA (48710)</v>
      </c>
      <c r="E41" s="242" t="s">
        <v>3634</v>
      </c>
      <c r="F41" s="242" t="s">
        <v>271</v>
      </c>
      <c r="G41" s="243">
        <v>4335635</v>
      </c>
      <c r="H41" s="244" t="s">
        <v>3635</v>
      </c>
      <c r="J41" s="233"/>
    </row>
    <row r="42" spans="1:10" ht="15" customHeight="1">
      <c r="A42" s="240">
        <f t="shared" si="1"/>
        <v>39</v>
      </c>
      <c r="B42" s="241">
        <v>52313</v>
      </c>
      <c r="C42" s="242" t="s">
        <v>3636</v>
      </c>
      <c r="D42" s="242" t="str">
        <f t="shared" si="0"/>
        <v>VETERANSKI CENTAR (52313)</v>
      </c>
      <c r="E42" s="242" t="s">
        <v>3637</v>
      </c>
      <c r="F42" s="242" t="s">
        <v>271</v>
      </c>
      <c r="G42" s="243">
        <v>5475139</v>
      </c>
      <c r="H42" s="244">
        <v>38617796847</v>
      </c>
      <c r="J42" s="233"/>
    </row>
    <row r="43" spans="1:10" s="233" customFormat="1" ht="15" customHeight="1">
      <c r="A43" s="228">
        <f t="shared" si="1"/>
        <v>40</v>
      </c>
      <c r="B43" s="235">
        <v>721</v>
      </c>
      <c r="C43" s="236" t="s">
        <v>3638</v>
      </c>
      <c r="D43" s="242" t="str">
        <f t="shared" si="0"/>
        <v>MINISTARSTVO VANJSKIH I EUROPSKIH POSLOVA (721)</v>
      </c>
      <c r="E43" s="236" t="s">
        <v>3639</v>
      </c>
      <c r="F43" s="236" t="s">
        <v>271</v>
      </c>
      <c r="G43" s="237">
        <v>3230040</v>
      </c>
      <c r="H43" s="238" t="s">
        <v>3640</v>
      </c>
    </row>
    <row r="44" spans="1:10" s="233" customFormat="1" ht="15" customHeight="1">
      <c r="A44" s="228">
        <f t="shared" si="1"/>
        <v>41</v>
      </c>
      <c r="B44" s="235">
        <v>47852</v>
      </c>
      <c r="C44" s="236" t="s">
        <v>3641</v>
      </c>
      <c r="D44" s="242" t="str">
        <f t="shared" si="0"/>
        <v>POVJERENSTVO ZA ODLUČIVANJE O SUKOBU INTERESA (47852)</v>
      </c>
      <c r="E44" s="236" t="s">
        <v>3642</v>
      </c>
      <c r="F44" s="236" t="s">
        <v>271</v>
      </c>
      <c r="G44" s="237">
        <v>1850113</v>
      </c>
      <c r="H44" s="238" t="s">
        <v>3643</v>
      </c>
    </row>
    <row r="45" spans="1:10" s="233" customFormat="1" ht="15.75" customHeight="1">
      <c r="A45" s="228">
        <f t="shared" si="1"/>
        <v>42</v>
      </c>
      <c r="B45" s="235">
        <v>756</v>
      </c>
      <c r="C45" s="236" t="s">
        <v>3644</v>
      </c>
      <c r="D45" s="242" t="str">
        <f t="shared" si="0"/>
        <v>MINISTARSTVO KULTURE I MEDIJA (756)</v>
      </c>
      <c r="E45" s="236" t="s">
        <v>3645</v>
      </c>
      <c r="F45" s="236" t="s">
        <v>271</v>
      </c>
      <c r="G45" s="237">
        <v>931608</v>
      </c>
      <c r="H45" s="238" t="s">
        <v>3646</v>
      </c>
    </row>
    <row r="46" spans="1:10" s="233" customFormat="1" ht="15" customHeight="1">
      <c r="A46" s="240">
        <f t="shared" si="1"/>
        <v>43</v>
      </c>
      <c r="B46" s="241">
        <v>789</v>
      </c>
      <c r="C46" s="242" t="s">
        <v>3647</v>
      </c>
      <c r="D46" s="242" t="str">
        <f t="shared" si="0"/>
        <v>DRŽAVNI ARHIV U BJELOVARU (789)</v>
      </c>
      <c r="E46" s="242" t="s">
        <v>3648</v>
      </c>
      <c r="F46" s="242" t="s">
        <v>3649</v>
      </c>
      <c r="G46" s="243">
        <v>3316734</v>
      </c>
      <c r="H46" s="244" t="s">
        <v>3650</v>
      </c>
    </row>
    <row r="47" spans="1:10" s="233" customFormat="1" ht="15" customHeight="1">
      <c r="A47" s="240">
        <f t="shared" si="1"/>
        <v>44</v>
      </c>
      <c r="B47" s="241">
        <v>797</v>
      </c>
      <c r="C47" s="242" t="s">
        <v>3651</v>
      </c>
      <c r="D47" s="242" t="str">
        <f t="shared" si="0"/>
        <v>DRŽAVNI ARHIV U DUBROVNIKU (797)</v>
      </c>
      <c r="E47" s="242" t="s">
        <v>3652</v>
      </c>
      <c r="F47" s="242" t="s">
        <v>309</v>
      </c>
      <c r="G47" s="243">
        <v>3303870</v>
      </c>
      <c r="H47" s="244" t="s">
        <v>3653</v>
      </c>
    </row>
    <row r="48" spans="1:10" s="233" customFormat="1" ht="15" customHeight="1">
      <c r="A48" s="240">
        <f t="shared" si="1"/>
        <v>45</v>
      </c>
      <c r="B48" s="241">
        <v>23577</v>
      </c>
      <c r="C48" s="242" t="s">
        <v>3654</v>
      </c>
      <c r="D48" s="242" t="str">
        <f t="shared" si="0"/>
        <v>DRŽAVNI ARHIV U GOSPIĆU (23577)</v>
      </c>
      <c r="E48" s="242" t="s">
        <v>3655</v>
      </c>
      <c r="F48" s="242" t="s">
        <v>505</v>
      </c>
      <c r="G48" s="243">
        <v>1475444</v>
      </c>
      <c r="H48" s="244" t="s">
        <v>3656</v>
      </c>
    </row>
    <row r="49" spans="1:8" s="233" customFormat="1" ht="15" customHeight="1">
      <c r="A49" s="240">
        <f t="shared" si="1"/>
        <v>46</v>
      </c>
      <c r="B49" s="241">
        <v>801</v>
      </c>
      <c r="C49" s="242" t="s">
        <v>3657</v>
      </c>
      <c r="D49" s="242" t="str">
        <f t="shared" si="0"/>
        <v>DRŽAVNI ARHIV U KARLOVCU (801)</v>
      </c>
      <c r="E49" s="242" t="s">
        <v>3658</v>
      </c>
      <c r="F49" s="242" t="s">
        <v>509</v>
      </c>
      <c r="G49" s="243">
        <v>3123367</v>
      </c>
      <c r="H49" s="244" t="s">
        <v>3659</v>
      </c>
    </row>
    <row r="50" spans="1:8" s="233" customFormat="1" ht="15" customHeight="1">
      <c r="A50" s="240">
        <f t="shared" si="1"/>
        <v>47</v>
      </c>
      <c r="B50" s="241">
        <v>810</v>
      </c>
      <c r="C50" s="242" t="s">
        <v>3660</v>
      </c>
      <c r="D50" s="242" t="str">
        <f t="shared" si="0"/>
        <v>DRŽAVNI ARHIV U OSIJEKU (810)</v>
      </c>
      <c r="E50" s="242" t="s">
        <v>3661</v>
      </c>
      <c r="F50" s="242" t="s">
        <v>274</v>
      </c>
      <c r="G50" s="243">
        <v>3014223</v>
      </c>
      <c r="H50" s="244" t="s">
        <v>3662</v>
      </c>
    </row>
    <row r="51" spans="1:8" s="233" customFormat="1" ht="15" customHeight="1">
      <c r="A51" s="240">
        <f t="shared" si="1"/>
        <v>48</v>
      </c>
      <c r="B51" s="241">
        <v>828</v>
      </c>
      <c r="C51" s="242" t="s">
        <v>3663</v>
      </c>
      <c r="D51" s="242" t="str">
        <f t="shared" si="0"/>
        <v>DRŽAVNI ARHIV U PAZINU (828)</v>
      </c>
      <c r="E51" s="242" t="s">
        <v>3664</v>
      </c>
      <c r="F51" s="242" t="s">
        <v>3665</v>
      </c>
      <c r="G51" s="243">
        <v>3089240</v>
      </c>
      <c r="H51" s="244" t="s">
        <v>3666</v>
      </c>
    </row>
    <row r="52" spans="1:8" s="233" customFormat="1" ht="15" customHeight="1">
      <c r="A52" s="240">
        <f t="shared" si="1"/>
        <v>49</v>
      </c>
      <c r="B52" s="241">
        <v>836</v>
      </c>
      <c r="C52" s="242" t="s">
        <v>3667</v>
      </c>
      <c r="D52" s="242" t="str">
        <f t="shared" si="0"/>
        <v>DRŽAVNI ARHIV U RIJECI (836)</v>
      </c>
      <c r="E52" s="242" t="s">
        <v>3668</v>
      </c>
      <c r="F52" s="242" t="s">
        <v>316</v>
      </c>
      <c r="G52" s="243">
        <v>3321088</v>
      </c>
      <c r="H52" s="244" t="s">
        <v>3669</v>
      </c>
    </row>
    <row r="53" spans="1:8" s="233" customFormat="1" ht="15" customHeight="1">
      <c r="A53" s="240">
        <f t="shared" si="1"/>
        <v>50</v>
      </c>
      <c r="B53" s="241">
        <v>844</v>
      </c>
      <c r="C53" s="242" t="s">
        <v>3670</v>
      </c>
      <c r="D53" s="242" t="str">
        <f t="shared" si="0"/>
        <v>DRŽAVNI ARHIV U SISKU (844)</v>
      </c>
      <c r="E53" s="242" t="s">
        <v>3671</v>
      </c>
      <c r="F53" s="242" t="s">
        <v>1719</v>
      </c>
      <c r="G53" s="243">
        <v>3313824</v>
      </c>
      <c r="H53" s="244" t="s">
        <v>3672</v>
      </c>
    </row>
    <row r="54" spans="1:8" s="233" customFormat="1" ht="15" customHeight="1">
      <c r="A54" s="240">
        <f t="shared" si="1"/>
        <v>51</v>
      </c>
      <c r="B54" s="241">
        <v>852</v>
      </c>
      <c r="C54" s="242" t="s">
        <v>3673</v>
      </c>
      <c r="D54" s="242" t="str">
        <f t="shared" si="0"/>
        <v>DRŽAVNI ARHIV U SLAVONSKOM BRODU (852)</v>
      </c>
      <c r="E54" s="242" t="s">
        <v>3674</v>
      </c>
      <c r="F54" s="242" t="s">
        <v>1764</v>
      </c>
      <c r="G54" s="243">
        <v>3071162</v>
      </c>
      <c r="H54" s="244" t="s">
        <v>3675</v>
      </c>
    </row>
    <row r="55" spans="1:8" s="233" customFormat="1" ht="15" customHeight="1">
      <c r="A55" s="240">
        <f t="shared" si="1"/>
        <v>52</v>
      </c>
      <c r="B55" s="241">
        <v>869</v>
      </c>
      <c r="C55" s="242" t="s">
        <v>3676</v>
      </c>
      <c r="D55" s="242" t="str">
        <f t="shared" si="0"/>
        <v>DRŽAVNI ARHIV U SPLITU (869)</v>
      </c>
      <c r="E55" s="242" t="s">
        <v>3677</v>
      </c>
      <c r="F55" s="242" t="s">
        <v>356</v>
      </c>
      <c r="G55" s="243">
        <v>3118452</v>
      </c>
      <c r="H55" s="244" t="s">
        <v>3678</v>
      </c>
    </row>
    <row r="56" spans="1:8" s="233" customFormat="1" ht="15" customHeight="1">
      <c r="A56" s="240">
        <f t="shared" si="1"/>
        <v>53</v>
      </c>
      <c r="B56" s="241">
        <v>43915</v>
      </c>
      <c r="C56" s="242" t="s">
        <v>3679</v>
      </c>
      <c r="D56" s="242" t="str">
        <f t="shared" si="0"/>
        <v>DRŽAVNI ARHIV U ŠIBENIKU (43915)</v>
      </c>
      <c r="E56" s="242" t="s">
        <v>3680</v>
      </c>
      <c r="F56" s="242" t="s">
        <v>520</v>
      </c>
      <c r="G56" s="243">
        <v>2435411</v>
      </c>
      <c r="H56" s="244" t="s">
        <v>3681</v>
      </c>
    </row>
    <row r="57" spans="1:8" s="233" customFormat="1" ht="15" customHeight="1">
      <c r="A57" s="240">
        <f t="shared" si="1"/>
        <v>54</v>
      </c>
      <c r="B57" s="241">
        <v>877</v>
      </c>
      <c r="C57" s="242" t="s">
        <v>3682</v>
      </c>
      <c r="D57" s="242" t="str">
        <f t="shared" si="0"/>
        <v>DRŽAVNI ARHIV U VARAŽDINU (877)</v>
      </c>
      <c r="E57" s="242" t="s">
        <v>3683</v>
      </c>
      <c r="F57" s="242" t="s">
        <v>441</v>
      </c>
      <c r="G57" s="243">
        <v>3006166</v>
      </c>
      <c r="H57" s="244" t="s">
        <v>3684</v>
      </c>
    </row>
    <row r="58" spans="1:8" s="233" customFormat="1" ht="15" customHeight="1">
      <c r="A58" s="240">
        <f t="shared" si="1"/>
        <v>55</v>
      </c>
      <c r="B58" s="241">
        <v>44493</v>
      </c>
      <c r="C58" s="242" t="s">
        <v>3685</v>
      </c>
      <c r="D58" s="242" t="str">
        <f t="shared" si="0"/>
        <v>DRŽAVNI ARHIV U VIROVITICI  (44493)</v>
      </c>
      <c r="E58" s="242" t="s">
        <v>3686</v>
      </c>
      <c r="F58" s="242" t="s">
        <v>523</v>
      </c>
      <c r="G58" s="243">
        <v>2494841</v>
      </c>
      <c r="H58" s="244" t="s">
        <v>3687</v>
      </c>
    </row>
    <row r="59" spans="1:8" s="233" customFormat="1" ht="15" customHeight="1">
      <c r="A59" s="240">
        <f t="shared" si="1"/>
        <v>56</v>
      </c>
      <c r="B59" s="241">
        <v>43636</v>
      </c>
      <c r="C59" s="242" t="s">
        <v>3688</v>
      </c>
      <c r="D59" s="242" t="str">
        <f t="shared" si="0"/>
        <v>DRŽAVNI ARHIV U VUKOVARU  (43636)</v>
      </c>
      <c r="E59" s="242" t="s">
        <v>3689</v>
      </c>
      <c r="F59" s="242" t="s">
        <v>497</v>
      </c>
      <c r="G59" s="243">
        <v>2334712</v>
      </c>
      <c r="H59" s="244" t="s">
        <v>3690</v>
      </c>
    </row>
    <row r="60" spans="1:8" s="233" customFormat="1" ht="15" customHeight="1">
      <c r="A60" s="240">
        <f t="shared" si="1"/>
        <v>57</v>
      </c>
      <c r="B60" s="241">
        <v>885</v>
      </c>
      <c r="C60" s="242" t="s">
        <v>3691</v>
      </c>
      <c r="D60" s="242" t="str">
        <f t="shared" si="0"/>
        <v>DRŽAVNI ARHIV U ZADRU (885)</v>
      </c>
      <c r="E60" s="242" t="s">
        <v>3692</v>
      </c>
      <c r="F60" s="242" t="s">
        <v>312</v>
      </c>
      <c r="G60" s="243">
        <v>3142019</v>
      </c>
      <c r="H60" s="244" t="s">
        <v>3693</v>
      </c>
    </row>
    <row r="61" spans="1:8" s="233" customFormat="1" ht="15" customHeight="1">
      <c r="A61" s="240">
        <f t="shared" si="1"/>
        <v>58</v>
      </c>
      <c r="B61" s="241">
        <v>893</v>
      </c>
      <c r="C61" s="242" t="s">
        <v>3694</v>
      </c>
      <c r="D61" s="242" t="str">
        <f t="shared" si="0"/>
        <v>DRŽAVNI ARHIV U ZAGREBU (893)</v>
      </c>
      <c r="E61" s="242" t="s">
        <v>3695</v>
      </c>
      <c r="F61" s="242" t="s">
        <v>271</v>
      </c>
      <c r="G61" s="243">
        <v>3224953</v>
      </c>
      <c r="H61" s="244" t="s">
        <v>3696</v>
      </c>
    </row>
    <row r="62" spans="1:8" s="233" customFormat="1" ht="15" customHeight="1">
      <c r="A62" s="240">
        <f t="shared" si="1"/>
        <v>59</v>
      </c>
      <c r="B62" s="241">
        <v>43644</v>
      </c>
      <c r="C62" s="242" t="s">
        <v>3697</v>
      </c>
      <c r="D62" s="242" t="str">
        <f t="shared" si="0"/>
        <v>DRŽAVNI ARHIV ZA MEĐIMURJE  (43644)</v>
      </c>
      <c r="E62" s="242" t="s">
        <v>3698</v>
      </c>
      <c r="F62" s="242" t="s">
        <v>3699</v>
      </c>
      <c r="G62" s="243">
        <v>2326086</v>
      </c>
      <c r="H62" s="244" t="s">
        <v>3700</v>
      </c>
    </row>
    <row r="63" spans="1:8" s="233" customFormat="1" ht="15" customHeight="1">
      <c r="A63" s="240">
        <f t="shared" si="1"/>
        <v>60</v>
      </c>
      <c r="B63" s="241">
        <v>764</v>
      </c>
      <c r="C63" s="242" t="s">
        <v>3701</v>
      </c>
      <c r="D63" s="242" t="str">
        <f t="shared" si="0"/>
        <v>HRVATSKI DRŽAVNI ARHIV (764)</v>
      </c>
      <c r="E63" s="242" t="s">
        <v>3702</v>
      </c>
      <c r="F63" s="242" t="s">
        <v>271</v>
      </c>
      <c r="G63" s="243">
        <v>3205380</v>
      </c>
      <c r="H63" s="244" t="s">
        <v>3703</v>
      </c>
    </row>
    <row r="64" spans="1:8" s="233" customFormat="1" ht="15" customHeight="1">
      <c r="A64" s="240">
        <f t="shared" si="1"/>
        <v>61</v>
      </c>
      <c r="B64" s="241">
        <v>40623</v>
      </c>
      <c r="C64" s="242" t="s">
        <v>3704</v>
      </c>
      <c r="D64" s="242" t="str">
        <f t="shared" si="0"/>
        <v>HRVATSKI MEMORIJALNO-DOKUMENTACIJSKI CENTAR DOMOVINSKOGA RATA (40623)</v>
      </c>
      <c r="E64" s="242" t="s">
        <v>3705</v>
      </c>
      <c r="F64" s="242" t="s">
        <v>271</v>
      </c>
      <c r="G64" s="243">
        <v>1909592</v>
      </c>
      <c r="H64" s="244" t="s">
        <v>3706</v>
      </c>
    </row>
    <row r="65" spans="1:8" s="233" customFormat="1" ht="15" customHeight="1">
      <c r="A65" s="240">
        <f t="shared" si="1"/>
        <v>62</v>
      </c>
      <c r="B65" s="241">
        <v>924</v>
      </c>
      <c r="C65" s="242" t="s">
        <v>3707</v>
      </c>
      <c r="D65" s="242" t="str">
        <f t="shared" si="0"/>
        <v>ARHEOLOŠKI MUZEJ ISTRE (924)</v>
      </c>
      <c r="E65" s="242" t="s">
        <v>3708</v>
      </c>
      <c r="F65" s="242" t="s">
        <v>302</v>
      </c>
      <c r="G65" s="243">
        <v>3203727</v>
      </c>
      <c r="H65" s="244" t="s">
        <v>3709</v>
      </c>
    </row>
    <row r="66" spans="1:8" s="233" customFormat="1" ht="15" customHeight="1">
      <c r="A66" s="240">
        <f t="shared" si="1"/>
        <v>63</v>
      </c>
      <c r="B66" s="241">
        <v>40631</v>
      </c>
      <c r="C66" s="242" t="s">
        <v>3710</v>
      </c>
      <c r="D66" s="242" t="str">
        <f t="shared" si="0"/>
        <v>ARHEOLOŠKI MUZEJ NARONA (40631)</v>
      </c>
      <c r="E66" s="242" t="s">
        <v>3711</v>
      </c>
      <c r="F66" s="242" t="s">
        <v>3712</v>
      </c>
      <c r="G66" s="243">
        <v>2071061</v>
      </c>
      <c r="H66" s="244" t="s">
        <v>3713</v>
      </c>
    </row>
    <row r="67" spans="1:8" s="233" customFormat="1" ht="15" customHeight="1">
      <c r="A67" s="240">
        <f t="shared" si="1"/>
        <v>64</v>
      </c>
      <c r="B67" s="241">
        <v>50090</v>
      </c>
      <c r="C67" s="242" t="s">
        <v>3714</v>
      </c>
      <c r="D67" s="242" t="str">
        <f t="shared" si="0"/>
        <v>ARHEOLOŠKI MUZEJ OSIJEK (50090)</v>
      </c>
      <c r="E67" s="242" t="s">
        <v>3715</v>
      </c>
      <c r="F67" s="242" t="s">
        <v>274</v>
      </c>
      <c r="G67" s="243">
        <v>4857283</v>
      </c>
      <c r="H67" s="244" t="s">
        <v>3716</v>
      </c>
    </row>
    <row r="68" spans="1:8" s="233" customFormat="1" ht="15" customHeight="1">
      <c r="A68" s="240">
        <f t="shared" si="1"/>
        <v>65</v>
      </c>
      <c r="B68" s="241">
        <v>908</v>
      </c>
      <c r="C68" s="242" t="s">
        <v>3717</v>
      </c>
      <c r="D68" s="242" t="str">
        <f t="shared" ref="D68:D131" si="2">C68&amp;" ("&amp;B68&amp;")"</f>
        <v>ARHEOLOŠKI MUZEJ U SPLITU (908)</v>
      </c>
      <c r="E68" s="242" t="s">
        <v>3718</v>
      </c>
      <c r="F68" s="242" t="s">
        <v>356</v>
      </c>
      <c r="G68" s="243">
        <v>3118380</v>
      </c>
      <c r="H68" s="244" t="s">
        <v>3719</v>
      </c>
    </row>
    <row r="69" spans="1:8" s="233" customFormat="1" ht="15" customHeight="1">
      <c r="A69" s="240">
        <f t="shared" si="1"/>
        <v>66</v>
      </c>
      <c r="B69" s="241">
        <v>916</v>
      </c>
      <c r="C69" s="242" t="s">
        <v>3720</v>
      </c>
      <c r="D69" s="242" t="str">
        <f t="shared" si="2"/>
        <v>ARHEOLOŠKI MUZEJ ZADAR (916)</v>
      </c>
      <c r="E69" s="242" t="s">
        <v>3721</v>
      </c>
      <c r="F69" s="242" t="s">
        <v>3722</v>
      </c>
      <c r="G69" s="243">
        <v>3132170</v>
      </c>
      <c r="H69" s="244" t="s">
        <v>3723</v>
      </c>
    </row>
    <row r="70" spans="1:8" s="233" customFormat="1" ht="15" customHeight="1">
      <c r="A70" s="240">
        <f t="shared" ref="A70:A121" si="3">+A69+1</f>
        <v>67</v>
      </c>
      <c r="B70" s="241">
        <v>932</v>
      </c>
      <c r="C70" s="242" t="s">
        <v>3724</v>
      </c>
      <c r="D70" s="242" t="str">
        <f t="shared" si="2"/>
        <v>DVOR TRAKOŠČAN (932)</v>
      </c>
      <c r="E70" s="242" t="s">
        <v>3725</v>
      </c>
      <c r="F70" s="242" t="s">
        <v>3726</v>
      </c>
      <c r="G70" s="243">
        <v>3125483</v>
      </c>
      <c r="H70" s="244" t="s">
        <v>3727</v>
      </c>
    </row>
    <row r="71" spans="1:8" s="233" customFormat="1" ht="15" customHeight="1">
      <c r="A71" s="240">
        <f t="shared" si="3"/>
        <v>68</v>
      </c>
      <c r="B71" s="241">
        <v>22242</v>
      </c>
      <c r="C71" s="249" t="s">
        <v>3728</v>
      </c>
      <c r="D71" s="242" t="str">
        <f t="shared" si="2"/>
        <v>GALERIJA KLOVIĆEVI DVORI (22242)</v>
      </c>
      <c r="E71" s="249" t="s">
        <v>3729</v>
      </c>
      <c r="F71" s="249" t="s">
        <v>271</v>
      </c>
      <c r="G71" s="250">
        <v>1426672</v>
      </c>
      <c r="H71" s="244" t="s">
        <v>3730</v>
      </c>
    </row>
    <row r="72" spans="1:8" s="233" customFormat="1" ht="15" customHeight="1">
      <c r="A72" s="240">
        <f t="shared" si="3"/>
        <v>69</v>
      </c>
      <c r="B72" s="241">
        <v>6146</v>
      </c>
      <c r="C72" s="242" t="s">
        <v>3731</v>
      </c>
      <c r="D72" s="242" t="str">
        <f t="shared" si="2"/>
        <v>HRVATSKI MUZEJ NAIVNE UMJETNOSTI (6146)</v>
      </c>
      <c r="E72" s="242" t="s">
        <v>3732</v>
      </c>
      <c r="F72" s="242" t="s">
        <v>271</v>
      </c>
      <c r="G72" s="243">
        <v>738751</v>
      </c>
      <c r="H72" s="244" t="s">
        <v>3733</v>
      </c>
    </row>
    <row r="73" spans="1:8" s="233" customFormat="1" ht="15" customHeight="1">
      <c r="A73" s="240">
        <f t="shared" si="3"/>
        <v>70</v>
      </c>
      <c r="B73" s="241">
        <v>43907</v>
      </c>
      <c r="C73" s="242" t="s">
        <v>3734</v>
      </c>
      <c r="D73" s="242" t="str">
        <f t="shared" si="2"/>
        <v>HRVATSKI MUZEJ TURIZMA (43907)</v>
      </c>
      <c r="E73" s="242" t="s">
        <v>3735</v>
      </c>
      <c r="F73" s="242" t="s">
        <v>326</v>
      </c>
      <c r="G73" s="243">
        <v>2298651</v>
      </c>
      <c r="H73" s="244" t="s">
        <v>3736</v>
      </c>
    </row>
    <row r="74" spans="1:8" s="233" customFormat="1" ht="15" customHeight="1">
      <c r="A74" s="240">
        <f t="shared" si="3"/>
        <v>71</v>
      </c>
      <c r="B74" s="241">
        <v>965</v>
      </c>
      <c r="C74" s="242" t="s">
        <v>3737</v>
      </c>
      <c r="D74" s="242" t="str">
        <f t="shared" si="2"/>
        <v>HRVATSKI POVIJESNI MUZEJ (965)</v>
      </c>
      <c r="E74" s="242" t="s">
        <v>3738</v>
      </c>
      <c r="F74" s="242" t="s">
        <v>271</v>
      </c>
      <c r="G74" s="243">
        <v>3212084</v>
      </c>
      <c r="H74" s="244" t="s">
        <v>3739</v>
      </c>
    </row>
    <row r="75" spans="1:8" s="233" customFormat="1" ht="15" customHeight="1">
      <c r="A75" s="240">
        <f t="shared" si="3"/>
        <v>72</v>
      </c>
      <c r="B75" s="241">
        <v>40682</v>
      </c>
      <c r="C75" s="242" t="s">
        <v>3740</v>
      </c>
      <c r="D75" s="242" t="str">
        <f t="shared" si="2"/>
        <v>HRVATSKI ŠPORTSKI MUZEJ (40682)</v>
      </c>
      <c r="E75" s="251" t="s">
        <v>3741</v>
      </c>
      <c r="F75" s="242" t="s">
        <v>271</v>
      </c>
      <c r="G75" s="250">
        <v>1783815</v>
      </c>
      <c r="H75" s="244" t="s">
        <v>3742</v>
      </c>
    </row>
    <row r="76" spans="1:8" s="233" customFormat="1" ht="15" customHeight="1">
      <c r="A76" s="240">
        <f t="shared" si="3"/>
        <v>73</v>
      </c>
      <c r="B76" s="241">
        <v>23593</v>
      </c>
      <c r="C76" s="242" t="s">
        <v>3743</v>
      </c>
      <c r="D76" s="242" t="str">
        <f t="shared" si="2"/>
        <v>J. U. SPOMEN PODRUČJE JASENOVAC (23593)</v>
      </c>
      <c r="E76" s="242" t="s">
        <v>3744</v>
      </c>
      <c r="F76" s="242" t="s">
        <v>3745</v>
      </c>
      <c r="G76" s="243">
        <v>3201678</v>
      </c>
      <c r="H76" s="244" t="s">
        <v>3746</v>
      </c>
    </row>
    <row r="77" spans="1:8" s="233" customFormat="1" ht="15" customHeight="1">
      <c r="A77" s="240">
        <f t="shared" si="3"/>
        <v>74</v>
      </c>
      <c r="B77" s="241">
        <v>22347</v>
      </c>
      <c r="C77" s="242" t="s">
        <v>3747</v>
      </c>
      <c r="D77" s="242" t="str">
        <f t="shared" si="2"/>
        <v>J. U. ZBIRKA UMJETNINA ANTE I WILTRUDE TOPIĆ MIMARA  (22347)</v>
      </c>
      <c r="E77" s="242" t="s">
        <v>3748</v>
      </c>
      <c r="F77" s="242" t="s">
        <v>271</v>
      </c>
      <c r="G77" s="243">
        <v>1425684</v>
      </c>
      <c r="H77" s="244" t="s">
        <v>3749</v>
      </c>
    </row>
    <row r="78" spans="1:8" s="233" customFormat="1" ht="15" customHeight="1">
      <c r="A78" s="240">
        <f t="shared" si="3"/>
        <v>75</v>
      </c>
      <c r="B78" s="241">
        <v>973</v>
      </c>
      <c r="C78" s="242" t="s">
        <v>3750</v>
      </c>
      <c r="D78" s="242" t="str">
        <f t="shared" si="2"/>
        <v>MODERNA GALERIJA (973)</v>
      </c>
      <c r="E78" s="242" t="s">
        <v>3751</v>
      </c>
      <c r="F78" s="242" t="s">
        <v>271</v>
      </c>
      <c r="G78" s="243">
        <v>3205240</v>
      </c>
      <c r="H78" s="244" t="s">
        <v>3752</v>
      </c>
    </row>
    <row r="79" spans="1:8" s="233" customFormat="1" ht="15" customHeight="1">
      <c r="A79" s="240">
        <f t="shared" si="3"/>
        <v>76</v>
      </c>
      <c r="B79" s="241">
        <v>42112</v>
      </c>
      <c r="C79" s="242" t="s">
        <v>3753</v>
      </c>
      <c r="D79" s="242" t="str">
        <f t="shared" si="2"/>
        <v>MUZEJ ANTIČKOG STAKLA ZADAR (42112)</v>
      </c>
      <c r="E79" s="242" t="s">
        <v>3754</v>
      </c>
      <c r="F79" s="242" t="s">
        <v>312</v>
      </c>
      <c r="G79" s="243">
        <v>2106698</v>
      </c>
      <c r="H79" s="244" t="s">
        <v>3755</v>
      </c>
    </row>
    <row r="80" spans="1:8" s="233" customFormat="1" ht="15" customHeight="1">
      <c r="A80" s="240">
        <f t="shared" si="3"/>
        <v>77</v>
      </c>
      <c r="B80" s="241">
        <v>990</v>
      </c>
      <c r="C80" s="242" t="s">
        <v>3756</v>
      </c>
      <c r="D80" s="242" t="str">
        <f t="shared" si="2"/>
        <v>MUZEJ HRVATSKIH ARHEOLOŠKIH SPOMENIKA SPLIT (990)</v>
      </c>
      <c r="E80" s="242" t="s">
        <v>3757</v>
      </c>
      <c r="F80" s="242" t="s">
        <v>356</v>
      </c>
      <c r="G80" s="243">
        <v>3119904</v>
      </c>
      <c r="H80" s="244" t="s">
        <v>3758</v>
      </c>
    </row>
    <row r="81" spans="1:10" s="233" customFormat="1" ht="15" customHeight="1">
      <c r="A81" s="240">
        <f t="shared" si="3"/>
        <v>78</v>
      </c>
      <c r="B81" s="241">
        <v>1011</v>
      </c>
      <c r="C81" s="242" t="s">
        <v>3759</v>
      </c>
      <c r="D81" s="242" t="str">
        <f t="shared" si="2"/>
        <v>MUZEJ HRVATSKOG ZAGORJA (1011)</v>
      </c>
      <c r="E81" s="242" t="s">
        <v>3760</v>
      </c>
      <c r="F81" s="242" t="s">
        <v>3761</v>
      </c>
      <c r="G81" s="243">
        <v>207349</v>
      </c>
      <c r="H81" s="244" t="s">
        <v>3762</v>
      </c>
    </row>
    <row r="82" spans="1:10" s="233" customFormat="1" ht="15" customHeight="1">
      <c r="A82" s="240">
        <f t="shared" si="3"/>
        <v>79</v>
      </c>
      <c r="B82" s="241">
        <v>1003</v>
      </c>
      <c r="C82" s="242" t="s">
        <v>3763</v>
      </c>
      <c r="D82" s="242" t="str">
        <f t="shared" si="2"/>
        <v>MUZEJ SLAVONIJE OSIJEK (1003)</v>
      </c>
      <c r="E82" s="242" t="s">
        <v>3764</v>
      </c>
      <c r="F82" s="242" t="s">
        <v>274</v>
      </c>
      <c r="G82" s="243">
        <v>3014207</v>
      </c>
      <c r="H82" s="244" t="s">
        <v>3765</v>
      </c>
    </row>
    <row r="83" spans="1:10" s="233" customFormat="1" ht="15" customHeight="1">
      <c r="A83" s="240">
        <f t="shared" si="3"/>
        <v>80</v>
      </c>
      <c r="B83" s="241">
        <v>47908</v>
      </c>
      <c r="C83" s="242" t="s">
        <v>3766</v>
      </c>
      <c r="D83" s="242" t="str">
        <f t="shared" si="2"/>
        <v>MUZEJ VUČEDOLSKE KULTURE (47908)</v>
      </c>
      <c r="E83" s="242" t="s">
        <v>3767</v>
      </c>
      <c r="F83" s="242" t="s">
        <v>497</v>
      </c>
      <c r="G83" s="243">
        <v>4016408</v>
      </c>
      <c r="H83" s="244" t="s">
        <v>3768</v>
      </c>
    </row>
    <row r="84" spans="1:10" s="233" customFormat="1" ht="15" customHeight="1">
      <c r="A84" s="240">
        <f t="shared" si="3"/>
        <v>81</v>
      </c>
      <c r="B84" s="241">
        <v>949</v>
      </c>
      <c r="C84" s="242" t="s">
        <v>3769</v>
      </c>
      <c r="D84" s="242" t="str">
        <f t="shared" si="2"/>
        <v>MUZEJI IVANA MEŠTROVIĆA  (949)</v>
      </c>
      <c r="E84" s="242" t="s">
        <v>3770</v>
      </c>
      <c r="F84" s="242" t="s">
        <v>356</v>
      </c>
      <c r="G84" s="243">
        <v>3751783</v>
      </c>
      <c r="H84" s="244" t="s">
        <v>3771</v>
      </c>
    </row>
    <row r="85" spans="1:10" s="233" customFormat="1" ht="15" customHeight="1">
      <c r="A85" s="240">
        <f t="shared" si="3"/>
        <v>82</v>
      </c>
      <c r="B85" s="241">
        <v>1020</v>
      </c>
      <c r="C85" s="242" t="s">
        <v>3772</v>
      </c>
      <c r="D85" s="242" t="str">
        <f t="shared" si="2"/>
        <v>MUZEJSKI DOKUMENTACIJSKI CENTAR (1020)</v>
      </c>
      <c r="E85" s="242" t="s">
        <v>3773</v>
      </c>
      <c r="F85" s="242" t="s">
        <v>271</v>
      </c>
      <c r="G85" s="243">
        <v>3205258</v>
      </c>
      <c r="H85" s="244" t="s">
        <v>3774</v>
      </c>
    </row>
    <row r="86" spans="1:10" s="233" customFormat="1" ht="15" customHeight="1">
      <c r="A86" s="240">
        <f t="shared" si="3"/>
        <v>83</v>
      </c>
      <c r="B86" s="241">
        <v>1038</v>
      </c>
      <c r="C86" s="242" t="s">
        <v>3775</v>
      </c>
      <c r="D86" s="242" t="str">
        <f t="shared" si="2"/>
        <v>TIFLOLOŠKI MUZEJ (1038)</v>
      </c>
      <c r="E86" s="242" t="s">
        <v>3776</v>
      </c>
      <c r="F86" s="242" t="s">
        <v>271</v>
      </c>
      <c r="G86" s="243">
        <v>3270564</v>
      </c>
      <c r="H86" s="244" t="s">
        <v>3777</v>
      </c>
    </row>
    <row r="87" spans="1:10" s="239" customFormat="1" ht="15" customHeight="1">
      <c r="A87" s="240">
        <f t="shared" si="3"/>
        <v>84</v>
      </c>
      <c r="B87" s="241">
        <v>49075</v>
      </c>
      <c r="C87" s="242" t="s">
        <v>3778</v>
      </c>
      <c r="D87" s="242" t="str">
        <f t="shared" si="2"/>
        <v>AGENCIJA ZA ELEKTRONIČKE MEDIJE (49075)</v>
      </c>
      <c r="E87" s="242" t="s">
        <v>3779</v>
      </c>
      <c r="F87" s="242" t="s">
        <v>271</v>
      </c>
      <c r="G87" s="245" t="s">
        <v>3780</v>
      </c>
      <c r="H87" s="244" t="s">
        <v>3781</v>
      </c>
      <c r="J87" s="233"/>
    </row>
    <row r="88" spans="1:10" ht="15" customHeight="1">
      <c r="A88" s="240">
        <f t="shared" si="3"/>
        <v>85</v>
      </c>
      <c r="B88" s="241">
        <v>1046</v>
      </c>
      <c r="C88" s="242" t="s">
        <v>3782</v>
      </c>
      <c r="D88" s="242" t="str">
        <f t="shared" si="2"/>
        <v>ANSAMBL LADO (1046)</v>
      </c>
      <c r="E88" s="242" t="s">
        <v>3783</v>
      </c>
      <c r="F88" s="242" t="s">
        <v>271</v>
      </c>
      <c r="G88" s="243">
        <v>3213862</v>
      </c>
      <c r="H88" s="244" t="s">
        <v>3784</v>
      </c>
      <c r="J88" s="233"/>
    </row>
    <row r="89" spans="1:10" ht="15" customHeight="1">
      <c r="A89" s="240">
        <f t="shared" si="3"/>
        <v>86</v>
      </c>
      <c r="B89" s="241">
        <v>23585</v>
      </c>
      <c r="C89" s="242" t="s">
        <v>3785</v>
      </c>
      <c r="D89" s="242" t="str">
        <f t="shared" si="2"/>
        <v>HRVATSKA KNJIŽNICA ZA SLIJEPE (23585)</v>
      </c>
      <c r="E89" s="242" t="s">
        <v>3786</v>
      </c>
      <c r="F89" s="242" t="s">
        <v>271</v>
      </c>
      <c r="G89" s="243">
        <v>1494449</v>
      </c>
      <c r="H89" s="244" t="s">
        <v>3787</v>
      </c>
      <c r="J89" s="233"/>
    </row>
    <row r="90" spans="1:10" ht="15" customHeight="1">
      <c r="A90" s="240">
        <f t="shared" si="3"/>
        <v>87</v>
      </c>
      <c r="B90" s="241">
        <v>44926</v>
      </c>
      <c r="C90" s="242" t="s">
        <v>3788</v>
      </c>
      <c r="D90" s="242" t="str">
        <f t="shared" si="2"/>
        <v>HRVATSKI AUDIOVIZUALNI CENTAR (44926)</v>
      </c>
      <c r="E90" s="242" t="s">
        <v>3789</v>
      </c>
      <c r="F90" s="242" t="s">
        <v>271</v>
      </c>
      <c r="G90" s="243">
        <v>2275341</v>
      </c>
      <c r="H90" s="244" t="s">
        <v>3790</v>
      </c>
      <c r="J90" s="233"/>
    </row>
    <row r="91" spans="1:10" ht="15" customHeight="1">
      <c r="A91" s="240">
        <f t="shared" si="3"/>
        <v>88</v>
      </c>
      <c r="B91" s="241">
        <v>22339</v>
      </c>
      <c r="C91" s="242" t="s">
        <v>3791</v>
      </c>
      <c r="D91" s="242" t="str">
        <f t="shared" si="2"/>
        <v>HRVATSKI RESTAURATORSKI ZAVOD (22339)</v>
      </c>
      <c r="E91" s="242" t="s">
        <v>3792</v>
      </c>
      <c r="F91" s="242" t="s">
        <v>271</v>
      </c>
      <c r="G91" s="243">
        <v>1250795</v>
      </c>
      <c r="H91" s="244" t="s">
        <v>3793</v>
      </c>
      <c r="J91" s="233"/>
    </row>
    <row r="92" spans="1:10" ht="15" customHeight="1">
      <c r="A92" s="240">
        <f t="shared" si="3"/>
        <v>89</v>
      </c>
      <c r="B92" s="241">
        <v>25878</v>
      </c>
      <c r="C92" s="242" t="s">
        <v>3794</v>
      </c>
      <c r="D92" s="242" t="str">
        <f t="shared" si="2"/>
        <v>HRVATSKO NARODNO KAZALIŠTE (25878)</v>
      </c>
      <c r="E92" s="242" t="s">
        <v>3795</v>
      </c>
      <c r="F92" s="242" t="s">
        <v>271</v>
      </c>
      <c r="G92" s="243">
        <v>3205479</v>
      </c>
      <c r="H92" s="244" t="s">
        <v>3796</v>
      </c>
      <c r="J92" s="233"/>
    </row>
    <row r="93" spans="1:10" ht="15" customHeight="1">
      <c r="A93" s="240">
        <f t="shared" si="3"/>
        <v>90</v>
      </c>
      <c r="B93" s="241">
        <v>45189</v>
      </c>
      <c r="C93" s="242" t="s">
        <v>3797</v>
      </c>
      <c r="D93" s="242" t="str">
        <f t="shared" si="2"/>
        <v>MEĐUNARODNI CENTAR ZA PODVODNU ARHEOLOGIJU (45189)</v>
      </c>
      <c r="E93" s="242" t="s">
        <v>3798</v>
      </c>
      <c r="F93" s="242" t="s">
        <v>312</v>
      </c>
      <c r="G93" s="243">
        <v>2479184</v>
      </c>
      <c r="H93" s="244" t="s">
        <v>3799</v>
      </c>
      <c r="J93" s="233"/>
    </row>
    <row r="94" spans="1:10" s="233" customFormat="1" ht="15" customHeight="1">
      <c r="A94" s="228">
        <f t="shared" si="3"/>
        <v>91</v>
      </c>
      <c r="B94" s="235">
        <v>1079</v>
      </c>
      <c r="C94" s="236" t="s">
        <v>3800</v>
      </c>
      <c r="D94" s="242" t="str">
        <f t="shared" si="2"/>
        <v>MINISTARSTVO POLJOPRIVREDE (1079)</v>
      </c>
      <c r="E94" s="236" t="s">
        <v>604</v>
      </c>
      <c r="F94" s="236" t="s">
        <v>271</v>
      </c>
      <c r="G94" s="237">
        <v>3271005</v>
      </c>
      <c r="H94" s="238" t="s">
        <v>3801</v>
      </c>
    </row>
    <row r="95" spans="1:10" ht="15" customHeight="1">
      <c r="A95" s="240">
        <f t="shared" si="3"/>
        <v>92</v>
      </c>
      <c r="B95" s="241">
        <v>45927</v>
      </c>
      <c r="C95" s="242" t="s">
        <v>3802</v>
      </c>
      <c r="D95" s="242" t="str">
        <f t="shared" si="2"/>
        <v>AGENCIJA ZA PLAĆANJA U POLJOPRIVREDI, RIBARSTVU I RURALNOM RAZVOJU (45927)</v>
      </c>
      <c r="E95" s="242" t="s">
        <v>3803</v>
      </c>
      <c r="F95" s="252" t="s">
        <v>271</v>
      </c>
      <c r="G95" s="243">
        <v>2593262</v>
      </c>
      <c r="H95" s="244" t="s">
        <v>3804</v>
      </c>
      <c r="J95" s="233"/>
    </row>
    <row r="96" spans="1:10" ht="15" customHeight="1">
      <c r="A96" s="240">
        <f t="shared" si="3"/>
        <v>93</v>
      </c>
      <c r="B96" s="241">
        <v>44565</v>
      </c>
      <c r="C96" s="242" t="s">
        <v>3805</v>
      </c>
      <c r="D96" s="242" t="str">
        <f t="shared" si="2"/>
        <v>HRVATSKA AGENCIJA ZA POLJOPRIVREDU I HRANU (44565)</v>
      </c>
      <c r="E96" s="252" t="s">
        <v>3806</v>
      </c>
      <c r="F96" s="252" t="s">
        <v>274</v>
      </c>
      <c r="G96" s="243">
        <v>2528614</v>
      </c>
      <c r="H96" s="244" t="s">
        <v>3807</v>
      </c>
      <c r="J96" s="233"/>
    </row>
    <row r="97" spans="1:10" ht="15" customHeight="1">
      <c r="A97" s="240">
        <f t="shared" si="3"/>
        <v>94</v>
      </c>
      <c r="B97" s="241">
        <v>48103</v>
      </c>
      <c r="C97" s="242" t="s">
        <v>3808</v>
      </c>
      <c r="D97" s="242" t="str">
        <f t="shared" si="2"/>
        <v>DRŽAVNA ERGELA ĐAKOVO I LIPIK (48103)</v>
      </c>
      <c r="E97" s="252" t="s">
        <v>3809</v>
      </c>
      <c r="F97" s="252" t="s">
        <v>295</v>
      </c>
      <c r="G97" s="243">
        <v>2725029</v>
      </c>
      <c r="H97" s="244" t="s">
        <v>3810</v>
      </c>
      <c r="J97" s="233"/>
    </row>
    <row r="98" spans="1:10" s="233" customFormat="1" ht="15" customHeight="1">
      <c r="A98" s="228">
        <f t="shared" si="3"/>
        <v>95</v>
      </c>
      <c r="B98" s="235">
        <v>47123</v>
      </c>
      <c r="C98" s="236" t="s">
        <v>3811</v>
      </c>
      <c r="D98" s="242" t="str">
        <f t="shared" si="2"/>
        <v>MINISTARSTVO REGIONALNOG RAZVOJA I FONDOVA EUROPSKE UNIJE  (47123)</v>
      </c>
      <c r="E98" s="236" t="s">
        <v>3812</v>
      </c>
      <c r="F98" s="236" t="s">
        <v>271</v>
      </c>
      <c r="G98" s="237">
        <v>2830442</v>
      </c>
      <c r="H98" s="238" t="s">
        <v>3813</v>
      </c>
    </row>
    <row r="99" spans="1:10" ht="15" customHeight="1">
      <c r="A99" s="240">
        <f t="shared" si="3"/>
        <v>96</v>
      </c>
      <c r="B99" s="241">
        <v>46366</v>
      </c>
      <c r="C99" s="242" t="s">
        <v>3814</v>
      </c>
      <c r="D99" s="242" t="str">
        <f t="shared" si="2"/>
        <v>FOND ZA OBNOVU I RAZVOJ GRADA VUKOVARA (46366)</v>
      </c>
      <c r="E99" s="242" t="s">
        <v>3815</v>
      </c>
      <c r="F99" s="242" t="s">
        <v>497</v>
      </c>
      <c r="G99" s="243">
        <v>1606492</v>
      </c>
      <c r="H99" s="244" t="s">
        <v>3816</v>
      </c>
      <c r="J99" s="233"/>
    </row>
    <row r="100" spans="1:10" ht="15" customHeight="1">
      <c r="A100" s="240">
        <f t="shared" si="3"/>
        <v>97</v>
      </c>
      <c r="B100" s="241">
        <v>43255</v>
      </c>
      <c r="C100" s="242" t="s">
        <v>3817</v>
      </c>
      <c r="D100" s="242" t="str">
        <f t="shared" si="2"/>
        <v>SREDIŠNJA AGENCIJA ZA FINANCIRANJE I UGOVARANJE PROGRAMA I PROJEKATA EU (43255)</v>
      </c>
      <c r="E100" s="242" t="s">
        <v>3818</v>
      </c>
      <c r="F100" s="242" t="s">
        <v>271</v>
      </c>
      <c r="G100" s="243">
        <v>2288028</v>
      </c>
      <c r="H100" s="244" t="s">
        <v>3819</v>
      </c>
      <c r="J100" s="233"/>
    </row>
    <row r="101" spans="1:10" s="233" customFormat="1" ht="15" customHeight="1">
      <c r="A101" s="228">
        <f t="shared" si="3"/>
        <v>98</v>
      </c>
      <c r="B101" s="235">
        <v>1087</v>
      </c>
      <c r="C101" s="236" t="s">
        <v>3820</v>
      </c>
      <c r="D101" s="242" t="str">
        <f t="shared" si="2"/>
        <v>MINISTARSTVO MORA, PROMETA I INFRASTRUKTURE (1087)</v>
      </c>
      <c r="E101" s="236" t="s">
        <v>3821</v>
      </c>
      <c r="F101" s="236" t="s">
        <v>271</v>
      </c>
      <c r="G101" s="237">
        <v>3277097</v>
      </c>
      <c r="H101" s="238" t="s">
        <v>3822</v>
      </c>
    </row>
    <row r="102" spans="1:10" ht="15" customHeight="1">
      <c r="A102" s="240">
        <f t="shared" si="3"/>
        <v>99</v>
      </c>
      <c r="B102" s="241">
        <v>41546</v>
      </c>
      <c r="C102" s="242" t="s">
        <v>3823</v>
      </c>
      <c r="D102" s="242" t="str">
        <f t="shared" si="2"/>
        <v>AGENCIJA ZA OBALNI LINIJSKI POMORSKI PROMET (41546)</v>
      </c>
      <c r="E102" s="242" t="s">
        <v>3824</v>
      </c>
      <c r="F102" s="242" t="s">
        <v>356</v>
      </c>
      <c r="G102" s="243">
        <v>2097958</v>
      </c>
      <c r="H102" s="244" t="s">
        <v>3825</v>
      </c>
      <c r="J102" s="233"/>
    </row>
    <row r="103" spans="1:10" ht="15" customHeight="1">
      <c r="A103" s="240">
        <f t="shared" si="3"/>
        <v>100</v>
      </c>
      <c r="B103" s="241">
        <v>48031</v>
      </c>
      <c r="C103" s="242" t="s">
        <v>3826</v>
      </c>
      <c r="D103" s="242" t="str">
        <f t="shared" si="2"/>
        <v>AGENCIJA ZA ISTRAŽIVANJE NESREĆA U ZRAČNOM, POMORSKOM I ŽELJEZNIČKOM PROMETU (48031)</v>
      </c>
      <c r="E103" s="242" t="s">
        <v>3827</v>
      </c>
      <c r="F103" s="242" t="s">
        <v>271</v>
      </c>
      <c r="G103" s="245" t="s">
        <v>3828</v>
      </c>
      <c r="H103" s="244" t="s">
        <v>3829</v>
      </c>
      <c r="J103" s="233"/>
    </row>
    <row r="104" spans="1:10" ht="15" customHeight="1">
      <c r="A104" s="240">
        <f t="shared" si="3"/>
        <v>101</v>
      </c>
      <c r="B104" s="241">
        <v>45228</v>
      </c>
      <c r="C104" s="242" t="s">
        <v>3830</v>
      </c>
      <c r="D104" s="242" t="str">
        <f t="shared" si="2"/>
        <v>AGENCIJA ZA SIGURNOST ŽELJEZNIČKOG PROMETA (45228)</v>
      </c>
      <c r="E104" s="242" t="s">
        <v>3831</v>
      </c>
      <c r="F104" s="242" t="s">
        <v>271</v>
      </c>
      <c r="G104" s="243">
        <v>2559633</v>
      </c>
      <c r="H104" s="244" t="s">
        <v>3832</v>
      </c>
      <c r="J104" s="233"/>
    </row>
    <row r="105" spans="1:10" s="239" customFormat="1" ht="15" customHeight="1">
      <c r="A105" s="240">
        <f t="shared" si="3"/>
        <v>102</v>
      </c>
      <c r="B105" s="241">
        <v>49083</v>
      </c>
      <c r="C105" s="242" t="s">
        <v>3833</v>
      </c>
      <c r="D105" s="242" t="str">
        <f t="shared" si="2"/>
        <v>HRVATSKA AGENCIJA ZA CIVILNO ZRAKOPLOVSTVO (49083)</v>
      </c>
      <c r="E105" s="242" t="s">
        <v>3818</v>
      </c>
      <c r="F105" s="242" t="s">
        <v>271</v>
      </c>
      <c r="G105" s="245" t="s">
        <v>3834</v>
      </c>
      <c r="H105" s="244" t="s">
        <v>3835</v>
      </c>
      <c r="J105" s="233"/>
    </row>
    <row r="106" spans="1:10" ht="15" customHeight="1">
      <c r="A106" s="240">
        <f t="shared" si="3"/>
        <v>103</v>
      </c>
      <c r="B106" s="241">
        <v>6066</v>
      </c>
      <c r="C106" s="242" t="s">
        <v>3836</v>
      </c>
      <c r="D106" s="242" t="str">
        <f t="shared" si="2"/>
        <v>HRVATSKI HIDROGRAFSKI INSTITUT (6066)</v>
      </c>
      <c r="E106" s="242" t="s">
        <v>3837</v>
      </c>
      <c r="F106" s="242" t="s">
        <v>356</v>
      </c>
      <c r="G106" s="243">
        <v>3878724</v>
      </c>
      <c r="H106" s="244" t="s">
        <v>3838</v>
      </c>
      <c r="J106" s="233"/>
    </row>
    <row r="107" spans="1:10" ht="15" customHeight="1">
      <c r="A107" s="240">
        <f t="shared" si="3"/>
        <v>104</v>
      </c>
      <c r="B107" s="241">
        <v>45902</v>
      </c>
      <c r="C107" s="242" t="s">
        <v>3839</v>
      </c>
      <c r="D107" s="242" t="str">
        <f t="shared" si="2"/>
        <v>HRVATSKA REGULATORNA AGENCIJA ZA MREŽNE DJELATNOSTI (45902)</v>
      </c>
      <c r="E107" s="242" t="s">
        <v>3840</v>
      </c>
      <c r="F107" s="242" t="s">
        <v>3841</v>
      </c>
      <c r="G107" s="245">
        <v>1865862</v>
      </c>
      <c r="H107" s="244" t="s">
        <v>3842</v>
      </c>
      <c r="J107" s="233"/>
    </row>
    <row r="108" spans="1:10" ht="15" customHeight="1">
      <c r="A108" s="240">
        <f t="shared" si="3"/>
        <v>105</v>
      </c>
      <c r="B108" s="241">
        <v>51255</v>
      </c>
      <c r="C108" s="242" t="s">
        <v>3843</v>
      </c>
      <c r="D108" s="242" t="str">
        <f t="shared" si="2"/>
        <v>JAVNA USTANOVA LUČKA UPRAVA SISAK (51255)</v>
      </c>
      <c r="E108" s="253" t="s">
        <v>3844</v>
      </c>
      <c r="F108" s="253" t="s">
        <v>1719</v>
      </c>
      <c r="G108" s="254" t="s">
        <v>3845</v>
      </c>
      <c r="H108" s="244" t="s">
        <v>3846</v>
      </c>
      <c r="J108" s="233"/>
    </row>
    <row r="109" spans="1:10" ht="15" customHeight="1">
      <c r="A109" s="240">
        <f t="shared" si="3"/>
        <v>106</v>
      </c>
      <c r="B109" s="241">
        <v>51263</v>
      </c>
      <c r="C109" s="242" t="s">
        <v>3847</v>
      </c>
      <c r="D109" s="242" t="str">
        <f t="shared" si="2"/>
        <v>JAVNA USTANOVA LUČKA UPRAVA SLAVONSKI BROD (51263)</v>
      </c>
      <c r="E109" s="253" t="s">
        <v>3848</v>
      </c>
      <c r="F109" s="253" t="s">
        <v>1764</v>
      </c>
      <c r="G109" s="254" t="s">
        <v>3849</v>
      </c>
      <c r="H109" s="244" t="s">
        <v>3850</v>
      </c>
      <c r="J109" s="233"/>
    </row>
    <row r="110" spans="1:10" ht="15" customHeight="1">
      <c r="A110" s="240">
        <f t="shared" si="3"/>
        <v>107</v>
      </c>
      <c r="B110" s="241">
        <v>51343</v>
      </c>
      <c r="C110" s="242" t="s">
        <v>3851</v>
      </c>
      <c r="D110" s="242" t="str">
        <f t="shared" si="2"/>
        <v>LUČKA UPRAVA DUBROVNIK (51343)</v>
      </c>
      <c r="E110" s="242" t="s">
        <v>3852</v>
      </c>
      <c r="F110" s="242" t="s">
        <v>309</v>
      </c>
      <c r="G110" s="245" t="s">
        <v>3853</v>
      </c>
      <c r="H110" s="244" t="s">
        <v>3854</v>
      </c>
      <c r="J110" s="233"/>
    </row>
    <row r="111" spans="1:10" ht="15" customHeight="1">
      <c r="A111" s="240">
        <f t="shared" si="3"/>
        <v>108</v>
      </c>
      <c r="B111" s="241">
        <v>51319</v>
      </c>
      <c r="C111" s="242" t="s">
        <v>3855</v>
      </c>
      <c r="D111" s="242" t="str">
        <f t="shared" si="2"/>
        <v>LUČKA UPRAVA OSIJEK (51319)</v>
      </c>
      <c r="E111" s="242" t="s">
        <v>3856</v>
      </c>
      <c r="F111" s="242" t="s">
        <v>274</v>
      </c>
      <c r="G111" s="245" t="s">
        <v>3857</v>
      </c>
      <c r="H111" s="244" t="s">
        <v>3858</v>
      </c>
      <c r="J111" s="233"/>
    </row>
    <row r="112" spans="1:10" ht="15" customHeight="1">
      <c r="A112" s="240">
        <f t="shared" si="3"/>
        <v>109</v>
      </c>
      <c r="B112" s="241">
        <v>51298</v>
      </c>
      <c r="C112" s="242" t="s">
        <v>3859</v>
      </c>
      <c r="D112" s="242" t="str">
        <f t="shared" si="2"/>
        <v>LUČKA UPRAVA PLOČE (51298)</v>
      </c>
      <c r="E112" s="242" t="s">
        <v>3860</v>
      </c>
      <c r="F112" s="242" t="s">
        <v>3861</v>
      </c>
      <c r="G112" s="245" t="s">
        <v>3862</v>
      </c>
      <c r="H112" s="244" t="s">
        <v>3863</v>
      </c>
      <c r="J112" s="233"/>
    </row>
    <row r="113" spans="1:10" ht="15" customHeight="1">
      <c r="A113" s="240">
        <f t="shared" si="3"/>
        <v>110</v>
      </c>
      <c r="B113" s="241">
        <v>51302</v>
      </c>
      <c r="C113" s="242" t="s">
        <v>3864</v>
      </c>
      <c r="D113" s="242" t="str">
        <f t="shared" si="2"/>
        <v>LUČKA UPRAVA RIJEKA (51302)</v>
      </c>
      <c r="E113" s="242" t="s">
        <v>3865</v>
      </c>
      <c r="F113" s="242" t="s">
        <v>316</v>
      </c>
      <c r="G113" s="245" t="s">
        <v>3866</v>
      </c>
      <c r="H113" s="244" t="s">
        <v>3867</v>
      </c>
      <c r="J113" s="233"/>
    </row>
    <row r="114" spans="1:10" ht="15" customHeight="1">
      <c r="A114" s="240">
        <f t="shared" si="3"/>
        <v>111</v>
      </c>
      <c r="B114" s="241">
        <v>51327</v>
      </c>
      <c r="C114" s="253" t="s">
        <v>3868</v>
      </c>
      <c r="D114" s="242" t="str">
        <f t="shared" si="2"/>
        <v>LUČKA UPRAVA SPLIT (51327)</v>
      </c>
      <c r="E114" s="253" t="s">
        <v>3869</v>
      </c>
      <c r="F114" s="253" t="s">
        <v>356</v>
      </c>
      <c r="G114" s="255" t="s">
        <v>3870</v>
      </c>
      <c r="H114" s="244" t="s">
        <v>3871</v>
      </c>
      <c r="J114" s="233"/>
    </row>
    <row r="115" spans="1:10" ht="15" customHeight="1">
      <c r="A115" s="240">
        <f t="shared" si="3"/>
        <v>112</v>
      </c>
      <c r="B115" s="241">
        <v>51335</v>
      </c>
      <c r="C115" s="253" t="s">
        <v>3872</v>
      </c>
      <c r="D115" s="242" t="str">
        <f t="shared" si="2"/>
        <v>LUČKA UPRAVA ŠIBENIK (51335)</v>
      </c>
      <c r="E115" s="253" t="s">
        <v>3873</v>
      </c>
      <c r="F115" s="253" t="s">
        <v>520</v>
      </c>
      <c r="G115" s="255" t="s">
        <v>3874</v>
      </c>
      <c r="H115" s="244" t="s">
        <v>3875</v>
      </c>
      <c r="J115" s="233"/>
    </row>
    <row r="116" spans="1:10" ht="15" customHeight="1">
      <c r="A116" s="240">
        <f t="shared" si="3"/>
        <v>113</v>
      </c>
      <c r="B116" s="241">
        <v>51280</v>
      </c>
      <c r="C116" s="242" t="s">
        <v>3876</v>
      </c>
      <c r="D116" s="242" t="str">
        <f t="shared" si="2"/>
        <v>LUČKA UPRAVA VUKOVAR (51280)</v>
      </c>
      <c r="E116" s="242" t="s">
        <v>3877</v>
      </c>
      <c r="F116" s="242" t="s">
        <v>497</v>
      </c>
      <c r="G116" s="245" t="s">
        <v>3878</v>
      </c>
      <c r="H116" s="244" t="s">
        <v>3879</v>
      </c>
      <c r="J116" s="233"/>
    </row>
    <row r="117" spans="1:10" ht="15" customHeight="1">
      <c r="A117" s="240">
        <f t="shared" si="3"/>
        <v>114</v>
      </c>
      <c r="B117" s="241">
        <v>51271</v>
      </c>
      <c r="C117" s="242" t="s">
        <v>3880</v>
      </c>
      <c r="D117" s="242" t="str">
        <f t="shared" si="2"/>
        <v>LUČKA UPRAVA ZADAR (51271)</v>
      </c>
      <c r="E117" s="242" t="s">
        <v>3881</v>
      </c>
      <c r="F117" s="242" t="s">
        <v>312</v>
      </c>
      <c r="G117" s="245" t="s">
        <v>3882</v>
      </c>
      <c r="H117" s="244" t="s">
        <v>3883</v>
      </c>
      <c r="J117" s="233"/>
    </row>
    <row r="118" spans="1:10" s="233" customFormat="1" ht="15" customHeight="1">
      <c r="A118" s="228">
        <f t="shared" si="3"/>
        <v>115</v>
      </c>
      <c r="B118" s="235">
        <v>47061</v>
      </c>
      <c r="C118" s="236" t="s">
        <v>3884</v>
      </c>
      <c r="D118" s="242" t="str">
        <f t="shared" si="2"/>
        <v>MINISTARSTVO PROSTORNOGA UREĐENJA, GRADITELJSTVA I DRŽAVNE IMOVINE (47061)</v>
      </c>
      <c r="E118" s="236" t="s">
        <v>3885</v>
      </c>
      <c r="F118" s="236" t="s">
        <v>271</v>
      </c>
      <c r="G118" s="237">
        <v>2831317</v>
      </c>
      <c r="H118" s="238" t="s">
        <v>3886</v>
      </c>
    </row>
    <row r="119" spans="1:10" ht="15" customHeight="1">
      <c r="A119" s="240">
        <f t="shared" si="3"/>
        <v>116</v>
      </c>
      <c r="B119" s="241">
        <v>22058</v>
      </c>
      <c r="C119" s="242" t="s">
        <v>3887</v>
      </c>
      <c r="D119" s="242" t="str">
        <f t="shared" si="2"/>
        <v>AGENCIJA ZA PRAVNI PROMET I POSREDOVANJE NEKRETNINAMA (22058)</v>
      </c>
      <c r="E119" s="242" t="s">
        <v>3888</v>
      </c>
      <c r="F119" s="242" t="s">
        <v>271</v>
      </c>
      <c r="G119" s="243">
        <v>1294164</v>
      </c>
      <c r="H119" s="244" t="s">
        <v>3889</v>
      </c>
      <c r="J119" s="233"/>
    </row>
    <row r="120" spans="1:10" ht="15" customHeight="1">
      <c r="A120" s="240">
        <f t="shared" si="3"/>
        <v>117</v>
      </c>
      <c r="B120" s="241">
        <v>6120</v>
      </c>
      <c r="C120" s="242" t="s">
        <v>3890</v>
      </c>
      <c r="D120" s="242" t="str">
        <f t="shared" si="2"/>
        <v>DRŽAVNA GEODETSKA UPRAVA (6120)</v>
      </c>
      <c r="E120" s="242" t="s">
        <v>3891</v>
      </c>
      <c r="F120" s="242" t="s">
        <v>271</v>
      </c>
      <c r="G120" s="243">
        <v>936693</v>
      </c>
      <c r="H120" s="244" t="s">
        <v>3892</v>
      </c>
      <c r="J120" s="233"/>
    </row>
    <row r="121" spans="1:10" ht="24">
      <c r="A121" s="240">
        <f t="shared" si="3"/>
        <v>118</v>
      </c>
      <c r="B121" s="241">
        <v>51724</v>
      </c>
      <c r="C121" s="242" t="s">
        <v>3893</v>
      </c>
      <c r="D121" s="242" t="str">
        <f t="shared" si="2"/>
        <v>FOND ZA OBNOVU GRADA ZAGREBA, KRAPINSKO-ZAGORSKE ŽUPANIJE I ZAGREBAČKE ŽUPANIJE (51724)</v>
      </c>
      <c r="E121" s="242" t="s">
        <v>3894</v>
      </c>
      <c r="F121" s="242" t="s">
        <v>271</v>
      </c>
      <c r="G121" s="243">
        <v>5332494</v>
      </c>
      <c r="H121" s="244" t="s">
        <v>3895</v>
      </c>
      <c r="J121" s="233"/>
    </row>
    <row r="122" spans="1:10" s="233" customFormat="1" ht="15" customHeight="1">
      <c r="A122" s="228">
        <f>+A121+1</f>
        <v>119</v>
      </c>
      <c r="B122" s="235">
        <v>47053</v>
      </c>
      <c r="C122" s="236" t="s">
        <v>3896</v>
      </c>
      <c r="D122" s="242" t="str">
        <f t="shared" si="2"/>
        <v>MINISTARSTVO GOSPODARSTVA I ODRŽIVOG RAZVOJA (47053)</v>
      </c>
      <c r="E122" s="236" t="s">
        <v>3897</v>
      </c>
      <c r="F122" s="236" t="s">
        <v>271</v>
      </c>
      <c r="G122" s="237">
        <v>2831309</v>
      </c>
      <c r="H122" s="238" t="s">
        <v>3898</v>
      </c>
    </row>
    <row r="123" spans="1:10" ht="15" customHeight="1">
      <c r="A123" s="240">
        <f t="shared" ref="A123:A186" si="4">+A122+1</f>
        <v>120</v>
      </c>
      <c r="B123" s="241">
        <v>22162</v>
      </c>
      <c r="C123" s="242" t="s">
        <v>3899</v>
      </c>
      <c r="D123" s="242" t="str">
        <f t="shared" si="2"/>
        <v>JAVNA USTANOVA NACIONALNI PARK BRIJUNI - PUBLIC INSTITUTION BRIJUNI NATIONAL PARK (22162)</v>
      </c>
      <c r="E123" s="242" t="s">
        <v>3900</v>
      </c>
      <c r="F123" s="242" t="s">
        <v>3901</v>
      </c>
      <c r="G123" s="243">
        <v>3286436</v>
      </c>
      <c r="H123" s="244" t="s">
        <v>3902</v>
      </c>
      <c r="J123" s="233"/>
    </row>
    <row r="124" spans="1:10" ht="15" customHeight="1">
      <c r="A124" s="240">
        <f t="shared" si="4"/>
        <v>121</v>
      </c>
      <c r="B124" s="241">
        <v>22138</v>
      </c>
      <c r="C124" s="242" t="s">
        <v>3903</v>
      </c>
      <c r="D124" s="242" t="str">
        <f t="shared" si="2"/>
        <v>J. U. NACIONALNI PARK KORNATI  (22138)</v>
      </c>
      <c r="E124" s="242" t="s">
        <v>3904</v>
      </c>
      <c r="F124" s="242" t="s">
        <v>3905</v>
      </c>
      <c r="G124" s="243">
        <v>3957772</v>
      </c>
      <c r="H124" s="244" t="s">
        <v>3906</v>
      </c>
      <c r="J124" s="233"/>
    </row>
    <row r="125" spans="1:10" ht="15" customHeight="1">
      <c r="A125" s="240">
        <f t="shared" si="4"/>
        <v>122</v>
      </c>
      <c r="B125" s="241">
        <v>22234</v>
      </c>
      <c r="C125" s="242" t="s">
        <v>3907</v>
      </c>
      <c r="D125" s="242" t="str">
        <f t="shared" si="2"/>
        <v>J. U. NACIONALNI PARK KRKA (22234)</v>
      </c>
      <c r="E125" s="242" t="s">
        <v>3908</v>
      </c>
      <c r="F125" s="242" t="s">
        <v>520</v>
      </c>
      <c r="G125" s="243">
        <v>3418103</v>
      </c>
      <c r="H125" s="244" t="s">
        <v>3909</v>
      </c>
      <c r="J125" s="233"/>
    </row>
    <row r="126" spans="1:10" ht="15" customHeight="1">
      <c r="A126" s="240">
        <f t="shared" si="4"/>
        <v>123</v>
      </c>
      <c r="B126" s="241">
        <v>22179</v>
      </c>
      <c r="C126" s="242" t="s">
        <v>3910</v>
      </c>
      <c r="D126" s="242" t="str">
        <f t="shared" si="2"/>
        <v>J. U. NACIONALNI PARK MLJET (22179)</v>
      </c>
      <c r="E126" s="242" t="s">
        <v>3911</v>
      </c>
      <c r="F126" s="242" t="s">
        <v>3912</v>
      </c>
      <c r="G126" s="243">
        <v>3324974</v>
      </c>
      <c r="H126" s="244" t="s">
        <v>3913</v>
      </c>
      <c r="J126" s="233"/>
    </row>
    <row r="127" spans="1:10" ht="15" customHeight="1">
      <c r="A127" s="240">
        <f t="shared" si="4"/>
        <v>124</v>
      </c>
      <c r="B127" s="241">
        <v>22200</v>
      </c>
      <c r="C127" s="242" t="s">
        <v>3914</v>
      </c>
      <c r="D127" s="242" t="str">
        <f t="shared" si="2"/>
        <v>J. U. NACIONALNI PARK PAKLENICA (22200)</v>
      </c>
      <c r="E127" s="242" t="s">
        <v>3915</v>
      </c>
      <c r="F127" s="242" t="s">
        <v>3916</v>
      </c>
      <c r="G127" s="243">
        <v>3142027</v>
      </c>
      <c r="H127" s="244" t="s">
        <v>3917</v>
      </c>
      <c r="J127" s="233"/>
    </row>
    <row r="128" spans="1:10" ht="15" customHeight="1">
      <c r="A128" s="240">
        <f t="shared" si="4"/>
        <v>125</v>
      </c>
      <c r="B128" s="241">
        <v>22218</v>
      </c>
      <c r="C128" s="242" t="s">
        <v>3918</v>
      </c>
      <c r="D128" s="242" t="str">
        <f t="shared" si="2"/>
        <v>J. U. NACIONALNI PARK PLITVIČKA JEZERA (22218)</v>
      </c>
      <c r="E128" s="242" t="s">
        <v>3919</v>
      </c>
      <c r="F128" s="242" t="s">
        <v>3920</v>
      </c>
      <c r="G128" s="243">
        <v>3310850</v>
      </c>
      <c r="H128" s="244" t="s">
        <v>3921</v>
      </c>
      <c r="J128" s="233"/>
    </row>
    <row r="129" spans="1:10" ht="15" customHeight="1">
      <c r="A129" s="240">
        <f t="shared" si="4"/>
        <v>126</v>
      </c>
      <c r="B129" s="241">
        <v>22187</v>
      </c>
      <c r="C129" s="242" t="s">
        <v>3922</v>
      </c>
      <c r="D129" s="242" t="str">
        <f t="shared" si="2"/>
        <v>J. U. NACIONALNI PARK RISNJAK (22187)</v>
      </c>
      <c r="E129" s="242" t="s">
        <v>3923</v>
      </c>
      <c r="F129" s="242" t="s">
        <v>3924</v>
      </c>
      <c r="G129" s="243">
        <v>3033619</v>
      </c>
      <c r="H129" s="244" t="s">
        <v>3925</v>
      </c>
      <c r="J129" s="233"/>
    </row>
    <row r="130" spans="1:10" ht="15" customHeight="1">
      <c r="A130" s="240">
        <f t="shared" si="4"/>
        <v>127</v>
      </c>
      <c r="B130" s="241">
        <v>26506</v>
      </c>
      <c r="C130" s="242" t="s">
        <v>3926</v>
      </c>
      <c r="D130" s="242" t="str">
        <f t="shared" si="2"/>
        <v>J. U. NACIONALNI PARK SJEVERNI VELEBIT (26506)</v>
      </c>
      <c r="E130" s="242" t="s">
        <v>3927</v>
      </c>
      <c r="F130" s="242" t="s">
        <v>3928</v>
      </c>
      <c r="G130" s="243">
        <v>1486993</v>
      </c>
      <c r="H130" s="244" t="s">
        <v>3929</v>
      </c>
      <c r="J130" s="233"/>
    </row>
    <row r="131" spans="1:10" ht="15" customHeight="1">
      <c r="A131" s="240">
        <f t="shared" si="4"/>
        <v>128</v>
      </c>
      <c r="B131" s="241">
        <v>23243</v>
      </c>
      <c r="C131" s="242" t="s">
        <v>3930</v>
      </c>
      <c r="D131" s="242" t="str">
        <f t="shared" si="2"/>
        <v>J. U. PARK PRIRODE BIOKOVO (23243)</v>
      </c>
      <c r="E131" s="242" t="s">
        <v>3931</v>
      </c>
      <c r="F131" s="242" t="s">
        <v>3932</v>
      </c>
      <c r="G131" s="243">
        <v>1408232</v>
      </c>
      <c r="H131" s="244" t="s">
        <v>3933</v>
      </c>
      <c r="J131" s="233"/>
    </row>
    <row r="132" spans="1:10" ht="15" customHeight="1">
      <c r="A132" s="240">
        <f t="shared" si="4"/>
        <v>129</v>
      </c>
      <c r="B132" s="241">
        <v>22154</v>
      </c>
      <c r="C132" s="242" t="s">
        <v>3934</v>
      </c>
      <c r="D132" s="242" t="str">
        <f t="shared" ref="D132:D195" si="5">C132&amp;" ("&amp;B132&amp;")"</f>
        <v>J. U. PARK PRIRODE KOPAČKI RIT (22154)</v>
      </c>
      <c r="E132" s="242" t="s">
        <v>3935</v>
      </c>
      <c r="F132" s="242" t="s">
        <v>3936</v>
      </c>
      <c r="G132" s="243">
        <v>1334239</v>
      </c>
      <c r="H132" s="244" t="s">
        <v>3937</v>
      </c>
      <c r="J132" s="233"/>
    </row>
    <row r="133" spans="1:10" ht="15" customHeight="1">
      <c r="A133" s="240">
        <f t="shared" si="4"/>
        <v>130</v>
      </c>
      <c r="B133" s="241">
        <v>42598</v>
      </c>
      <c r="C133" s="242" t="s">
        <v>3938</v>
      </c>
      <c r="D133" s="242" t="str">
        <f t="shared" si="5"/>
        <v>J. U. PARK PRIRODE LASTOVSKO OTOČJE (42598)</v>
      </c>
      <c r="E133" s="251" t="s">
        <v>3939</v>
      </c>
      <c r="F133" s="251" t="s">
        <v>3940</v>
      </c>
      <c r="G133" s="250">
        <v>2175843</v>
      </c>
      <c r="H133" s="244" t="s">
        <v>3941</v>
      </c>
      <c r="J133" s="233"/>
    </row>
    <row r="134" spans="1:10" ht="15" customHeight="1">
      <c r="A134" s="240">
        <f t="shared" si="4"/>
        <v>131</v>
      </c>
      <c r="B134" s="241">
        <v>22226</v>
      </c>
      <c r="C134" s="242" t="s">
        <v>3942</v>
      </c>
      <c r="D134" s="242" t="str">
        <f t="shared" si="5"/>
        <v>J. U. PARK PRIRODE LONJSKO POLJE (22226)</v>
      </c>
      <c r="E134" s="242" t="s">
        <v>3943</v>
      </c>
      <c r="F134" s="242" t="s">
        <v>3944</v>
      </c>
      <c r="G134" s="243">
        <v>1300997</v>
      </c>
      <c r="H134" s="244" t="s">
        <v>3945</v>
      </c>
      <c r="J134" s="233"/>
    </row>
    <row r="135" spans="1:10" ht="15" customHeight="1">
      <c r="A135" s="240">
        <f t="shared" si="4"/>
        <v>132</v>
      </c>
      <c r="B135" s="241">
        <v>23497</v>
      </c>
      <c r="C135" s="242" t="s">
        <v>3946</v>
      </c>
      <c r="D135" s="242" t="str">
        <f t="shared" si="5"/>
        <v>J. U. PARK PRIRODE MEDVEDNICA (23497)</v>
      </c>
      <c r="E135" s="242" t="s">
        <v>3947</v>
      </c>
      <c r="F135" s="242" t="s">
        <v>271</v>
      </c>
      <c r="G135" s="243">
        <v>1463080</v>
      </c>
      <c r="H135" s="244" t="s">
        <v>3948</v>
      </c>
      <c r="J135" s="233"/>
    </row>
    <row r="136" spans="1:10" ht="15" customHeight="1">
      <c r="A136" s="240">
        <f t="shared" si="4"/>
        <v>133</v>
      </c>
      <c r="B136" s="241">
        <v>26514</v>
      </c>
      <c r="C136" s="242" t="s">
        <v>3949</v>
      </c>
      <c r="D136" s="242" t="str">
        <f t="shared" si="5"/>
        <v>J. U. PARK PRIRODE PAPUK  (26514)</v>
      </c>
      <c r="E136" s="242" t="s">
        <v>3950</v>
      </c>
      <c r="F136" s="242" t="s">
        <v>3951</v>
      </c>
      <c r="G136" s="243">
        <v>1503847</v>
      </c>
      <c r="H136" s="244" t="s">
        <v>3952</v>
      </c>
      <c r="J136" s="233"/>
    </row>
    <row r="137" spans="1:10" ht="15" customHeight="1">
      <c r="A137" s="240">
        <f t="shared" si="4"/>
        <v>134</v>
      </c>
      <c r="B137" s="241">
        <v>22195</v>
      </c>
      <c r="C137" s="242" t="s">
        <v>3953</v>
      </c>
      <c r="D137" s="242" t="str">
        <f t="shared" si="5"/>
        <v>J. U. PARK PRIRODE TELAŠĆICA (22195)</v>
      </c>
      <c r="E137" s="242" t="s">
        <v>3954</v>
      </c>
      <c r="F137" s="242" t="s">
        <v>3955</v>
      </c>
      <c r="G137" s="243">
        <v>3439780</v>
      </c>
      <c r="H137" s="244" t="s">
        <v>3956</v>
      </c>
      <c r="J137" s="233"/>
    </row>
    <row r="138" spans="1:10" ht="15" customHeight="1">
      <c r="A138" s="240">
        <f t="shared" si="4"/>
        <v>135</v>
      </c>
      <c r="B138" s="241">
        <v>25925</v>
      </c>
      <c r="C138" s="242" t="s">
        <v>3957</v>
      </c>
      <c r="D138" s="242" t="str">
        <f t="shared" si="5"/>
        <v>J. U. PARK PRIRODE UČKA (25925)</v>
      </c>
      <c r="E138" s="242" t="s">
        <v>3958</v>
      </c>
      <c r="F138" s="242" t="s">
        <v>3959</v>
      </c>
      <c r="G138" s="243">
        <v>1508342</v>
      </c>
      <c r="H138" s="244" t="s">
        <v>3960</v>
      </c>
      <c r="J138" s="233"/>
    </row>
    <row r="139" spans="1:10" ht="15" customHeight="1">
      <c r="A139" s="240">
        <f t="shared" si="4"/>
        <v>136</v>
      </c>
      <c r="B139" s="241">
        <v>25933</v>
      </c>
      <c r="C139" s="242" t="s">
        <v>3961</v>
      </c>
      <c r="D139" s="242" t="str">
        <f t="shared" si="5"/>
        <v>JAVNA USTANOVA PARK PRIRODE VELEBIT (25933)</v>
      </c>
      <c r="E139" s="242" t="s">
        <v>3962</v>
      </c>
      <c r="F139" s="242" t="s">
        <v>505</v>
      </c>
      <c r="G139" s="243">
        <v>1439863</v>
      </c>
      <c r="H139" s="244" t="s">
        <v>3963</v>
      </c>
      <c r="J139" s="233"/>
    </row>
    <row r="140" spans="1:10" ht="15" customHeight="1">
      <c r="A140" s="240">
        <f t="shared" si="4"/>
        <v>137</v>
      </c>
      <c r="B140" s="241">
        <v>26522</v>
      </c>
      <c r="C140" s="242" t="s">
        <v>3964</v>
      </c>
      <c r="D140" s="242" t="str">
        <f t="shared" si="5"/>
        <v>JAVNA USTANOVA PARK PRIRODE VRANSKO JEZERO (26522)</v>
      </c>
      <c r="E140" s="242" t="s">
        <v>3965</v>
      </c>
      <c r="F140" s="242" t="s">
        <v>3966</v>
      </c>
      <c r="G140" s="243">
        <v>1504495</v>
      </c>
      <c r="H140" s="244" t="s">
        <v>3967</v>
      </c>
      <c r="J140" s="233"/>
    </row>
    <row r="141" spans="1:10" ht="15" customHeight="1">
      <c r="A141" s="240">
        <f t="shared" si="4"/>
        <v>138</v>
      </c>
      <c r="B141" s="241">
        <v>26539</v>
      </c>
      <c r="C141" s="242" t="s">
        <v>3968</v>
      </c>
      <c r="D141" s="242" t="str">
        <f t="shared" si="5"/>
        <v>J. U. PARK PRIRODE ŽUMBERAK-SAMOBORSKO GORJE (26539)</v>
      </c>
      <c r="E141" s="242" t="s">
        <v>3969</v>
      </c>
      <c r="F141" s="242" t="s">
        <v>3970</v>
      </c>
      <c r="G141" s="243">
        <v>1481517</v>
      </c>
      <c r="H141" s="244" t="s">
        <v>3971</v>
      </c>
      <c r="J141" s="233"/>
    </row>
    <row r="142" spans="1:10" ht="15" customHeight="1">
      <c r="A142" s="240">
        <f t="shared" si="4"/>
        <v>139</v>
      </c>
      <c r="B142" s="241">
        <v>21609</v>
      </c>
      <c r="C142" s="242" t="s">
        <v>3972</v>
      </c>
      <c r="D142" s="242" t="str">
        <f t="shared" si="5"/>
        <v>DRŽAVNI HIDROMETEOROLOŠKI ZAVOD (21609)</v>
      </c>
      <c r="E142" s="242" t="s">
        <v>3973</v>
      </c>
      <c r="F142" s="242" t="s">
        <v>271</v>
      </c>
      <c r="G142" s="243">
        <v>3206017</v>
      </c>
      <c r="H142" s="244" t="s">
        <v>3974</v>
      </c>
      <c r="J142" s="233"/>
    </row>
    <row r="143" spans="1:10" s="233" customFormat="1" ht="15" customHeight="1">
      <c r="A143" s="240">
        <f t="shared" si="4"/>
        <v>140</v>
      </c>
      <c r="B143" s="241">
        <v>49649</v>
      </c>
      <c r="C143" s="242" t="s">
        <v>3975</v>
      </c>
      <c r="D143" s="242" t="str">
        <f t="shared" si="5"/>
        <v>AGENCIJA ZA UGLJIKOVODIKE (49649)</v>
      </c>
      <c r="E143" s="252" t="s">
        <v>3976</v>
      </c>
      <c r="F143" s="242" t="s">
        <v>271</v>
      </c>
      <c r="G143" s="245" t="s">
        <v>3977</v>
      </c>
      <c r="H143" s="244" t="s">
        <v>3978</v>
      </c>
    </row>
    <row r="144" spans="1:10" s="233" customFormat="1" ht="15" customHeight="1">
      <c r="A144" s="240">
        <f t="shared" si="4"/>
        <v>141</v>
      </c>
      <c r="B144" s="241">
        <v>49091</v>
      </c>
      <c r="C144" s="242" t="s">
        <v>3979</v>
      </c>
      <c r="D144" s="242" t="str">
        <f t="shared" si="5"/>
        <v>HRVATSKA ENERGETSKA REGULATORNA AGENCIJA (49091)</v>
      </c>
      <c r="E144" s="242" t="s">
        <v>3980</v>
      </c>
      <c r="F144" s="242" t="s">
        <v>271</v>
      </c>
      <c r="G144" s="243" t="s">
        <v>3981</v>
      </c>
      <c r="H144" s="244" t="s">
        <v>3982</v>
      </c>
    </row>
    <row r="145" spans="1:10" s="233" customFormat="1" ht="15" customHeight="1">
      <c r="A145" s="240">
        <f t="shared" si="4"/>
        <v>142</v>
      </c>
      <c r="B145" s="241">
        <v>47131</v>
      </c>
      <c r="C145" s="242" t="s">
        <v>3983</v>
      </c>
      <c r="D145" s="242" t="str">
        <f t="shared" si="5"/>
        <v>MINISTARSTVO GOSPODARSTVA I ODRŽIVOG RAZVOJA – RAVNATELJSTVO ZA ROBNE ZALIHE (47131)</v>
      </c>
      <c r="E145" s="242" t="s">
        <v>604</v>
      </c>
      <c r="F145" s="242" t="s">
        <v>271</v>
      </c>
      <c r="G145" s="243">
        <v>2831309</v>
      </c>
      <c r="H145" s="244" t="s">
        <v>3898</v>
      </c>
    </row>
    <row r="146" spans="1:10" s="239" customFormat="1" ht="15" customHeight="1">
      <c r="A146" s="240">
        <f t="shared" si="4"/>
        <v>143</v>
      </c>
      <c r="B146" s="241">
        <v>6082</v>
      </c>
      <c r="C146" s="242" t="s">
        <v>3984</v>
      </c>
      <c r="D146" s="242" t="str">
        <f t="shared" si="5"/>
        <v>DRŽAVNI ZAVOD ZA MJERITELJSTVO (6082)</v>
      </c>
      <c r="E146" s="242" t="s">
        <v>3985</v>
      </c>
      <c r="F146" s="242" t="s">
        <v>271</v>
      </c>
      <c r="G146" s="243">
        <v>3799166</v>
      </c>
      <c r="H146" s="244" t="s">
        <v>3986</v>
      </c>
      <c r="J146" s="233"/>
    </row>
    <row r="147" spans="1:10" s="239" customFormat="1" ht="15" customHeight="1">
      <c r="A147" s="240">
        <f t="shared" si="4"/>
        <v>144</v>
      </c>
      <c r="B147" s="241">
        <v>38495</v>
      </c>
      <c r="C147" s="242" t="s">
        <v>3987</v>
      </c>
      <c r="D147" s="242" t="str">
        <f t="shared" si="5"/>
        <v>HRVATSKI ZAVOD ZA NORME (38495)</v>
      </c>
      <c r="E147" s="242" t="s">
        <v>604</v>
      </c>
      <c r="F147" s="242" t="s">
        <v>271</v>
      </c>
      <c r="G147" s="243">
        <v>1957406</v>
      </c>
      <c r="H147" s="244" t="s">
        <v>3988</v>
      </c>
      <c r="J147" s="233"/>
    </row>
    <row r="148" spans="1:10" s="239" customFormat="1" ht="15" customHeight="1">
      <c r="A148" s="240">
        <f t="shared" si="4"/>
        <v>145</v>
      </c>
      <c r="B148" s="241">
        <v>38500</v>
      </c>
      <c r="C148" s="242" t="s">
        <v>3989</v>
      </c>
      <c r="D148" s="242" t="str">
        <f t="shared" si="5"/>
        <v>HRVATSKA AKREDITACIJSKA AGENCIJA (38500)</v>
      </c>
      <c r="E148" s="242" t="s">
        <v>604</v>
      </c>
      <c r="F148" s="242" t="s">
        <v>271</v>
      </c>
      <c r="G148" s="243">
        <v>1956868</v>
      </c>
      <c r="H148" s="244" t="s">
        <v>3990</v>
      </c>
      <c r="J148" s="233"/>
    </row>
    <row r="149" spans="1:10" s="233" customFormat="1" ht="15" customHeight="1">
      <c r="A149" s="240">
        <f t="shared" si="4"/>
        <v>146</v>
      </c>
      <c r="B149" s="241">
        <v>46237</v>
      </c>
      <c r="C149" s="242" t="s">
        <v>3991</v>
      </c>
      <c r="D149" s="242" t="str">
        <f t="shared" si="5"/>
        <v>HRVATSKA AGENCIJA ZA MALO GOSPODARSTVO, INOVACIJE I INVESTICIJE (46237)</v>
      </c>
      <c r="E149" s="242" t="s">
        <v>3992</v>
      </c>
      <c r="F149" s="242" t="s">
        <v>271</v>
      </c>
      <c r="G149" s="243">
        <v>767875</v>
      </c>
      <c r="H149" s="244" t="s">
        <v>3993</v>
      </c>
    </row>
    <row r="150" spans="1:10" s="233" customFormat="1" ht="15" customHeight="1">
      <c r="A150" s="228">
        <f t="shared" si="4"/>
        <v>147</v>
      </c>
      <c r="B150" s="235">
        <v>1222</v>
      </c>
      <c r="C150" s="236" t="s">
        <v>1743</v>
      </c>
      <c r="D150" s="242" t="str">
        <f t="shared" si="5"/>
        <v>MINISTARSTVO ZNANOSTI I OBRAZOVANJA  (1222)</v>
      </c>
      <c r="E150" s="236" t="s">
        <v>270</v>
      </c>
      <c r="F150" s="236" t="s">
        <v>271</v>
      </c>
      <c r="G150" s="237">
        <v>3271030</v>
      </c>
      <c r="H150" s="238" t="s">
        <v>1744</v>
      </c>
    </row>
    <row r="151" spans="1:10" ht="15" customHeight="1">
      <c r="A151" s="240">
        <f t="shared" si="4"/>
        <v>148</v>
      </c>
      <c r="B151" s="241">
        <v>2063</v>
      </c>
      <c r="C151" s="242" t="s">
        <v>484</v>
      </c>
      <c r="D151" s="242" t="str">
        <f t="shared" si="5"/>
        <v>FAKULTET ORGANIZACIJE I INFORMATIKE U VARAŽDINU (2063)</v>
      </c>
      <c r="E151" s="242" t="s">
        <v>485</v>
      </c>
      <c r="F151" s="242" t="s">
        <v>441</v>
      </c>
      <c r="G151" s="243">
        <v>3006107</v>
      </c>
      <c r="H151" s="244" t="s">
        <v>486</v>
      </c>
      <c r="J151" s="233"/>
    </row>
    <row r="152" spans="1:10" ht="15" customHeight="1">
      <c r="A152" s="240">
        <f t="shared" si="4"/>
        <v>149</v>
      </c>
      <c r="B152" s="241">
        <v>43749</v>
      </c>
      <c r="C152" s="242" t="s">
        <v>487</v>
      </c>
      <c r="D152" s="242" t="str">
        <f t="shared" si="5"/>
        <v>MEĐIMURSKO VELEUČILIŠTE U ČAKOVCU (43749)</v>
      </c>
      <c r="E152" s="242" t="s">
        <v>489</v>
      </c>
      <c r="F152" s="242" t="s">
        <v>490</v>
      </c>
      <c r="G152" s="243">
        <v>2382512</v>
      </c>
      <c r="H152" s="244" t="s">
        <v>491</v>
      </c>
      <c r="J152" s="233"/>
    </row>
    <row r="153" spans="1:10" ht="15" customHeight="1">
      <c r="A153" s="240">
        <f t="shared" si="4"/>
        <v>150</v>
      </c>
      <c r="B153" s="241">
        <v>2452</v>
      </c>
      <c r="C153" s="242" t="s">
        <v>1745</v>
      </c>
      <c r="D153" s="242" t="str">
        <f t="shared" si="5"/>
        <v>SVEUČILIŠTE J. J. STROSSMAYERA U OSIJEKU (2452)</v>
      </c>
      <c r="E153" s="242" t="s">
        <v>273</v>
      </c>
      <c r="F153" s="242" t="s">
        <v>274</v>
      </c>
      <c r="G153" s="243">
        <v>3049779</v>
      </c>
      <c r="H153" s="244" t="s">
        <v>275</v>
      </c>
      <c r="J153" s="233"/>
    </row>
    <row r="154" spans="1:10" ht="24" customHeight="1">
      <c r="A154" s="240">
        <f t="shared" si="4"/>
        <v>151</v>
      </c>
      <c r="B154" s="241">
        <v>50215</v>
      </c>
      <c r="C154" s="242" t="s">
        <v>1746</v>
      </c>
      <c r="D154" s="242" t="str">
        <f t="shared" si="5"/>
        <v>SVEUČILIŠTE J. J. STROSSMAYERA U OSIJEKU - AKADEMIJA ZA UMJETNOST I KULTURU U OSIJEKU (50215)</v>
      </c>
      <c r="E154" s="242" t="s">
        <v>299</v>
      </c>
      <c r="F154" s="242" t="s">
        <v>274</v>
      </c>
      <c r="G154" s="243">
        <v>4907361</v>
      </c>
      <c r="H154" s="244" t="s">
        <v>1705</v>
      </c>
      <c r="J154" s="233"/>
    </row>
    <row r="155" spans="1:10" ht="15" customHeight="1">
      <c r="A155" s="240">
        <f t="shared" si="4"/>
        <v>152</v>
      </c>
      <c r="B155" s="241">
        <v>2284</v>
      </c>
      <c r="C155" s="242" t="s">
        <v>1747</v>
      </c>
      <c r="D155" s="242" t="str">
        <f t="shared" si="5"/>
        <v>SVEUČILIŠTE J. J. STROSSMAYERA U OSIJEKU - EKONOMSKI FAKULTET (2284)</v>
      </c>
      <c r="E155" s="242" t="s">
        <v>276</v>
      </c>
      <c r="F155" s="242" t="s">
        <v>274</v>
      </c>
      <c r="G155" s="243">
        <v>3021645</v>
      </c>
      <c r="H155" s="244" t="s">
        <v>277</v>
      </c>
      <c r="J155" s="233"/>
    </row>
    <row r="156" spans="1:10" ht="24">
      <c r="A156" s="240">
        <f t="shared" si="4"/>
        <v>153</v>
      </c>
      <c r="B156" s="241">
        <v>2268</v>
      </c>
      <c r="C156" s="242" t="s">
        <v>1748</v>
      </c>
      <c r="D156" s="242" t="str">
        <f t="shared" si="5"/>
        <v>SVEUČILIŠTE J. J. STROSSMAYERA U OSIJEKU - FAKULTET AGROBIOTEHNIČKIH ZNANOSTI OSIJEK (2268)</v>
      </c>
      <c r="E156" s="242" t="s">
        <v>287</v>
      </c>
      <c r="F156" s="242" t="s">
        <v>274</v>
      </c>
      <c r="G156" s="243">
        <v>3058212</v>
      </c>
      <c r="H156" s="244" t="s">
        <v>288</v>
      </c>
      <c r="J156" s="233"/>
    </row>
    <row r="157" spans="1:10" ht="24">
      <c r="A157" s="240">
        <f t="shared" si="4"/>
        <v>154</v>
      </c>
      <c r="B157" s="241">
        <v>2313</v>
      </c>
      <c r="C157" s="242" t="s">
        <v>1749</v>
      </c>
      <c r="D157" s="242" t="str">
        <f t="shared" si="5"/>
        <v>SVEUČILIŠTE J. J. STROSSMAYERA U OSIJEKU - FAKULTET ELEKTROTEHNIKE, RAČUNARSTVA I INFORMACIJSKIH TEHNOLOGIJA OSIJEK (2313)</v>
      </c>
      <c r="E157" s="242" t="s">
        <v>3994</v>
      </c>
      <c r="F157" s="242" t="s">
        <v>274</v>
      </c>
      <c r="G157" s="243">
        <v>3392589</v>
      </c>
      <c r="H157" s="244" t="s">
        <v>279</v>
      </c>
      <c r="J157" s="233"/>
    </row>
    <row r="158" spans="1:10" s="233" customFormat="1" ht="24">
      <c r="A158" s="240">
        <f t="shared" si="4"/>
        <v>155</v>
      </c>
      <c r="B158" s="241">
        <v>49796</v>
      </c>
      <c r="C158" s="242" t="s">
        <v>1750</v>
      </c>
      <c r="D158" s="242" t="str">
        <f t="shared" si="5"/>
        <v>SVEUČILIŠTE J. J. STROSSMAYERA U OSIJEKU - FAKULTET ZA DENTALNU MEDICINU I ZDRAVSTVO (49796)</v>
      </c>
      <c r="E158" s="252" t="s">
        <v>297</v>
      </c>
      <c r="F158" s="242" t="s">
        <v>274</v>
      </c>
      <c r="G158" s="243">
        <v>4748875</v>
      </c>
      <c r="H158" s="244" t="s">
        <v>298</v>
      </c>
    </row>
    <row r="159" spans="1:10" ht="24">
      <c r="A159" s="240">
        <f t="shared" si="4"/>
        <v>156</v>
      </c>
      <c r="B159" s="241">
        <v>22486</v>
      </c>
      <c r="C159" s="242" t="s">
        <v>1751</v>
      </c>
      <c r="D159" s="242" t="str">
        <f t="shared" si="5"/>
        <v>SVEUČILIŠTE J. J. STROSSMAYERA U OSIJEKU - FAKULTET ZA ODGOJNE I OBRAZOVNE ZNANOSTI (22486)</v>
      </c>
      <c r="E159" s="242" t="s">
        <v>292</v>
      </c>
      <c r="F159" s="242" t="s">
        <v>274</v>
      </c>
      <c r="G159" s="243">
        <v>1404881</v>
      </c>
      <c r="H159" s="244" t="s">
        <v>293</v>
      </c>
      <c r="J159" s="233"/>
    </row>
    <row r="160" spans="1:10" ht="15" customHeight="1">
      <c r="A160" s="240">
        <f t="shared" si="4"/>
        <v>157</v>
      </c>
      <c r="B160" s="241">
        <v>2321</v>
      </c>
      <c r="C160" s="242" t="s">
        <v>1752</v>
      </c>
      <c r="D160" s="242" t="str">
        <f t="shared" si="5"/>
        <v>SVEUČILIŠTE J. J. STROSSMAYERA U OSIJEKU - FILOZOFSKI FAKULTET (2321)</v>
      </c>
      <c r="E160" s="242" t="s">
        <v>280</v>
      </c>
      <c r="F160" s="242" t="s">
        <v>274</v>
      </c>
      <c r="G160" s="243">
        <v>3014185</v>
      </c>
      <c r="H160" s="244" t="s">
        <v>281</v>
      </c>
      <c r="J160" s="233"/>
    </row>
    <row r="161" spans="1:10" ht="15" customHeight="1">
      <c r="A161" s="240">
        <f t="shared" si="4"/>
        <v>158</v>
      </c>
      <c r="B161" s="241">
        <v>2508</v>
      </c>
      <c r="C161" s="256" t="s">
        <v>1753</v>
      </c>
      <c r="D161" s="242" t="str">
        <f t="shared" si="5"/>
        <v>SVEUČILIŠTE J. J. STROSSMAYERA U OSIJEKU - GRADSKA I SVEUČILIŠNA KNJIŽNICA (2508)</v>
      </c>
      <c r="E161" s="256" t="s">
        <v>282</v>
      </c>
      <c r="F161" s="256" t="s">
        <v>274</v>
      </c>
      <c r="G161" s="257">
        <v>3014347</v>
      </c>
      <c r="H161" s="244" t="s">
        <v>283</v>
      </c>
      <c r="J161" s="233"/>
    </row>
    <row r="162" spans="1:10" ht="24">
      <c r="A162" s="240">
        <f t="shared" si="4"/>
        <v>159</v>
      </c>
      <c r="B162" s="241">
        <v>2250</v>
      </c>
      <c r="C162" s="242" t="s">
        <v>1754</v>
      </c>
      <c r="D162" s="242" t="str">
        <f t="shared" si="5"/>
        <v>SVEUČILIŠTE J. J. STROSSMAYERA U OSIJEKU - GRAĐEVINSKI I ARHITEKTONSKI FAKULTET OSIJEK (2250)</v>
      </c>
      <c r="E162" s="242" t="s">
        <v>1704</v>
      </c>
      <c r="F162" s="242" t="s">
        <v>274</v>
      </c>
      <c r="G162" s="243">
        <v>3397335</v>
      </c>
      <c r="H162" s="244" t="s">
        <v>284</v>
      </c>
      <c r="J162" s="233"/>
    </row>
    <row r="163" spans="1:10" s="233" customFormat="1" ht="15" customHeight="1">
      <c r="A163" s="240">
        <f t="shared" si="4"/>
        <v>160</v>
      </c>
      <c r="B163" s="241">
        <v>38479</v>
      </c>
      <c r="C163" s="242" t="s">
        <v>3995</v>
      </c>
      <c r="D163" s="242" t="str">
        <f t="shared" si="5"/>
        <v>KATOLIČKI BOGOSLOVNI FAKULTET U ĐAKOVU (38479)</v>
      </c>
      <c r="E163" s="252" t="s">
        <v>294</v>
      </c>
      <c r="F163" s="242" t="s">
        <v>295</v>
      </c>
      <c r="G163" s="243">
        <v>1986490</v>
      </c>
      <c r="H163" s="244" t="s">
        <v>296</v>
      </c>
    </row>
    <row r="164" spans="1:10" ht="15" customHeight="1">
      <c r="A164" s="240">
        <f t="shared" si="4"/>
        <v>161</v>
      </c>
      <c r="B164" s="241">
        <v>51450</v>
      </c>
      <c r="C164" s="242" t="s">
        <v>1756</v>
      </c>
      <c r="D164" s="242" t="str">
        <f t="shared" si="5"/>
        <v>SVEUČILIŠTE J. J. STROSSMAYERA U OSIJEKU - KINEZIOLOŠKI FAKULTET OSIJEK (51450)</v>
      </c>
      <c r="E164" s="242" t="s">
        <v>1757</v>
      </c>
      <c r="F164" s="242" t="s">
        <v>274</v>
      </c>
      <c r="G164" s="243">
        <v>5302099</v>
      </c>
      <c r="H164" s="244" t="s">
        <v>1758</v>
      </c>
      <c r="J164" s="233"/>
    </row>
    <row r="165" spans="1:10" ht="15" customHeight="1">
      <c r="A165" s="240">
        <f t="shared" si="4"/>
        <v>162</v>
      </c>
      <c r="B165" s="241">
        <v>22849</v>
      </c>
      <c r="C165" s="242" t="s">
        <v>1759</v>
      </c>
      <c r="D165" s="242" t="str">
        <f t="shared" si="5"/>
        <v>SVEUČILIŠTE J. J. STROSSMAYERA U OSIJEKU - MEDICINSKI FAKULTET (22849)</v>
      </c>
      <c r="E165" s="242" t="s">
        <v>285</v>
      </c>
      <c r="F165" s="242" t="s">
        <v>274</v>
      </c>
      <c r="G165" s="243">
        <v>1388142</v>
      </c>
      <c r="H165" s="244" t="s">
        <v>286</v>
      </c>
      <c r="J165" s="233"/>
    </row>
    <row r="166" spans="1:10" s="233" customFormat="1" ht="15" customHeight="1">
      <c r="A166" s="240">
        <f t="shared" si="4"/>
        <v>163</v>
      </c>
      <c r="B166" s="241">
        <v>2292</v>
      </c>
      <c r="C166" s="242" t="s">
        <v>1760</v>
      </c>
      <c r="D166" s="242" t="str">
        <f t="shared" si="5"/>
        <v>SVEUČILIŠTE J. J. STROSSMAYERA U OSIJEKU - PRAVNI FAKULTET (2292)</v>
      </c>
      <c r="E166" s="242" t="s">
        <v>289</v>
      </c>
      <c r="F166" s="242" t="s">
        <v>274</v>
      </c>
      <c r="G166" s="243">
        <v>3014193</v>
      </c>
      <c r="H166" s="244" t="s">
        <v>290</v>
      </c>
    </row>
    <row r="167" spans="1:10" ht="15" customHeight="1">
      <c r="A167" s="240">
        <f t="shared" si="4"/>
        <v>164</v>
      </c>
      <c r="B167" s="241">
        <v>2276</v>
      </c>
      <c r="C167" s="242" t="s">
        <v>1761</v>
      </c>
      <c r="D167" s="242" t="str">
        <f t="shared" si="5"/>
        <v>SVEUČILIŠTE J. J. STROSSMAYERA U OSIJEKU - PREHRAMBENO TEHNOLOŠKI FAKULTET (2276)</v>
      </c>
      <c r="E167" s="242" t="s">
        <v>1762</v>
      </c>
      <c r="F167" s="242" t="s">
        <v>274</v>
      </c>
      <c r="G167" s="243">
        <v>3058204</v>
      </c>
      <c r="H167" s="244" t="s">
        <v>291</v>
      </c>
      <c r="J167" s="233"/>
    </row>
    <row r="168" spans="1:10" s="233" customFormat="1" ht="15" customHeight="1">
      <c r="A168" s="240">
        <f t="shared" si="4"/>
        <v>165</v>
      </c>
      <c r="B168" s="241">
        <v>42024</v>
      </c>
      <c r="C168" s="242" t="s">
        <v>300</v>
      </c>
      <c r="D168" s="242" t="str">
        <f t="shared" si="5"/>
        <v>SVEUČILIŠTE JURJA DOBRILE U PULI (42024)</v>
      </c>
      <c r="E168" s="242" t="s">
        <v>301</v>
      </c>
      <c r="F168" s="242" t="s">
        <v>302</v>
      </c>
      <c r="G168" s="243">
        <v>2161753</v>
      </c>
      <c r="H168" s="244" t="s">
        <v>303</v>
      </c>
    </row>
    <row r="169" spans="1:10" s="233" customFormat="1" ht="15" customHeight="1">
      <c r="A169" s="240">
        <f t="shared" si="4"/>
        <v>166</v>
      </c>
      <c r="B169" s="241">
        <v>48267</v>
      </c>
      <c r="C169" s="242" t="s">
        <v>304</v>
      </c>
      <c r="D169" s="242" t="str">
        <f t="shared" si="5"/>
        <v>SVEUČILIŠTE SJEVER (48267)</v>
      </c>
      <c r="E169" s="242" t="s">
        <v>1707</v>
      </c>
      <c r="F169" s="242" t="s">
        <v>305</v>
      </c>
      <c r="G169" s="243">
        <v>2752298</v>
      </c>
      <c r="H169" s="244" t="s">
        <v>306</v>
      </c>
    </row>
    <row r="170" spans="1:10" s="258" customFormat="1" ht="15" customHeight="1">
      <c r="A170" s="240">
        <f t="shared" si="4"/>
        <v>167</v>
      </c>
      <c r="B170" s="241">
        <v>24141</v>
      </c>
      <c r="C170" s="242" t="s">
        <v>307</v>
      </c>
      <c r="D170" s="242" t="str">
        <f t="shared" si="5"/>
        <v>SVEUČILIŠTE U DUBROVNIKU (24141)</v>
      </c>
      <c r="E170" s="242" t="s">
        <v>308</v>
      </c>
      <c r="F170" s="242" t="s">
        <v>309</v>
      </c>
      <c r="G170" s="243">
        <v>1787578</v>
      </c>
      <c r="H170" s="244" t="s">
        <v>310</v>
      </c>
      <c r="J170" s="233"/>
    </row>
    <row r="171" spans="1:10" s="233" customFormat="1" ht="15" customHeight="1">
      <c r="A171" s="240">
        <f t="shared" si="4"/>
        <v>168</v>
      </c>
      <c r="B171" s="241">
        <v>2444</v>
      </c>
      <c r="C171" s="242" t="s">
        <v>314</v>
      </c>
      <c r="D171" s="242" t="str">
        <f t="shared" si="5"/>
        <v>SVEUČILIŠTE U RIJECI (2444)</v>
      </c>
      <c r="E171" s="242" t="s">
        <v>315</v>
      </c>
      <c r="F171" s="242" t="s">
        <v>316</v>
      </c>
      <c r="G171" s="243">
        <v>3337413</v>
      </c>
      <c r="H171" s="244" t="s">
        <v>317</v>
      </c>
    </row>
    <row r="172" spans="1:10" ht="15" customHeight="1">
      <c r="A172" s="240">
        <f t="shared" si="4"/>
        <v>169</v>
      </c>
      <c r="B172" s="241">
        <v>38454</v>
      </c>
      <c r="C172" s="242" t="s">
        <v>318</v>
      </c>
      <c r="D172" s="242" t="str">
        <f t="shared" si="5"/>
        <v>SVEUČILIŠTE U RIJECI - AKADEMIJA PRIMJENJENIH UMJETNOSTI (38454)</v>
      </c>
      <c r="E172" s="242" t="s">
        <v>319</v>
      </c>
      <c r="F172" s="242" t="s">
        <v>316</v>
      </c>
      <c r="G172" s="250">
        <v>1954253</v>
      </c>
      <c r="H172" s="244" t="s">
        <v>320</v>
      </c>
      <c r="J172" s="233"/>
    </row>
    <row r="173" spans="1:10" ht="15" customHeight="1">
      <c r="A173" s="240">
        <f t="shared" si="4"/>
        <v>170</v>
      </c>
      <c r="B173" s="241">
        <v>2186</v>
      </c>
      <c r="C173" s="242" t="s">
        <v>321</v>
      </c>
      <c r="D173" s="242" t="str">
        <f t="shared" si="5"/>
        <v>SVEUČILIŠTE U RIJECI - EKONOMSKI FAKULTET (2186)</v>
      </c>
      <c r="E173" s="242" t="s">
        <v>322</v>
      </c>
      <c r="F173" s="242" t="s">
        <v>316</v>
      </c>
      <c r="G173" s="243">
        <v>3328627</v>
      </c>
      <c r="H173" s="244" t="s">
        <v>323</v>
      </c>
      <c r="J173" s="233"/>
    </row>
    <row r="174" spans="1:10" ht="15" customHeight="1">
      <c r="A174" s="240">
        <f t="shared" si="4"/>
        <v>171</v>
      </c>
      <c r="B174" s="241">
        <v>2194</v>
      </c>
      <c r="C174" s="242" t="s">
        <v>324</v>
      </c>
      <c r="D174" s="242" t="str">
        <f t="shared" si="5"/>
        <v>SVEUČILIŠTE U RIJECI - FAKULTET ZA MENADŽMENT U TURIZMU I UGOSTITELJSTVU (2194)</v>
      </c>
      <c r="E174" s="242" t="s">
        <v>325</v>
      </c>
      <c r="F174" s="242" t="s">
        <v>326</v>
      </c>
      <c r="G174" s="243">
        <v>3091732</v>
      </c>
      <c r="H174" s="244" t="s">
        <v>327</v>
      </c>
      <c r="J174" s="233"/>
    </row>
    <row r="175" spans="1:10" ht="15" customHeight="1">
      <c r="A175" s="240">
        <f t="shared" si="4"/>
        <v>172</v>
      </c>
      <c r="B175" s="241">
        <v>48023</v>
      </c>
      <c r="C175" s="242" t="s">
        <v>351</v>
      </c>
      <c r="D175" s="242" t="str">
        <f t="shared" si="5"/>
        <v>SVEUČILIŠTE U RIJECI - FAKULTET ZDRAVSTVENIH STUDIJA U RIJECI (48023)</v>
      </c>
      <c r="E175" s="242" t="s">
        <v>352</v>
      </c>
      <c r="F175" s="242" t="s">
        <v>316</v>
      </c>
      <c r="G175" s="245" t="s">
        <v>353</v>
      </c>
      <c r="H175" s="244" t="s">
        <v>354</v>
      </c>
      <c r="J175" s="233"/>
    </row>
    <row r="176" spans="1:10" s="233" customFormat="1" ht="15" customHeight="1">
      <c r="A176" s="240">
        <f t="shared" si="4"/>
        <v>173</v>
      </c>
      <c r="B176" s="241">
        <v>22857</v>
      </c>
      <c r="C176" s="242" t="s">
        <v>328</v>
      </c>
      <c r="D176" s="242" t="str">
        <f t="shared" si="5"/>
        <v>SVEUČILIŠTE U RIJECI - FILOZOFSKI FAKULTET (22857)</v>
      </c>
      <c r="E176" s="242" t="s">
        <v>329</v>
      </c>
      <c r="F176" s="242" t="s">
        <v>316</v>
      </c>
      <c r="G176" s="243">
        <v>3368491</v>
      </c>
      <c r="H176" s="244" t="s">
        <v>330</v>
      </c>
    </row>
    <row r="177" spans="1:10" ht="15" customHeight="1">
      <c r="A177" s="240">
        <f t="shared" si="4"/>
        <v>174</v>
      </c>
      <c r="B177" s="241">
        <v>2160</v>
      </c>
      <c r="C177" s="242" t="s">
        <v>1708</v>
      </c>
      <c r="D177" s="242" t="str">
        <f t="shared" si="5"/>
        <v>SVEUČILIŠTE U RIJECI - GRAĐEVINSKI FAKULTET (2160)</v>
      </c>
      <c r="E177" s="242" t="s">
        <v>331</v>
      </c>
      <c r="F177" s="242" t="s">
        <v>316</v>
      </c>
      <c r="G177" s="243">
        <v>3395855</v>
      </c>
      <c r="H177" s="244" t="s">
        <v>332</v>
      </c>
      <c r="J177" s="233"/>
    </row>
    <row r="178" spans="1:10" ht="15" customHeight="1">
      <c r="A178" s="240">
        <f t="shared" si="4"/>
        <v>175</v>
      </c>
      <c r="B178" s="241">
        <v>2225</v>
      </c>
      <c r="C178" s="242" t="s">
        <v>333</v>
      </c>
      <c r="D178" s="242" t="str">
        <f t="shared" si="5"/>
        <v>SVEUČILIŠTE U RIJECI - MEDICINSKI FAKULTET (2225)</v>
      </c>
      <c r="E178" s="242" t="s">
        <v>334</v>
      </c>
      <c r="F178" s="242" t="s">
        <v>316</v>
      </c>
      <c r="G178" s="243">
        <v>3328554</v>
      </c>
      <c r="H178" s="244" t="s">
        <v>335</v>
      </c>
      <c r="J178" s="233"/>
    </row>
    <row r="179" spans="1:10" s="233" customFormat="1" ht="15" customHeight="1">
      <c r="A179" s="240">
        <f t="shared" si="4"/>
        <v>176</v>
      </c>
      <c r="B179" s="241">
        <v>22568</v>
      </c>
      <c r="C179" s="242" t="s">
        <v>3996</v>
      </c>
      <c r="D179" s="242" t="str">
        <f t="shared" si="5"/>
        <v>SVEUČILIŠTE U RIJECI, POMORSKI FAKULTET (22568)</v>
      </c>
      <c r="E179" s="242" t="s">
        <v>337</v>
      </c>
      <c r="F179" s="242" t="s">
        <v>316</v>
      </c>
      <c r="G179" s="243">
        <v>1580485</v>
      </c>
      <c r="H179" s="244" t="s">
        <v>338</v>
      </c>
    </row>
    <row r="180" spans="1:10" s="239" customFormat="1" ht="15" customHeight="1">
      <c r="A180" s="240">
        <f t="shared" si="4"/>
        <v>177</v>
      </c>
      <c r="B180" s="241">
        <v>2217</v>
      </c>
      <c r="C180" s="242" t="s">
        <v>339</v>
      </c>
      <c r="D180" s="242" t="str">
        <f t="shared" si="5"/>
        <v>SVEUČILIŠTE U RIJECI - PRAVNI FAKULTET (2217)</v>
      </c>
      <c r="E180" s="242" t="s">
        <v>340</v>
      </c>
      <c r="F180" s="242" t="s">
        <v>316</v>
      </c>
      <c r="G180" s="243">
        <v>3328562</v>
      </c>
      <c r="H180" s="244" t="s">
        <v>341</v>
      </c>
      <c r="J180" s="233"/>
    </row>
    <row r="181" spans="1:10" s="239" customFormat="1" ht="15" customHeight="1">
      <c r="A181" s="240">
        <f t="shared" si="4"/>
        <v>178</v>
      </c>
      <c r="B181" s="241">
        <v>2493</v>
      </c>
      <c r="C181" s="242" t="s">
        <v>342</v>
      </c>
      <c r="D181" s="242" t="str">
        <f t="shared" si="5"/>
        <v>SVEUČILIŠTE U RIJECI - SVEUČILIŠNA KNJIŽNICA (2493)</v>
      </c>
      <c r="E181" s="242" t="s">
        <v>343</v>
      </c>
      <c r="F181" s="242" t="s">
        <v>316</v>
      </c>
      <c r="G181" s="243">
        <v>3328686</v>
      </c>
      <c r="H181" s="244" t="s">
        <v>344</v>
      </c>
      <c r="J181" s="233"/>
    </row>
    <row r="182" spans="1:10" ht="15" customHeight="1">
      <c r="A182" s="240">
        <f t="shared" si="4"/>
        <v>179</v>
      </c>
      <c r="B182" s="241">
        <v>2151</v>
      </c>
      <c r="C182" s="242" t="s">
        <v>345</v>
      </c>
      <c r="D182" s="242" t="str">
        <f t="shared" si="5"/>
        <v>SVEUČILIŠTE U RIJECI - TEHNIČKI FAKULTET (2151)</v>
      </c>
      <c r="E182" s="242" t="s">
        <v>346</v>
      </c>
      <c r="F182" s="242" t="s">
        <v>316</v>
      </c>
      <c r="G182" s="243">
        <v>3334317</v>
      </c>
      <c r="H182" s="244" t="s">
        <v>347</v>
      </c>
      <c r="J182" s="233"/>
    </row>
    <row r="183" spans="1:10" ht="15" customHeight="1">
      <c r="A183" s="240">
        <f t="shared" si="4"/>
        <v>180</v>
      </c>
      <c r="B183" s="241">
        <v>40947</v>
      </c>
      <c r="C183" s="242" t="s">
        <v>348</v>
      </c>
      <c r="D183" s="242" t="str">
        <f t="shared" si="5"/>
        <v>SVEUČILIŠTE U RIJECI - UČITELJSKI FAKULTET (40947)</v>
      </c>
      <c r="E183" s="242" t="s">
        <v>349</v>
      </c>
      <c r="F183" s="242" t="s">
        <v>316</v>
      </c>
      <c r="G183" s="243">
        <v>2116073</v>
      </c>
      <c r="H183" s="244" t="s">
        <v>350</v>
      </c>
      <c r="J183" s="233"/>
    </row>
    <row r="184" spans="1:10" s="233" customFormat="1" ht="15" customHeight="1">
      <c r="A184" s="240">
        <f t="shared" si="4"/>
        <v>181</v>
      </c>
      <c r="B184" s="241">
        <v>51360</v>
      </c>
      <c r="C184" s="242" t="s">
        <v>1706</v>
      </c>
      <c r="D184" s="242" t="str">
        <f t="shared" si="5"/>
        <v>SVEUČILIŠTE U SLAVONSKOM BRODU (51360)</v>
      </c>
      <c r="E184" s="252" t="s">
        <v>1763</v>
      </c>
      <c r="F184" s="242" t="s">
        <v>1764</v>
      </c>
      <c r="G184" s="243">
        <v>5290538</v>
      </c>
      <c r="H184" s="244" t="s">
        <v>1765</v>
      </c>
    </row>
    <row r="185" spans="1:10" ht="15" customHeight="1">
      <c r="A185" s="240">
        <f t="shared" si="4"/>
        <v>182</v>
      </c>
      <c r="B185" s="241">
        <v>2469</v>
      </c>
      <c r="C185" s="242" t="s">
        <v>355</v>
      </c>
      <c r="D185" s="242" t="str">
        <f t="shared" si="5"/>
        <v>SVEUČILIŠTE U SPLITU (2469)</v>
      </c>
      <c r="E185" s="242" t="s">
        <v>365</v>
      </c>
      <c r="F185" s="242" t="s">
        <v>356</v>
      </c>
      <c r="G185" s="243">
        <v>3129306</v>
      </c>
      <c r="H185" s="244" t="s">
        <v>357</v>
      </c>
      <c r="J185" s="233"/>
    </row>
    <row r="186" spans="1:10" ht="15" customHeight="1">
      <c r="A186" s="240">
        <f t="shared" si="4"/>
        <v>183</v>
      </c>
      <c r="B186" s="241">
        <v>2372</v>
      </c>
      <c r="C186" s="242" t="s">
        <v>358</v>
      </c>
      <c r="D186" s="242" t="str">
        <f t="shared" si="5"/>
        <v>SVEUČILIŠTE U SPLITU - EKONOMSKI FAKULTET (2372)</v>
      </c>
      <c r="E186" s="242" t="s">
        <v>359</v>
      </c>
      <c r="F186" s="242" t="s">
        <v>356</v>
      </c>
      <c r="G186" s="243">
        <v>3119076</v>
      </c>
      <c r="H186" s="244" t="s">
        <v>360</v>
      </c>
      <c r="J186" s="233"/>
    </row>
    <row r="187" spans="1:10" ht="15" customHeight="1">
      <c r="A187" s="240">
        <f t="shared" ref="A187:A250" si="6">+A186+1</f>
        <v>184</v>
      </c>
      <c r="B187" s="241">
        <v>2330</v>
      </c>
      <c r="C187" s="242" t="s">
        <v>361</v>
      </c>
      <c r="D187" s="242" t="str">
        <f t="shared" si="5"/>
        <v>SVEUČILIŠTE U SPLITU - FAKULTET ELEKTROTEHNIKE, STROJARSTVA I BRODOGRADNJE (2330)</v>
      </c>
      <c r="E187" s="242" t="s">
        <v>362</v>
      </c>
      <c r="F187" s="242" t="s">
        <v>356</v>
      </c>
      <c r="G187" s="243">
        <v>3118339</v>
      </c>
      <c r="H187" s="244" t="s">
        <v>363</v>
      </c>
      <c r="J187" s="233"/>
    </row>
    <row r="188" spans="1:10" ht="15" customHeight="1">
      <c r="A188" s="240">
        <f t="shared" si="6"/>
        <v>185</v>
      </c>
      <c r="B188" s="241">
        <v>2348</v>
      </c>
      <c r="C188" s="242" t="s">
        <v>367</v>
      </c>
      <c r="D188" s="242" t="str">
        <f t="shared" si="5"/>
        <v>SVEUČILIŠTE U SPLITU - FAKULTET GRAĐEVINARSTVA, ARHITEKTURE I GEODEZIJE (2348)</v>
      </c>
      <c r="E188" s="242" t="s">
        <v>368</v>
      </c>
      <c r="F188" s="242" t="s">
        <v>356</v>
      </c>
      <c r="G188" s="243">
        <v>3149463</v>
      </c>
      <c r="H188" s="244" t="s">
        <v>369</v>
      </c>
      <c r="J188" s="233"/>
    </row>
    <row r="189" spans="1:10" ht="15" customHeight="1">
      <c r="A189" s="240">
        <f t="shared" si="6"/>
        <v>186</v>
      </c>
      <c r="B189" s="241">
        <v>22435</v>
      </c>
      <c r="C189" s="242" t="s">
        <v>364</v>
      </c>
      <c r="D189" s="242" t="str">
        <f t="shared" si="5"/>
        <v>SVEUČILIŠTE U SPLITU - FILOZOFSKI FAKULTET (22435)</v>
      </c>
      <c r="E189" s="242" t="s">
        <v>365</v>
      </c>
      <c r="F189" s="242" t="s">
        <v>356</v>
      </c>
      <c r="G189" s="243">
        <v>1413236</v>
      </c>
      <c r="H189" s="244" t="s">
        <v>366</v>
      </c>
      <c r="J189" s="233"/>
    </row>
    <row r="190" spans="1:10" ht="15" customHeight="1">
      <c r="A190" s="240">
        <f t="shared" si="6"/>
        <v>187</v>
      </c>
      <c r="B190" s="241">
        <v>23368</v>
      </c>
      <c r="C190" s="242" t="s">
        <v>375</v>
      </c>
      <c r="D190" s="242" t="str">
        <f t="shared" si="5"/>
        <v>SVEUČILIŠTE U SPLITU - KATOLIČKI BOGOSLOVNI FAKULTET (23368)</v>
      </c>
      <c r="E190" s="242" t="s">
        <v>376</v>
      </c>
      <c r="F190" s="242" t="s">
        <v>356</v>
      </c>
      <c r="G190" s="250">
        <v>1465643</v>
      </c>
      <c r="H190" s="244">
        <v>36149548625</v>
      </c>
      <c r="J190" s="233"/>
    </row>
    <row r="191" spans="1:10" ht="15" customHeight="1">
      <c r="A191" s="240">
        <f t="shared" si="6"/>
        <v>188</v>
      </c>
      <c r="B191" s="241">
        <v>2356</v>
      </c>
      <c r="C191" s="242" t="s">
        <v>370</v>
      </c>
      <c r="D191" s="242" t="str">
        <f t="shared" si="5"/>
        <v>SVEUČILIŠTE U SPLITU - KEMIJSKO-TEHNOLOŠKI FAKULTET (2356)</v>
      </c>
      <c r="E191" s="242" t="s">
        <v>1709</v>
      </c>
      <c r="F191" s="242" t="s">
        <v>356</v>
      </c>
      <c r="G191" s="243">
        <v>3119068</v>
      </c>
      <c r="H191" s="244" t="s">
        <v>371</v>
      </c>
      <c r="J191" s="233"/>
    </row>
    <row r="192" spans="1:10" ht="15" customHeight="1">
      <c r="A192" s="240">
        <f t="shared" si="6"/>
        <v>189</v>
      </c>
      <c r="B192" s="241">
        <v>43773</v>
      </c>
      <c r="C192" s="242" t="s">
        <v>372</v>
      </c>
      <c r="D192" s="242" t="str">
        <f t="shared" si="5"/>
        <v>SVEUČILIŠTE U SPLITU - KINEZIOLOŠKI FAKULTET (43773)</v>
      </c>
      <c r="E192" s="242" t="s">
        <v>373</v>
      </c>
      <c r="F192" s="242" t="s">
        <v>356</v>
      </c>
      <c r="G192" s="250">
        <v>2393255</v>
      </c>
      <c r="H192" s="244" t="s">
        <v>374</v>
      </c>
      <c r="J192" s="233"/>
    </row>
    <row r="193" spans="1:10" ht="15" customHeight="1">
      <c r="A193" s="240">
        <f t="shared" si="6"/>
        <v>190</v>
      </c>
      <c r="B193" s="241">
        <v>22451</v>
      </c>
      <c r="C193" s="242" t="s">
        <v>377</v>
      </c>
      <c r="D193" s="242" t="str">
        <f t="shared" si="5"/>
        <v>SVEUČILIŠTE U SPLITU - MEDICINSKI FAKULTET (22451)</v>
      </c>
      <c r="E193" s="242" t="s">
        <v>378</v>
      </c>
      <c r="F193" s="242" t="s">
        <v>356</v>
      </c>
      <c r="G193" s="243">
        <v>1315366</v>
      </c>
      <c r="H193" s="244" t="s">
        <v>379</v>
      </c>
      <c r="J193" s="233"/>
    </row>
    <row r="194" spans="1:10" ht="15" customHeight="1">
      <c r="A194" s="240">
        <f t="shared" si="6"/>
        <v>191</v>
      </c>
      <c r="B194" s="241">
        <v>22460</v>
      </c>
      <c r="C194" s="242" t="s">
        <v>380</v>
      </c>
      <c r="D194" s="242" t="str">
        <f t="shared" si="5"/>
        <v>SVEUČILIŠTE U SPLITU - POMORSKI FAKULTET (22460)</v>
      </c>
      <c r="E194" s="242" t="s">
        <v>1710</v>
      </c>
      <c r="F194" s="242" t="s">
        <v>356</v>
      </c>
      <c r="G194" s="243">
        <v>1406043</v>
      </c>
      <c r="H194" s="244" t="s">
        <v>381</v>
      </c>
      <c r="J194" s="233"/>
    </row>
    <row r="195" spans="1:10" ht="15" customHeight="1">
      <c r="A195" s="240">
        <f t="shared" si="6"/>
        <v>192</v>
      </c>
      <c r="B195" s="241">
        <v>2397</v>
      </c>
      <c r="C195" s="242" t="s">
        <v>382</v>
      </c>
      <c r="D195" s="242" t="str">
        <f t="shared" si="5"/>
        <v>SVEUČILIŠTE U SPLITU - PRAVNI FAKULTET (2397)</v>
      </c>
      <c r="E195" s="242" t="s">
        <v>383</v>
      </c>
      <c r="F195" s="242" t="s">
        <v>356</v>
      </c>
      <c r="G195" s="243">
        <v>3118347</v>
      </c>
      <c r="H195" s="244" t="s">
        <v>384</v>
      </c>
      <c r="J195" s="233"/>
    </row>
    <row r="196" spans="1:10" ht="15" customHeight="1">
      <c r="A196" s="240">
        <f t="shared" si="6"/>
        <v>193</v>
      </c>
      <c r="B196" s="241">
        <v>2410</v>
      </c>
      <c r="C196" s="242" t="s">
        <v>385</v>
      </c>
      <c r="D196" s="242" t="str">
        <f t="shared" ref="D196:D259" si="7">C196&amp;" ("&amp;B196&amp;")"</f>
        <v>SVEUČILIŠTE U SPLITU - PRIRODOSLOVNO - MATEMATIČKI FAKULTET (2410)</v>
      </c>
      <c r="E196" s="242" t="s">
        <v>1711</v>
      </c>
      <c r="F196" s="242" t="s">
        <v>356</v>
      </c>
      <c r="G196" s="243">
        <v>3199622</v>
      </c>
      <c r="H196" s="244" t="s">
        <v>386</v>
      </c>
      <c r="J196" s="233"/>
    </row>
    <row r="197" spans="1:10" ht="15" customHeight="1">
      <c r="A197" s="240">
        <f t="shared" si="6"/>
        <v>194</v>
      </c>
      <c r="B197" s="241">
        <v>2524</v>
      </c>
      <c r="C197" s="242" t="s">
        <v>387</v>
      </c>
      <c r="D197" s="242" t="str">
        <f t="shared" si="7"/>
        <v>SVEUČILIŠTE U SPLITU - SVEUČILIŠNA KNJIŽNICA (2524)</v>
      </c>
      <c r="E197" s="242" t="s">
        <v>388</v>
      </c>
      <c r="F197" s="242" t="s">
        <v>356</v>
      </c>
      <c r="G197" s="243">
        <v>3118436</v>
      </c>
      <c r="H197" s="244" t="s">
        <v>389</v>
      </c>
      <c r="J197" s="233"/>
    </row>
    <row r="198" spans="1:10" ht="15" customHeight="1">
      <c r="A198" s="240">
        <f t="shared" si="6"/>
        <v>195</v>
      </c>
      <c r="B198" s="241">
        <v>22478</v>
      </c>
      <c r="C198" s="242" t="s">
        <v>390</v>
      </c>
      <c r="D198" s="242" t="str">
        <f t="shared" si="7"/>
        <v>SVEUČILIŠTE U SPLITU - UMJETNIČKA AKADEMIJA (22478)</v>
      </c>
      <c r="E198" s="242" t="s">
        <v>391</v>
      </c>
      <c r="F198" s="242" t="s">
        <v>356</v>
      </c>
      <c r="G198" s="243">
        <v>1321358</v>
      </c>
      <c r="H198" s="244" t="s">
        <v>392</v>
      </c>
      <c r="J198" s="233"/>
    </row>
    <row r="199" spans="1:10" ht="15" customHeight="1">
      <c r="A199" s="240">
        <f t="shared" si="6"/>
        <v>196</v>
      </c>
      <c r="B199" s="241">
        <v>23815</v>
      </c>
      <c r="C199" s="242" t="s">
        <v>311</v>
      </c>
      <c r="D199" s="242" t="str">
        <f t="shared" si="7"/>
        <v>SVEUČILIŠTE U ZADRU (23815)</v>
      </c>
      <c r="E199" s="242" t="s">
        <v>1712</v>
      </c>
      <c r="F199" s="242" t="s">
        <v>312</v>
      </c>
      <c r="G199" s="243">
        <v>1695525</v>
      </c>
      <c r="H199" s="244" t="s">
        <v>313</v>
      </c>
      <c r="J199" s="233"/>
    </row>
    <row r="200" spans="1:10" ht="15" customHeight="1">
      <c r="A200" s="240">
        <f t="shared" si="6"/>
        <v>197</v>
      </c>
      <c r="B200" s="241">
        <v>2436</v>
      </c>
      <c r="C200" s="242" t="s">
        <v>393</v>
      </c>
      <c r="D200" s="242" t="str">
        <f t="shared" si="7"/>
        <v>SVEUČILIŠTE U ZAGREBU (2436)</v>
      </c>
      <c r="E200" s="242" t="s">
        <v>461</v>
      </c>
      <c r="F200" s="242" t="s">
        <v>271</v>
      </c>
      <c r="G200" s="243">
        <v>3211592</v>
      </c>
      <c r="H200" s="244" t="s">
        <v>394</v>
      </c>
      <c r="J200" s="233"/>
    </row>
    <row r="201" spans="1:10" ht="15" customHeight="1">
      <c r="A201" s="240">
        <f t="shared" si="6"/>
        <v>198</v>
      </c>
      <c r="B201" s="241">
        <v>1923</v>
      </c>
      <c r="C201" s="242" t="s">
        <v>395</v>
      </c>
      <c r="D201" s="242" t="str">
        <f t="shared" si="7"/>
        <v>SVEUČILIŠTE U ZAGREBU - AGRONOMSKI FAKULTET (1923)</v>
      </c>
      <c r="E201" s="242" t="s">
        <v>396</v>
      </c>
      <c r="F201" s="242" t="s">
        <v>271</v>
      </c>
      <c r="G201" s="243">
        <v>3283097</v>
      </c>
      <c r="H201" s="244" t="s">
        <v>397</v>
      </c>
      <c r="J201" s="233"/>
    </row>
    <row r="202" spans="1:10" ht="15" customHeight="1">
      <c r="A202" s="240">
        <f t="shared" si="6"/>
        <v>199</v>
      </c>
      <c r="B202" s="241">
        <v>1974</v>
      </c>
      <c r="C202" s="242" t="s">
        <v>398</v>
      </c>
      <c r="D202" s="242" t="str">
        <f t="shared" si="7"/>
        <v>SVEUČILIŠTE U ZAGREBU - AKADEMIJA DRAMSKE UMJETNOSTI (1974)</v>
      </c>
      <c r="E202" s="242" t="s">
        <v>399</v>
      </c>
      <c r="F202" s="242" t="s">
        <v>271</v>
      </c>
      <c r="G202" s="243">
        <v>3205029</v>
      </c>
      <c r="H202" s="244" t="s">
        <v>400</v>
      </c>
      <c r="J202" s="233"/>
    </row>
    <row r="203" spans="1:10" ht="15" customHeight="1">
      <c r="A203" s="240">
        <f t="shared" si="6"/>
        <v>200</v>
      </c>
      <c r="B203" s="241">
        <v>1982</v>
      </c>
      <c r="C203" s="242" t="s">
        <v>401</v>
      </c>
      <c r="D203" s="242" t="str">
        <f t="shared" si="7"/>
        <v>SVEUČILIŠTE U ZAGREBU - AKADEMIJA LIKOVNIH UMJETNOSTI (1982)</v>
      </c>
      <c r="E203" s="242" t="s">
        <v>402</v>
      </c>
      <c r="F203" s="242" t="s">
        <v>271</v>
      </c>
      <c r="G203" s="243">
        <v>3207919</v>
      </c>
      <c r="H203" s="244" t="s">
        <v>403</v>
      </c>
      <c r="J203" s="233"/>
    </row>
    <row r="204" spans="1:10" ht="15" customHeight="1">
      <c r="A204" s="240">
        <f t="shared" si="6"/>
        <v>201</v>
      </c>
      <c r="B204" s="241">
        <v>1861</v>
      </c>
      <c r="C204" s="242" t="s">
        <v>404</v>
      </c>
      <c r="D204" s="242" t="str">
        <f t="shared" si="7"/>
        <v>SVEUČILIŠTE U ZAGREBU - ARHITEKTONSKI FAKULTET  (1861)</v>
      </c>
      <c r="E204" s="242" t="s">
        <v>405</v>
      </c>
      <c r="F204" s="242" t="s">
        <v>271</v>
      </c>
      <c r="G204" s="243">
        <v>3204952</v>
      </c>
      <c r="H204" s="244" t="s">
        <v>406</v>
      </c>
      <c r="J204" s="233"/>
    </row>
    <row r="205" spans="1:10" ht="15" customHeight="1">
      <c r="A205" s="240">
        <f t="shared" si="6"/>
        <v>202</v>
      </c>
      <c r="B205" s="241">
        <v>1966</v>
      </c>
      <c r="C205" s="242" t="s">
        <v>407</v>
      </c>
      <c r="D205" s="242" t="str">
        <f t="shared" si="7"/>
        <v>SVEUČILIŠTE U ZAGREBU - EDUKACIJSKO-REHABILITACIJSKI FAKULTET  (1966)</v>
      </c>
      <c r="E205" s="242" t="s">
        <v>408</v>
      </c>
      <c r="F205" s="242" t="s">
        <v>271</v>
      </c>
      <c r="G205" s="243">
        <v>3219780</v>
      </c>
      <c r="H205" s="244" t="s">
        <v>409</v>
      </c>
      <c r="J205" s="233"/>
    </row>
    <row r="206" spans="1:10" ht="15" customHeight="1">
      <c r="A206" s="240">
        <f t="shared" si="6"/>
        <v>203</v>
      </c>
      <c r="B206" s="241">
        <v>1931</v>
      </c>
      <c r="C206" s="242" t="s">
        <v>410</v>
      </c>
      <c r="D206" s="242" t="str">
        <f t="shared" si="7"/>
        <v>SVEUČILIŠTE U ZAGREBU - EKONOMSKI FAKULTET (1931)</v>
      </c>
      <c r="E206" s="242" t="s">
        <v>3997</v>
      </c>
      <c r="F206" s="242" t="s">
        <v>271</v>
      </c>
      <c r="G206" s="243">
        <v>3272079</v>
      </c>
      <c r="H206" s="244" t="s">
        <v>411</v>
      </c>
      <c r="J206" s="233"/>
    </row>
    <row r="207" spans="1:10" ht="15" customHeight="1">
      <c r="A207" s="240">
        <f t="shared" si="6"/>
        <v>204</v>
      </c>
      <c r="B207" s="241">
        <v>1757</v>
      </c>
      <c r="C207" s="242" t="s">
        <v>412</v>
      </c>
      <c r="D207" s="242" t="str">
        <f t="shared" si="7"/>
        <v>SVEUČILIŠTE U ZAGREBU - FAKULTET ELEKTROTEHNIKE I RAČUNARSTVA (1757)</v>
      </c>
      <c r="E207" s="242" t="s">
        <v>413</v>
      </c>
      <c r="F207" s="242" t="s">
        <v>271</v>
      </c>
      <c r="G207" s="243">
        <v>3276643</v>
      </c>
      <c r="H207" s="244" t="s">
        <v>414</v>
      </c>
      <c r="J207" s="233"/>
    </row>
    <row r="208" spans="1:10" ht="15" customHeight="1">
      <c r="A208" s="240">
        <f t="shared" si="6"/>
        <v>205</v>
      </c>
      <c r="B208" s="241">
        <v>6154</v>
      </c>
      <c r="C208" s="242" t="s">
        <v>1714</v>
      </c>
      <c r="D208" s="242" t="str">
        <f t="shared" si="7"/>
        <v>SVEUČILIŠTE U ZAGREBU - FAKULTET FILOZOFIJE I RELIGIJSKIH ZNANOSTI (6154)</v>
      </c>
      <c r="E208" s="242" t="s">
        <v>415</v>
      </c>
      <c r="F208" s="242" t="s">
        <v>271</v>
      </c>
      <c r="G208" s="243">
        <v>1235664</v>
      </c>
      <c r="H208" s="244" t="s">
        <v>416</v>
      </c>
      <c r="J208" s="233"/>
    </row>
    <row r="209" spans="1:10" ht="15" customHeight="1">
      <c r="A209" s="240">
        <f t="shared" si="6"/>
        <v>206</v>
      </c>
      <c r="B209" s="241">
        <v>51191</v>
      </c>
      <c r="C209" s="242" t="s">
        <v>1715</v>
      </c>
      <c r="D209" s="242" t="str">
        <f t="shared" si="7"/>
        <v>SVEUČILIŠTE U ZAGREBU - FAKULTET HRVATSKIH STUDIJA (51191)</v>
      </c>
      <c r="E209" s="242" t="s">
        <v>1716</v>
      </c>
      <c r="F209" s="242" t="s">
        <v>271</v>
      </c>
      <c r="G209" s="243">
        <v>5214068</v>
      </c>
      <c r="H209" s="244" t="s">
        <v>1717</v>
      </c>
      <c r="J209" s="233"/>
    </row>
    <row r="210" spans="1:10" ht="15" customHeight="1">
      <c r="A210" s="240">
        <f t="shared" si="6"/>
        <v>207</v>
      </c>
      <c r="B210" s="241">
        <v>1790</v>
      </c>
      <c r="C210" s="242" t="s">
        <v>419</v>
      </c>
      <c r="D210" s="242" t="str">
        <f t="shared" si="7"/>
        <v>SVEUČILIŠTE U ZAGREBU - FAKULTET KEMIJSKOG INŽENJERSTVA I TEHNOLOGIJE (1790)</v>
      </c>
      <c r="E210" s="242" t="s">
        <v>420</v>
      </c>
      <c r="F210" s="242" t="s">
        <v>271</v>
      </c>
      <c r="G210" s="243">
        <v>3250270</v>
      </c>
      <c r="H210" s="244" t="s">
        <v>421</v>
      </c>
      <c r="J210" s="233"/>
    </row>
    <row r="211" spans="1:10" ht="15" customHeight="1">
      <c r="A211" s="240">
        <f t="shared" si="6"/>
        <v>208</v>
      </c>
      <c r="B211" s="241">
        <v>1907</v>
      </c>
      <c r="C211" s="242" t="s">
        <v>422</v>
      </c>
      <c r="D211" s="242" t="str">
        <f t="shared" si="7"/>
        <v>SVEUČILIŠTE U ZAGREBU - FAKULTET POLITIČKIH ZNANOSTI (1907)</v>
      </c>
      <c r="E211" s="242" t="s">
        <v>423</v>
      </c>
      <c r="F211" s="242" t="s">
        <v>271</v>
      </c>
      <c r="G211" s="243">
        <v>3270262</v>
      </c>
      <c r="H211" s="244" t="s">
        <v>424</v>
      </c>
      <c r="J211" s="233"/>
    </row>
    <row r="212" spans="1:10" ht="15" customHeight="1">
      <c r="A212" s="240">
        <f t="shared" si="6"/>
        <v>209</v>
      </c>
      <c r="B212" s="241">
        <v>1812</v>
      </c>
      <c r="C212" s="242" t="s">
        <v>425</v>
      </c>
      <c r="D212" s="242" t="str">
        <f t="shared" si="7"/>
        <v>SVEUČILIŠTE U ZAGREBU - FAKULTET PROMETNIH ZNANOSTI (1812)</v>
      </c>
      <c r="E212" s="242" t="s">
        <v>426</v>
      </c>
      <c r="F212" s="242" t="s">
        <v>271</v>
      </c>
      <c r="G212" s="243">
        <v>3260771</v>
      </c>
      <c r="H212" s="244" t="s">
        <v>427</v>
      </c>
      <c r="J212" s="233"/>
    </row>
    <row r="213" spans="1:10" ht="15" customHeight="1">
      <c r="A213" s="240">
        <f t="shared" si="6"/>
        <v>210</v>
      </c>
      <c r="B213" s="241">
        <v>1829</v>
      </c>
      <c r="C213" s="242" t="s">
        <v>428</v>
      </c>
      <c r="D213" s="242" t="str">
        <f t="shared" si="7"/>
        <v>SVEUČILIŠTE U ZAGREBU - FAKULTET STROJARSTVA I BRODOGRADNJE (1829)</v>
      </c>
      <c r="E213" s="242" t="s">
        <v>429</v>
      </c>
      <c r="F213" s="242" t="s">
        <v>271</v>
      </c>
      <c r="G213" s="243">
        <v>3276546</v>
      </c>
      <c r="H213" s="244" t="s">
        <v>430</v>
      </c>
      <c r="J213" s="233"/>
    </row>
    <row r="214" spans="1:10" ht="15" customHeight="1">
      <c r="A214" s="240">
        <f t="shared" si="6"/>
        <v>211</v>
      </c>
      <c r="B214" s="241">
        <v>2014</v>
      </c>
      <c r="C214" s="242" t="s">
        <v>431</v>
      </c>
      <c r="D214" s="242" t="str">
        <f t="shared" si="7"/>
        <v>SVEUČILIŠTE U ZAGREBU - FARMACEUTSKO-BIOKEMIJSKI FAKULTET  (2014)</v>
      </c>
      <c r="E214" s="242" t="s">
        <v>432</v>
      </c>
      <c r="F214" s="242" t="s">
        <v>271</v>
      </c>
      <c r="G214" s="243">
        <v>3205037</v>
      </c>
      <c r="H214" s="244" t="s">
        <v>433</v>
      </c>
      <c r="J214" s="233"/>
    </row>
    <row r="215" spans="1:10" ht="15" customHeight="1">
      <c r="A215" s="240">
        <f t="shared" si="6"/>
        <v>212</v>
      </c>
      <c r="B215" s="241">
        <v>1958</v>
      </c>
      <c r="C215" s="242" t="s">
        <v>434</v>
      </c>
      <c r="D215" s="242" t="str">
        <f t="shared" si="7"/>
        <v>SVEUČILIŠTE U ZAGREBU - FILOZOFSKI FAKULTET (1958)</v>
      </c>
      <c r="E215" s="242" t="s">
        <v>435</v>
      </c>
      <c r="F215" s="242" t="s">
        <v>271</v>
      </c>
      <c r="G215" s="243">
        <v>3254852</v>
      </c>
      <c r="H215" s="244" t="s">
        <v>436</v>
      </c>
      <c r="J215" s="233"/>
    </row>
    <row r="216" spans="1:10" ht="15" customHeight="1">
      <c r="A216" s="240">
        <f t="shared" si="6"/>
        <v>213</v>
      </c>
      <c r="B216" s="241">
        <v>1853</v>
      </c>
      <c r="C216" s="242" t="s">
        <v>437</v>
      </c>
      <c r="D216" s="242" t="str">
        <f t="shared" si="7"/>
        <v>SVEUČILIŠTE U ZAGREBU - GEODETSKI FAKULTET (1853)</v>
      </c>
      <c r="E216" s="242" t="s">
        <v>3998</v>
      </c>
      <c r="F216" s="242" t="s">
        <v>271</v>
      </c>
      <c r="G216" s="243">
        <v>3204987</v>
      </c>
      <c r="H216" s="244" t="s">
        <v>438</v>
      </c>
      <c r="J216" s="233"/>
    </row>
    <row r="217" spans="1:10" ht="15" customHeight="1">
      <c r="A217" s="240">
        <f t="shared" si="6"/>
        <v>214</v>
      </c>
      <c r="B217" s="241">
        <v>2102</v>
      </c>
      <c r="C217" s="242" t="s">
        <v>439</v>
      </c>
      <c r="D217" s="242" t="str">
        <f t="shared" si="7"/>
        <v>SVEUČILIŠTE U ZAGREBU - GEOTEHNIČKI FAKULTET (2102)</v>
      </c>
      <c r="E217" s="242" t="s">
        <v>440</v>
      </c>
      <c r="F217" s="242" t="s">
        <v>441</v>
      </c>
      <c r="G217" s="243">
        <v>3042316</v>
      </c>
      <c r="H217" s="244" t="s">
        <v>442</v>
      </c>
      <c r="J217" s="233"/>
    </row>
    <row r="218" spans="1:10" ht="15" customHeight="1">
      <c r="A218" s="240">
        <f t="shared" si="6"/>
        <v>215</v>
      </c>
      <c r="B218" s="241">
        <v>1837</v>
      </c>
      <c r="C218" s="242" t="s">
        <v>443</v>
      </c>
      <c r="D218" s="242" t="str">
        <f t="shared" si="7"/>
        <v>SVEUČILIŠTE U ZAGREBU - GRAĐEVINSKI FAKULTET (1837)</v>
      </c>
      <c r="E218" s="242" t="s">
        <v>444</v>
      </c>
      <c r="F218" s="242" t="s">
        <v>271</v>
      </c>
      <c r="G218" s="243">
        <v>3227120</v>
      </c>
      <c r="H218" s="244" t="s">
        <v>445</v>
      </c>
      <c r="J218" s="233"/>
    </row>
    <row r="219" spans="1:10" ht="15" customHeight="1">
      <c r="A219" s="240">
        <f t="shared" si="6"/>
        <v>216</v>
      </c>
      <c r="B219" s="241">
        <v>2080</v>
      </c>
      <c r="C219" s="242" t="s">
        <v>446</v>
      </c>
      <c r="D219" s="242" t="str">
        <f t="shared" si="7"/>
        <v>SVEUČILIŠTE U ZAGREBU - GRAFIČKI FAKULTET (2080)</v>
      </c>
      <c r="E219" s="242" t="s">
        <v>447</v>
      </c>
      <c r="F219" s="242" t="s">
        <v>271</v>
      </c>
      <c r="G219" s="243">
        <v>3219763</v>
      </c>
      <c r="H219" s="244" t="s">
        <v>448</v>
      </c>
      <c r="J219" s="233"/>
    </row>
    <row r="220" spans="1:10" ht="15" customHeight="1">
      <c r="A220" s="240">
        <f t="shared" si="6"/>
        <v>217</v>
      </c>
      <c r="B220" s="241">
        <v>2135</v>
      </c>
      <c r="C220" s="242" t="s">
        <v>417</v>
      </c>
      <c r="D220" s="242" t="str">
        <f t="shared" si="7"/>
        <v>SVEUČILIŠTE U ZAGREBU - KATOLIČKI BOGOSLOVNI FAKULTET  (2135)</v>
      </c>
      <c r="E220" s="242" t="s">
        <v>418</v>
      </c>
      <c r="F220" s="242" t="s">
        <v>271</v>
      </c>
      <c r="G220" s="243">
        <v>3703088</v>
      </c>
      <c r="H220" s="244">
        <v>48987767944</v>
      </c>
      <c r="J220" s="233"/>
    </row>
    <row r="221" spans="1:10" ht="15" customHeight="1">
      <c r="A221" s="240">
        <f t="shared" si="6"/>
        <v>218</v>
      </c>
      <c r="B221" s="241">
        <v>2006</v>
      </c>
      <c r="C221" s="242" t="s">
        <v>449</v>
      </c>
      <c r="D221" s="242" t="str">
        <f t="shared" si="7"/>
        <v>SVEUČILIŠTE U ZAGREBU - KINEZIOLOŠKI FAKULTET (2006)</v>
      </c>
      <c r="E221" s="242" t="s">
        <v>450</v>
      </c>
      <c r="F221" s="242" t="s">
        <v>271</v>
      </c>
      <c r="G221" s="243">
        <v>3274080</v>
      </c>
      <c r="H221" s="244" t="s">
        <v>451</v>
      </c>
      <c r="J221" s="233"/>
    </row>
    <row r="222" spans="1:10" ht="15" customHeight="1">
      <c r="A222" s="240">
        <f t="shared" si="6"/>
        <v>219</v>
      </c>
      <c r="B222" s="241">
        <v>1888</v>
      </c>
      <c r="C222" s="242" t="s">
        <v>452</v>
      </c>
      <c r="D222" s="242" t="str">
        <f t="shared" si="7"/>
        <v>SVEUČILIŠTE U ZAGREBU - MEDICINSKI FAKULTET (1888)</v>
      </c>
      <c r="E222" s="242" t="s">
        <v>453</v>
      </c>
      <c r="F222" s="242" t="s">
        <v>271</v>
      </c>
      <c r="G222" s="243">
        <v>3270211</v>
      </c>
      <c r="H222" s="244" t="s">
        <v>454</v>
      </c>
      <c r="J222" s="233"/>
    </row>
    <row r="223" spans="1:10" ht="15" customHeight="1">
      <c r="A223" s="240">
        <f t="shared" si="6"/>
        <v>220</v>
      </c>
      <c r="B223" s="241">
        <v>2071</v>
      </c>
      <c r="C223" s="242" t="s">
        <v>455</v>
      </c>
      <c r="D223" s="242" t="str">
        <f t="shared" si="7"/>
        <v>SVEUČILIŠTE U ZAGREBU - METALURŠKI FAKULTET SISAK (2071)</v>
      </c>
      <c r="E223" s="242" t="s">
        <v>456</v>
      </c>
      <c r="F223" s="242" t="s">
        <v>1719</v>
      </c>
      <c r="G223" s="243">
        <v>3313786</v>
      </c>
      <c r="H223" s="244" t="s">
        <v>457</v>
      </c>
      <c r="J223" s="233"/>
    </row>
    <row r="224" spans="1:10" ht="15" customHeight="1">
      <c r="A224" s="240">
        <f t="shared" si="6"/>
        <v>221</v>
      </c>
      <c r="B224" s="241">
        <v>1999</v>
      </c>
      <c r="C224" s="242" t="s">
        <v>458</v>
      </c>
      <c r="D224" s="242" t="str">
        <f t="shared" si="7"/>
        <v>SVEUČILIŠTE U ZAGREBU - MUZIČKA AKADEMIJA (1999)</v>
      </c>
      <c r="E224" s="242" t="s">
        <v>1720</v>
      </c>
      <c r="F224" s="242" t="s">
        <v>271</v>
      </c>
      <c r="G224" s="243">
        <v>3205002</v>
      </c>
      <c r="H224" s="244" t="s">
        <v>459</v>
      </c>
      <c r="J224" s="233"/>
    </row>
    <row r="225" spans="1:10" ht="15" customHeight="1">
      <c r="A225" s="240">
        <f t="shared" si="6"/>
        <v>222</v>
      </c>
      <c r="B225" s="241">
        <v>1915</v>
      </c>
      <c r="C225" s="242" t="s">
        <v>460</v>
      </c>
      <c r="D225" s="242" t="str">
        <f t="shared" si="7"/>
        <v>SVEUČILIŠTE U ZAGREBU - PRAVNI FAKULTET (1915)</v>
      </c>
      <c r="E225" s="242" t="s">
        <v>461</v>
      </c>
      <c r="F225" s="242" t="s">
        <v>271</v>
      </c>
      <c r="G225" s="243">
        <v>3225909</v>
      </c>
      <c r="H225" s="244" t="s">
        <v>462</v>
      </c>
      <c r="J225" s="233"/>
    </row>
    <row r="226" spans="1:10" ht="15" customHeight="1">
      <c r="A226" s="240">
        <f t="shared" si="6"/>
        <v>223</v>
      </c>
      <c r="B226" s="241">
        <v>1845</v>
      </c>
      <c r="C226" s="242" t="s">
        <v>463</v>
      </c>
      <c r="D226" s="242" t="str">
        <f t="shared" si="7"/>
        <v>SVEUČILIŠTE U ZAGREBU - PREHRAMBENO BIOTEHNOLOŠKI FAKULTET (1845)</v>
      </c>
      <c r="E226" s="242" t="s">
        <v>469</v>
      </c>
      <c r="F226" s="242" t="s">
        <v>271</v>
      </c>
      <c r="G226" s="243">
        <v>3207102</v>
      </c>
      <c r="H226" s="244" t="s">
        <v>464</v>
      </c>
      <c r="J226" s="233"/>
    </row>
    <row r="227" spans="1:10" ht="15" customHeight="1">
      <c r="A227" s="240">
        <f t="shared" si="6"/>
        <v>224</v>
      </c>
      <c r="B227" s="241">
        <v>1781</v>
      </c>
      <c r="C227" s="242" t="s">
        <v>465</v>
      </c>
      <c r="D227" s="242" t="str">
        <f t="shared" si="7"/>
        <v>SVEUČILIŠTE U ZAGREBU - PRIRODOSLOVNO-MATEMATIČKI FAKULTET (1781)</v>
      </c>
      <c r="E227" s="242" t="s">
        <v>466</v>
      </c>
      <c r="F227" s="242" t="s">
        <v>271</v>
      </c>
      <c r="G227" s="243">
        <v>3270149</v>
      </c>
      <c r="H227" s="244" t="s">
        <v>467</v>
      </c>
      <c r="J227" s="233"/>
    </row>
    <row r="228" spans="1:10" ht="15" customHeight="1">
      <c r="A228" s="240">
        <f t="shared" si="6"/>
        <v>225</v>
      </c>
      <c r="B228" s="241">
        <v>2047</v>
      </c>
      <c r="C228" s="242" t="s">
        <v>468</v>
      </c>
      <c r="D228" s="242" t="str">
        <f t="shared" si="7"/>
        <v>SVEUČILIŠTE U ZAGREBU - RUDARSKO-GEOLOŠKO-NAFTNI FAKULTET (2047)</v>
      </c>
      <c r="E228" s="242" t="s">
        <v>469</v>
      </c>
      <c r="F228" s="242" t="s">
        <v>271</v>
      </c>
      <c r="G228" s="243">
        <v>3207005</v>
      </c>
      <c r="H228" s="244" t="s">
        <v>470</v>
      </c>
      <c r="J228" s="233"/>
    </row>
    <row r="229" spans="1:10" ht="15" customHeight="1">
      <c r="A229" s="240">
        <f t="shared" si="6"/>
        <v>226</v>
      </c>
      <c r="B229" s="241">
        <v>1870</v>
      </c>
      <c r="C229" s="242" t="s">
        <v>471</v>
      </c>
      <c r="D229" s="242" t="str">
        <f t="shared" si="7"/>
        <v>SVEUČILIŠTE U ZAGREBU - STOMATOLOŠKI FAKULTET (1870)</v>
      </c>
      <c r="E229" s="242" t="s">
        <v>472</v>
      </c>
      <c r="F229" s="242" t="s">
        <v>271</v>
      </c>
      <c r="G229" s="243">
        <v>3204995</v>
      </c>
      <c r="H229" s="244" t="s">
        <v>473</v>
      </c>
      <c r="J229" s="233"/>
    </row>
    <row r="230" spans="1:10" ht="15" customHeight="1">
      <c r="A230" s="240">
        <f t="shared" si="6"/>
        <v>227</v>
      </c>
      <c r="B230" s="241">
        <v>1896</v>
      </c>
      <c r="C230" s="242" t="s">
        <v>1766</v>
      </c>
      <c r="D230" s="242" t="str">
        <f t="shared" si="7"/>
        <v>SVEUČILIŠTE U ZAGREBU - FAKULTET ŠUMARSTVA I DRVNE TEHNOLOGIJE (1896)</v>
      </c>
      <c r="E230" s="242" t="s">
        <v>396</v>
      </c>
      <c r="F230" s="242" t="s">
        <v>271</v>
      </c>
      <c r="G230" s="243">
        <v>3281485</v>
      </c>
      <c r="H230" s="244" t="s">
        <v>474</v>
      </c>
      <c r="J230" s="233"/>
    </row>
    <row r="231" spans="1:10" ht="15" customHeight="1">
      <c r="A231" s="240">
        <f t="shared" si="6"/>
        <v>228</v>
      </c>
      <c r="B231" s="241">
        <v>1804</v>
      </c>
      <c r="C231" s="242" t="s">
        <v>475</v>
      </c>
      <c r="D231" s="242" t="str">
        <f t="shared" si="7"/>
        <v>SVEUČILIŠTE U ZAGREBU - TEKSTILNO TEHNOLOŠKI FAKULTET (1804)</v>
      </c>
      <c r="E231" s="242" t="s">
        <v>476</v>
      </c>
      <c r="F231" s="242" t="s">
        <v>271</v>
      </c>
      <c r="G231" s="243">
        <v>3207064</v>
      </c>
      <c r="H231" s="244" t="s">
        <v>477</v>
      </c>
      <c r="J231" s="233"/>
    </row>
    <row r="232" spans="1:10" ht="15" customHeight="1">
      <c r="A232" s="240">
        <f t="shared" si="6"/>
        <v>229</v>
      </c>
      <c r="B232" s="241">
        <v>1940</v>
      </c>
      <c r="C232" s="242" t="s">
        <v>478</v>
      </c>
      <c r="D232" s="242" t="str">
        <f t="shared" si="7"/>
        <v>SVEUČILIŠTE U ZAGREBU - UČITELJSKI FAKULTET (1940)</v>
      </c>
      <c r="E232" s="242" t="s">
        <v>479</v>
      </c>
      <c r="F232" s="242" t="s">
        <v>271</v>
      </c>
      <c r="G232" s="243">
        <v>1422545</v>
      </c>
      <c r="H232" s="244" t="s">
        <v>480</v>
      </c>
      <c r="J232" s="233"/>
    </row>
    <row r="233" spans="1:10" ht="15" customHeight="1">
      <c r="A233" s="240">
        <f t="shared" si="6"/>
        <v>230</v>
      </c>
      <c r="B233" s="241">
        <v>2022</v>
      </c>
      <c r="C233" s="242" t="s">
        <v>481</v>
      </c>
      <c r="D233" s="242" t="str">
        <f t="shared" si="7"/>
        <v>SVEUČILIŠTE U ZAGREBU - VETERINARSKI FAKULTET (2022)</v>
      </c>
      <c r="E233" s="242" t="s">
        <v>482</v>
      </c>
      <c r="F233" s="242" t="s">
        <v>271</v>
      </c>
      <c r="G233" s="243">
        <v>3225755</v>
      </c>
      <c r="H233" s="244" t="s">
        <v>483</v>
      </c>
      <c r="J233" s="233"/>
    </row>
    <row r="234" spans="1:10" ht="15" customHeight="1">
      <c r="A234" s="240">
        <f t="shared" si="6"/>
        <v>231</v>
      </c>
      <c r="B234" s="241">
        <v>22427</v>
      </c>
      <c r="C234" s="242" t="s">
        <v>492</v>
      </c>
      <c r="D234" s="242" t="str">
        <f t="shared" si="7"/>
        <v>TEHNIČKO VELEUČILIŠTE U ZAGREBU (22427)</v>
      </c>
      <c r="E234" s="242" t="s">
        <v>493</v>
      </c>
      <c r="F234" s="242" t="s">
        <v>271</v>
      </c>
      <c r="G234" s="243">
        <v>1398270</v>
      </c>
      <c r="H234" s="244" t="s">
        <v>494</v>
      </c>
      <c r="J234" s="233"/>
    </row>
    <row r="235" spans="1:10" ht="24">
      <c r="A235" s="240">
        <f t="shared" si="6"/>
        <v>232</v>
      </c>
      <c r="B235" s="241">
        <v>50848</v>
      </c>
      <c r="C235" s="242" t="s">
        <v>1721</v>
      </c>
      <c r="D235" s="242" t="str">
        <f t="shared" si="7"/>
        <v>VELEUČILIŠTE HRVATSKO ZAGORJE KRAPINA (50848)</v>
      </c>
      <c r="E235" s="242" t="s">
        <v>1722</v>
      </c>
      <c r="F235" s="242" t="s">
        <v>1723</v>
      </c>
      <c r="G235" s="243">
        <v>2271354</v>
      </c>
      <c r="H235" s="244" t="s">
        <v>1724</v>
      </c>
      <c r="J235" s="233"/>
    </row>
    <row r="236" spans="1:10" ht="15" customHeight="1">
      <c r="A236" s="240">
        <f t="shared" si="6"/>
        <v>233</v>
      </c>
      <c r="B236" s="241">
        <v>38446</v>
      </c>
      <c r="C236" s="242" t="s">
        <v>495</v>
      </c>
      <c r="D236" s="242" t="str">
        <f t="shared" si="7"/>
        <v>VELEUČILIŠTE LAVOSLAV RUŽIČKA U VUKOVARU (38446)</v>
      </c>
      <c r="E236" s="252" t="s">
        <v>496</v>
      </c>
      <c r="F236" s="252" t="s">
        <v>497</v>
      </c>
      <c r="G236" s="243">
        <v>1970828</v>
      </c>
      <c r="H236" s="244" t="s">
        <v>498</v>
      </c>
      <c r="J236" s="233"/>
    </row>
    <row r="237" spans="1:10" ht="15" customHeight="1">
      <c r="A237" s="240">
        <f t="shared" si="6"/>
        <v>234</v>
      </c>
      <c r="B237" s="241">
        <v>38438</v>
      </c>
      <c r="C237" s="242" t="s">
        <v>499</v>
      </c>
      <c r="D237" s="242" t="str">
        <f t="shared" si="7"/>
        <v>VELEUČILIŠTE MARKO MARULIĆ U KNINU (38438)</v>
      </c>
      <c r="E237" s="251" t="s">
        <v>3999</v>
      </c>
      <c r="F237" s="251" t="s">
        <v>501</v>
      </c>
      <c r="G237" s="250">
        <v>1963813</v>
      </c>
      <c r="H237" s="244" t="s">
        <v>502</v>
      </c>
      <c r="J237" s="233"/>
    </row>
    <row r="238" spans="1:10" ht="15" customHeight="1">
      <c r="A238" s="240">
        <f t="shared" si="6"/>
        <v>235</v>
      </c>
      <c r="B238" s="241">
        <v>41185</v>
      </c>
      <c r="C238" s="242" t="s">
        <v>503</v>
      </c>
      <c r="D238" s="242" t="str">
        <f t="shared" si="7"/>
        <v>VELEUČILIŠTE NIKOLA TESLA U GOSPIĆU (41185)</v>
      </c>
      <c r="E238" s="242" t="s">
        <v>504</v>
      </c>
      <c r="F238" s="242" t="s">
        <v>505</v>
      </c>
      <c r="G238" s="243">
        <v>2103133</v>
      </c>
      <c r="H238" s="244" t="s">
        <v>506</v>
      </c>
      <c r="J238" s="233"/>
    </row>
    <row r="239" spans="1:10" ht="15" customHeight="1">
      <c r="A239" s="240">
        <f t="shared" si="6"/>
        <v>236</v>
      </c>
      <c r="B239" s="241">
        <v>21053</v>
      </c>
      <c r="C239" s="242" t="s">
        <v>507</v>
      </c>
      <c r="D239" s="242" t="str">
        <f t="shared" si="7"/>
        <v>VELEUČILIŠTE U KARLOVCU (21053)</v>
      </c>
      <c r="E239" s="242" t="s">
        <v>508</v>
      </c>
      <c r="F239" s="242" t="s">
        <v>509</v>
      </c>
      <c r="G239" s="243">
        <v>1286030</v>
      </c>
      <c r="H239" s="244" t="s">
        <v>510</v>
      </c>
      <c r="J239" s="233"/>
    </row>
    <row r="240" spans="1:10" ht="15" customHeight="1">
      <c r="A240" s="240">
        <f t="shared" si="6"/>
        <v>237</v>
      </c>
      <c r="B240" s="241">
        <v>22398</v>
      </c>
      <c r="C240" s="242" t="s">
        <v>511</v>
      </c>
      <c r="D240" s="242" t="str">
        <f t="shared" si="7"/>
        <v>VELEUČILIŠTE U POŽEGI (22398)</v>
      </c>
      <c r="E240" s="242" t="s">
        <v>512</v>
      </c>
      <c r="F240" s="242" t="s">
        <v>513</v>
      </c>
      <c r="G240" s="243">
        <v>1395521</v>
      </c>
      <c r="H240" s="244" t="s">
        <v>514</v>
      </c>
      <c r="J240" s="233"/>
    </row>
    <row r="241" spans="1:10" ht="15" customHeight="1">
      <c r="A241" s="240">
        <f t="shared" si="6"/>
        <v>238</v>
      </c>
      <c r="B241" s="241">
        <v>22494</v>
      </c>
      <c r="C241" s="242" t="s">
        <v>515</v>
      </c>
      <c r="D241" s="242" t="str">
        <f t="shared" si="7"/>
        <v>VELEUČILIŠTE U RIJECI (22494)</v>
      </c>
      <c r="E241" s="242" t="s">
        <v>516</v>
      </c>
      <c r="F241" s="242" t="s">
        <v>316</v>
      </c>
      <c r="G241" s="243">
        <v>1387332</v>
      </c>
      <c r="H241" s="244" t="s">
        <v>517</v>
      </c>
      <c r="J241" s="233"/>
    </row>
    <row r="242" spans="1:10" ht="15" customHeight="1">
      <c r="A242" s="240">
        <f t="shared" si="6"/>
        <v>239</v>
      </c>
      <c r="B242" s="241">
        <v>22824</v>
      </c>
      <c r="C242" s="242" t="s">
        <v>518</v>
      </c>
      <c r="D242" s="242" t="str">
        <f t="shared" si="7"/>
        <v>VELEUČILIŠTE U ŠIBENIKU (22824)</v>
      </c>
      <c r="E242" s="242" t="s">
        <v>4000</v>
      </c>
      <c r="F242" s="242" t="s">
        <v>520</v>
      </c>
      <c r="G242" s="243">
        <v>2100673</v>
      </c>
      <c r="H242" s="244" t="s">
        <v>521</v>
      </c>
      <c r="J242" s="233"/>
    </row>
    <row r="243" spans="1:10" ht="15" customHeight="1">
      <c r="A243" s="240">
        <f t="shared" si="6"/>
        <v>240</v>
      </c>
      <c r="B243" s="241">
        <v>42993</v>
      </c>
      <c r="C243" s="242" t="s">
        <v>1767</v>
      </c>
      <c r="D243" s="242" t="str">
        <f t="shared" si="7"/>
        <v>VELEUČILIŠTE U VIROVITICI (42993)</v>
      </c>
      <c r="E243" s="242" t="s">
        <v>522</v>
      </c>
      <c r="F243" s="242" t="s">
        <v>523</v>
      </c>
      <c r="G243" s="243">
        <v>2282208</v>
      </c>
      <c r="H243" s="244" t="s">
        <v>524</v>
      </c>
      <c r="J243" s="233"/>
    </row>
    <row r="244" spans="1:10" ht="15" customHeight="1">
      <c r="A244" s="240">
        <f t="shared" si="6"/>
        <v>241</v>
      </c>
      <c r="B244" s="241">
        <v>22371</v>
      </c>
      <c r="C244" s="242" t="s">
        <v>525</v>
      </c>
      <c r="D244" s="242" t="str">
        <f t="shared" si="7"/>
        <v>VISOKO GOSPODARSKO UČILIŠTE U KRIŽEVCIMA (22371)</v>
      </c>
      <c r="E244" s="242" t="s">
        <v>526</v>
      </c>
      <c r="F244" s="242" t="s">
        <v>527</v>
      </c>
      <c r="G244" s="243">
        <v>1411942</v>
      </c>
      <c r="H244" s="244" t="s">
        <v>528</v>
      </c>
      <c r="J244" s="233"/>
    </row>
    <row r="245" spans="1:10" ht="15" customHeight="1">
      <c r="A245" s="240">
        <f t="shared" si="6"/>
        <v>242</v>
      </c>
      <c r="B245" s="241">
        <v>22832</v>
      </c>
      <c r="C245" s="242" t="s">
        <v>529</v>
      </c>
      <c r="D245" s="242" t="str">
        <f t="shared" si="7"/>
        <v>ZDRAVSTVENO VELEUČILIŠTE (22832)</v>
      </c>
      <c r="E245" s="242" t="s">
        <v>530</v>
      </c>
      <c r="F245" s="242" t="s">
        <v>271</v>
      </c>
      <c r="G245" s="243">
        <v>1274597</v>
      </c>
      <c r="H245" s="244" t="s">
        <v>531</v>
      </c>
      <c r="J245" s="233"/>
    </row>
    <row r="246" spans="1:10" ht="15" customHeight="1">
      <c r="A246" s="240">
        <f t="shared" si="6"/>
        <v>243</v>
      </c>
      <c r="B246" s="241">
        <v>2918</v>
      </c>
      <c r="C246" s="242" t="s">
        <v>4001</v>
      </c>
      <c r="D246" s="242" t="str">
        <f t="shared" si="7"/>
        <v>EKONOMSKI INSTITUT, ZAGREB (2918)</v>
      </c>
      <c r="E246" s="242" t="s">
        <v>4002</v>
      </c>
      <c r="F246" s="242" t="s">
        <v>271</v>
      </c>
      <c r="G246" s="243">
        <v>3219925</v>
      </c>
      <c r="H246" s="244" t="s">
        <v>535</v>
      </c>
      <c r="J246" s="233"/>
    </row>
    <row r="247" spans="1:10" ht="15" customHeight="1">
      <c r="A247" s="240">
        <f t="shared" si="6"/>
        <v>244</v>
      </c>
      <c r="B247" s="241">
        <v>22525</v>
      </c>
      <c r="C247" s="242" t="s">
        <v>563</v>
      </c>
      <c r="D247" s="242" t="str">
        <f t="shared" si="7"/>
        <v>HRVATSKI GEOLOŠKI INSTITUT  (22525)</v>
      </c>
      <c r="E247" s="242" t="s">
        <v>564</v>
      </c>
      <c r="F247" s="242" t="s">
        <v>271</v>
      </c>
      <c r="G247" s="243">
        <v>3219518</v>
      </c>
      <c r="H247" s="244" t="s">
        <v>565</v>
      </c>
      <c r="J247" s="233"/>
    </row>
    <row r="248" spans="1:10" ht="15" customHeight="1">
      <c r="A248" s="240">
        <f t="shared" si="6"/>
        <v>245</v>
      </c>
      <c r="B248" s="241">
        <v>2934</v>
      </c>
      <c r="C248" s="242" t="s">
        <v>536</v>
      </c>
      <c r="D248" s="242" t="str">
        <f t="shared" si="7"/>
        <v>HRVATSKI INSTITUT ZA POVIJEST (2934)</v>
      </c>
      <c r="E248" s="242" t="s">
        <v>537</v>
      </c>
      <c r="F248" s="242" t="s">
        <v>271</v>
      </c>
      <c r="G248" s="243">
        <v>3207153</v>
      </c>
      <c r="H248" s="244" t="s">
        <v>538</v>
      </c>
      <c r="J248" s="233"/>
    </row>
    <row r="249" spans="1:10" ht="15" customHeight="1">
      <c r="A249" s="240">
        <f t="shared" si="6"/>
        <v>246</v>
      </c>
      <c r="B249" s="241">
        <v>2967</v>
      </c>
      <c r="C249" s="242" t="s">
        <v>598</v>
      </c>
      <c r="D249" s="242" t="str">
        <f t="shared" si="7"/>
        <v>HRVATSKI ŠUMARSKI INSTITUT (2967)</v>
      </c>
      <c r="E249" s="242" t="s">
        <v>599</v>
      </c>
      <c r="F249" s="242" t="s">
        <v>600</v>
      </c>
      <c r="G249" s="243">
        <v>3115879</v>
      </c>
      <c r="H249" s="244" t="s">
        <v>601</v>
      </c>
      <c r="J249" s="233"/>
    </row>
    <row r="250" spans="1:10" ht="15" customHeight="1">
      <c r="A250" s="240">
        <f t="shared" si="6"/>
        <v>247</v>
      </c>
      <c r="B250" s="241">
        <v>2983</v>
      </c>
      <c r="C250" s="242" t="s">
        <v>539</v>
      </c>
      <c r="D250" s="242" t="str">
        <f t="shared" si="7"/>
        <v>HRVATSKI VETERINARSKI INSTITUT (2983)</v>
      </c>
      <c r="E250" s="242" t="s">
        <v>540</v>
      </c>
      <c r="F250" s="242" t="s">
        <v>271</v>
      </c>
      <c r="G250" s="243">
        <v>3274098</v>
      </c>
      <c r="H250" s="244" t="s">
        <v>541</v>
      </c>
      <c r="J250" s="233"/>
    </row>
    <row r="251" spans="1:10" ht="15" customHeight="1">
      <c r="A251" s="240">
        <f t="shared" ref="A251:A314" si="8">+A250+1</f>
        <v>248</v>
      </c>
      <c r="B251" s="241">
        <v>3105</v>
      </c>
      <c r="C251" s="242" t="s">
        <v>542</v>
      </c>
      <c r="D251" s="242" t="str">
        <f t="shared" si="7"/>
        <v>INSTITUT DRUŠTVENIH ZNANOSTI IVO PILAR (3105)</v>
      </c>
      <c r="E251" s="242" t="s">
        <v>543</v>
      </c>
      <c r="F251" s="242" t="s">
        <v>271</v>
      </c>
      <c r="G251" s="243">
        <v>3793028</v>
      </c>
      <c r="H251" s="244" t="s">
        <v>544</v>
      </c>
      <c r="J251" s="233"/>
    </row>
    <row r="252" spans="1:10" ht="15" customHeight="1">
      <c r="A252" s="240">
        <f t="shared" si="8"/>
        <v>249</v>
      </c>
      <c r="B252" s="241">
        <v>3041</v>
      </c>
      <c r="C252" s="242" t="s">
        <v>545</v>
      </c>
      <c r="D252" s="242" t="str">
        <f t="shared" si="7"/>
        <v>INSTITUT RUĐER BOŠKOVIĆ (3041)</v>
      </c>
      <c r="E252" s="242" t="s">
        <v>546</v>
      </c>
      <c r="F252" s="242" t="s">
        <v>271</v>
      </c>
      <c r="G252" s="243">
        <v>3270289</v>
      </c>
      <c r="H252" s="244" t="s">
        <v>547</v>
      </c>
      <c r="J252" s="233"/>
    </row>
    <row r="253" spans="1:10" ht="15" customHeight="1">
      <c r="A253" s="240">
        <f t="shared" si="8"/>
        <v>250</v>
      </c>
      <c r="B253" s="241">
        <v>3113</v>
      </c>
      <c r="C253" s="242" t="s">
        <v>548</v>
      </c>
      <c r="D253" s="242" t="str">
        <f t="shared" si="7"/>
        <v>INSTITUT ZA ANTROPOLOGIJU (3113)</v>
      </c>
      <c r="E253" s="242" t="s">
        <v>549</v>
      </c>
      <c r="F253" s="242" t="s">
        <v>271</v>
      </c>
      <c r="G253" s="243">
        <v>3817121</v>
      </c>
      <c r="H253" s="244" t="s">
        <v>550</v>
      </c>
      <c r="J253" s="233"/>
    </row>
    <row r="254" spans="1:10" ht="15" customHeight="1">
      <c r="A254" s="240">
        <f t="shared" si="8"/>
        <v>251</v>
      </c>
      <c r="B254" s="241">
        <v>3121</v>
      </c>
      <c r="C254" s="242" t="s">
        <v>551</v>
      </c>
      <c r="D254" s="242" t="str">
        <f t="shared" si="7"/>
        <v>INSTITUT ZA ARHEOLOGIJU (3121)</v>
      </c>
      <c r="E254" s="242" t="s">
        <v>549</v>
      </c>
      <c r="F254" s="242" t="s">
        <v>271</v>
      </c>
      <c r="G254" s="243">
        <v>3937658</v>
      </c>
      <c r="H254" s="244" t="s">
        <v>552</v>
      </c>
      <c r="J254" s="233"/>
    </row>
    <row r="255" spans="1:10" ht="15" customHeight="1">
      <c r="A255" s="240">
        <f t="shared" si="8"/>
        <v>252</v>
      </c>
      <c r="B255" s="241">
        <v>3050</v>
      </c>
      <c r="C255" s="242" t="s">
        <v>4003</v>
      </c>
      <c r="D255" s="242" t="str">
        <f t="shared" si="7"/>
        <v>INSTITUT ZA DRUŠTVENA ISTRAŽIVANJA U ZAGREBU (3050)</v>
      </c>
      <c r="E255" s="242" t="s">
        <v>554</v>
      </c>
      <c r="F255" s="242" t="s">
        <v>271</v>
      </c>
      <c r="G255" s="243">
        <v>3205118</v>
      </c>
      <c r="H255" s="244" t="s">
        <v>555</v>
      </c>
      <c r="J255" s="233"/>
    </row>
    <row r="256" spans="1:10" ht="15" customHeight="1">
      <c r="A256" s="240">
        <f t="shared" si="8"/>
        <v>253</v>
      </c>
      <c r="B256" s="241">
        <v>3084</v>
      </c>
      <c r="C256" s="242" t="s">
        <v>556</v>
      </c>
      <c r="D256" s="242" t="str">
        <f t="shared" si="7"/>
        <v>INSTITUT ZA ETNOLOGIJU I FOLKLORISTIKU (3084)</v>
      </c>
      <c r="E256" s="242" t="s">
        <v>557</v>
      </c>
      <c r="F256" s="242" t="s">
        <v>271</v>
      </c>
      <c r="G256" s="243">
        <v>3724042</v>
      </c>
      <c r="H256" s="244" t="s">
        <v>558</v>
      </c>
      <c r="J256" s="233"/>
    </row>
    <row r="257" spans="1:10" ht="15" customHeight="1">
      <c r="A257" s="240">
        <f t="shared" si="8"/>
        <v>254</v>
      </c>
      <c r="B257" s="241">
        <v>3092</v>
      </c>
      <c r="C257" s="242" t="s">
        <v>559</v>
      </c>
      <c r="D257" s="242" t="str">
        <f t="shared" si="7"/>
        <v>INSTITUT ZA FILOZOFIJU (3092)</v>
      </c>
      <c r="E257" s="242" t="s">
        <v>1725</v>
      </c>
      <c r="F257" s="242" t="s">
        <v>271</v>
      </c>
      <c r="G257" s="243">
        <v>3772047</v>
      </c>
      <c r="H257" s="244" t="s">
        <v>560</v>
      </c>
      <c r="J257" s="233"/>
    </row>
    <row r="258" spans="1:10" ht="15" customHeight="1">
      <c r="A258" s="240">
        <f t="shared" si="8"/>
        <v>255</v>
      </c>
      <c r="B258" s="241">
        <v>2975</v>
      </c>
      <c r="C258" s="242" t="s">
        <v>561</v>
      </c>
      <c r="D258" s="242" t="str">
        <f t="shared" si="7"/>
        <v>INSTITUT ZA FIZIKU (2975)</v>
      </c>
      <c r="E258" s="242" t="s">
        <v>546</v>
      </c>
      <c r="F258" s="242" t="s">
        <v>271</v>
      </c>
      <c r="G258" s="243">
        <v>3270424</v>
      </c>
      <c r="H258" s="244" t="s">
        <v>562</v>
      </c>
      <c r="J258" s="233"/>
    </row>
    <row r="259" spans="1:10" ht="15" customHeight="1">
      <c r="A259" s="240">
        <f t="shared" si="8"/>
        <v>256</v>
      </c>
      <c r="B259" s="241">
        <v>21061</v>
      </c>
      <c r="C259" s="242" t="s">
        <v>566</v>
      </c>
      <c r="D259" s="242" t="str">
        <f t="shared" si="7"/>
        <v>INSTITUT ZA HRVATSKI JEZIK I JEZIKOSLOVLJE (21061)</v>
      </c>
      <c r="E259" s="242" t="s">
        <v>567</v>
      </c>
      <c r="F259" s="242" t="s">
        <v>271</v>
      </c>
      <c r="G259" s="243">
        <v>1259571</v>
      </c>
      <c r="H259" s="244" t="s">
        <v>568</v>
      </c>
      <c r="J259" s="233"/>
    </row>
    <row r="260" spans="1:10" ht="15" customHeight="1">
      <c r="A260" s="240">
        <f t="shared" si="8"/>
        <v>257</v>
      </c>
      <c r="B260" s="241">
        <v>3025</v>
      </c>
      <c r="C260" s="242" t="s">
        <v>569</v>
      </c>
      <c r="D260" s="242" t="str">
        <f t="shared" ref="D260:D323" si="9">C260&amp;" ("&amp;B260&amp;")"</f>
        <v>INSTITUT ZA JADRANSKE KULTURE I MELIORACIJU KRŠA (3025)</v>
      </c>
      <c r="E260" s="242" t="s">
        <v>570</v>
      </c>
      <c r="F260" s="242" t="s">
        <v>356</v>
      </c>
      <c r="G260" s="243">
        <v>3140792</v>
      </c>
      <c r="H260" s="244" t="s">
        <v>571</v>
      </c>
      <c r="J260" s="233"/>
    </row>
    <row r="261" spans="1:10" ht="15" customHeight="1">
      <c r="A261" s="240">
        <f t="shared" si="8"/>
        <v>258</v>
      </c>
      <c r="B261" s="241">
        <v>23286</v>
      </c>
      <c r="C261" s="242" t="s">
        <v>572</v>
      </c>
      <c r="D261" s="242" t="str">
        <f t="shared" si="9"/>
        <v>INSTITUT ZA JAVNE FINANCIJE (23286)</v>
      </c>
      <c r="E261" s="242" t="s">
        <v>573</v>
      </c>
      <c r="F261" s="242" t="s">
        <v>271</v>
      </c>
      <c r="G261" s="243">
        <v>3226344</v>
      </c>
      <c r="H261" s="244" t="s">
        <v>574</v>
      </c>
      <c r="J261" s="233"/>
    </row>
    <row r="262" spans="1:10" ht="15" customHeight="1">
      <c r="A262" s="240">
        <f t="shared" si="8"/>
        <v>259</v>
      </c>
      <c r="B262" s="241">
        <v>2959</v>
      </c>
      <c r="C262" s="242" t="s">
        <v>575</v>
      </c>
      <c r="D262" s="242" t="str">
        <f t="shared" si="9"/>
        <v>INSTITUT ZA MEDICINSKA ISTRAŽIVANJA I MEDICINU RADA (2959)</v>
      </c>
      <c r="E262" s="242" t="s">
        <v>576</v>
      </c>
      <c r="F262" s="242" t="s">
        <v>271</v>
      </c>
      <c r="G262" s="243">
        <v>3270475</v>
      </c>
      <c r="H262" s="244" t="s">
        <v>577</v>
      </c>
      <c r="J262" s="233"/>
    </row>
    <row r="263" spans="1:10" ht="15" customHeight="1">
      <c r="A263" s="240">
        <f t="shared" si="8"/>
        <v>260</v>
      </c>
      <c r="B263" s="241">
        <v>3009</v>
      </c>
      <c r="C263" s="242" t="s">
        <v>580</v>
      </c>
      <c r="D263" s="242" t="str">
        <f t="shared" si="9"/>
        <v>INSTITUT ZA MIGRACIJE I NARODNOSTI (3009)</v>
      </c>
      <c r="E263" s="242" t="s">
        <v>581</v>
      </c>
      <c r="F263" s="242" t="s">
        <v>271</v>
      </c>
      <c r="G263" s="243">
        <v>3287572</v>
      </c>
      <c r="H263" s="244" t="s">
        <v>582</v>
      </c>
      <c r="J263" s="233"/>
    </row>
    <row r="264" spans="1:10" ht="15" customHeight="1">
      <c r="A264" s="240">
        <f t="shared" si="8"/>
        <v>261</v>
      </c>
      <c r="B264" s="241">
        <v>2900</v>
      </c>
      <c r="C264" s="242" t="s">
        <v>583</v>
      </c>
      <c r="D264" s="242" t="str">
        <f t="shared" si="9"/>
        <v>INSTITUT ZA OCEANOGRAFIJU I RIBARSTVO (2900)</v>
      </c>
      <c r="E264" s="242" t="s">
        <v>4004</v>
      </c>
      <c r="F264" s="242" t="s">
        <v>356</v>
      </c>
      <c r="G264" s="243">
        <v>3118355</v>
      </c>
      <c r="H264" s="244" t="s">
        <v>584</v>
      </c>
      <c r="J264" s="233"/>
    </row>
    <row r="265" spans="1:10" ht="15" customHeight="1">
      <c r="A265" s="240">
        <f t="shared" si="8"/>
        <v>262</v>
      </c>
      <c r="B265" s="241">
        <v>3076</v>
      </c>
      <c r="C265" s="242" t="s">
        <v>585</v>
      </c>
      <c r="D265" s="242" t="str">
        <f t="shared" si="9"/>
        <v>INSTITUT ZA POLJOPRIVREDU I TURIZAM (3076)</v>
      </c>
      <c r="E265" s="242" t="s">
        <v>586</v>
      </c>
      <c r="F265" s="242" t="s">
        <v>587</v>
      </c>
      <c r="G265" s="243">
        <v>3421031</v>
      </c>
      <c r="H265" s="244" t="s">
        <v>588</v>
      </c>
      <c r="J265" s="233"/>
    </row>
    <row r="266" spans="1:10" ht="15" customHeight="1">
      <c r="A266" s="240">
        <f t="shared" si="8"/>
        <v>263</v>
      </c>
      <c r="B266" s="241">
        <v>2942</v>
      </c>
      <c r="C266" s="242" t="s">
        <v>589</v>
      </c>
      <c r="D266" s="242" t="str">
        <f t="shared" si="9"/>
        <v>INSTITUT ZA POVIJEST UMJETNOSTI (2942)</v>
      </c>
      <c r="E266" s="242" t="s">
        <v>590</v>
      </c>
      <c r="F266" s="242" t="s">
        <v>271</v>
      </c>
      <c r="G266" s="243">
        <v>1339958</v>
      </c>
      <c r="H266" s="244" t="s">
        <v>591</v>
      </c>
      <c r="J266" s="233"/>
    </row>
    <row r="267" spans="1:10" ht="15" customHeight="1">
      <c r="A267" s="240">
        <f t="shared" si="8"/>
        <v>264</v>
      </c>
      <c r="B267" s="241">
        <v>22621</v>
      </c>
      <c r="C267" s="242" t="s">
        <v>578</v>
      </c>
      <c r="D267" s="242" t="str">
        <f t="shared" si="9"/>
        <v>INSTITUT ZA RAZVOJ I MEĐUNARODNE ODNOSE (22621)</v>
      </c>
      <c r="E267" s="242" t="s">
        <v>1726</v>
      </c>
      <c r="F267" s="242" t="s">
        <v>271</v>
      </c>
      <c r="G267" s="243">
        <v>3205177</v>
      </c>
      <c r="H267" s="244" t="s">
        <v>579</v>
      </c>
      <c r="J267" s="233"/>
    </row>
    <row r="268" spans="1:10" ht="15" customHeight="1">
      <c r="A268" s="240">
        <f t="shared" si="8"/>
        <v>265</v>
      </c>
      <c r="B268" s="241">
        <v>3068</v>
      </c>
      <c r="C268" s="242" t="s">
        <v>592</v>
      </c>
      <c r="D268" s="242" t="str">
        <f t="shared" si="9"/>
        <v>INSTITUT ZA TURIZAM (3068)</v>
      </c>
      <c r="E268" s="242" t="s">
        <v>593</v>
      </c>
      <c r="F268" s="242" t="s">
        <v>271</v>
      </c>
      <c r="G268" s="243">
        <v>3208001</v>
      </c>
      <c r="H268" s="244" t="s">
        <v>594</v>
      </c>
      <c r="J268" s="233"/>
    </row>
    <row r="269" spans="1:10" ht="15" customHeight="1">
      <c r="A269" s="240">
        <f t="shared" si="8"/>
        <v>266</v>
      </c>
      <c r="B269" s="241">
        <v>2991</v>
      </c>
      <c r="C269" s="242" t="s">
        <v>1728</v>
      </c>
      <c r="D269" s="242" t="str">
        <f t="shared" si="9"/>
        <v>POLJOPRIVREDNI INSTITUT OSIJEK (2991)</v>
      </c>
      <c r="E269" s="242" t="s">
        <v>1729</v>
      </c>
      <c r="F269" s="242" t="s">
        <v>274</v>
      </c>
      <c r="G269" s="243">
        <v>3058239</v>
      </c>
      <c r="H269" s="244" t="s">
        <v>1730</v>
      </c>
      <c r="J269" s="233"/>
    </row>
    <row r="270" spans="1:10" ht="15" customHeight="1">
      <c r="A270" s="240">
        <f t="shared" si="8"/>
        <v>267</v>
      </c>
      <c r="B270" s="241">
        <v>21070</v>
      </c>
      <c r="C270" s="242" t="s">
        <v>595</v>
      </c>
      <c r="D270" s="242" t="str">
        <f t="shared" si="9"/>
        <v>STAROSLAVENSKI INSTITUT (21070)</v>
      </c>
      <c r="E270" s="242" t="s">
        <v>596</v>
      </c>
      <c r="F270" s="242" t="s">
        <v>271</v>
      </c>
      <c r="G270" s="243">
        <v>1259563</v>
      </c>
      <c r="H270" s="244" t="s">
        <v>597</v>
      </c>
      <c r="J270" s="233"/>
    </row>
    <row r="271" spans="1:10" ht="15" customHeight="1">
      <c r="A271" s="240">
        <f t="shared" si="8"/>
        <v>268</v>
      </c>
      <c r="B271" s="241">
        <v>6179</v>
      </c>
      <c r="C271" s="242" t="s">
        <v>603</v>
      </c>
      <c r="D271" s="242" t="str">
        <f t="shared" si="9"/>
        <v>DRŽAVNI ZAVOD ZA INTELEKTUALNO VLASNIŠTVO (6179)</v>
      </c>
      <c r="E271" s="242" t="s">
        <v>604</v>
      </c>
      <c r="F271" s="242" t="s">
        <v>271</v>
      </c>
      <c r="G271" s="243">
        <v>3899772</v>
      </c>
      <c r="H271" s="244" t="s">
        <v>605</v>
      </c>
      <c r="J271" s="233"/>
    </row>
    <row r="272" spans="1:10" ht="15" customHeight="1">
      <c r="A272" s="240">
        <f t="shared" si="8"/>
        <v>269</v>
      </c>
      <c r="B272" s="241">
        <v>43335</v>
      </c>
      <c r="C272" s="242" t="s">
        <v>624</v>
      </c>
      <c r="D272" s="242" t="str">
        <f t="shared" si="9"/>
        <v>AGENCIJA ZA MOBILNOST I PROGRAME EUROPSKE UNIJE (43335)</v>
      </c>
      <c r="E272" s="251" t="s">
        <v>613</v>
      </c>
      <c r="F272" s="242" t="s">
        <v>271</v>
      </c>
      <c r="G272" s="250">
        <v>2298007</v>
      </c>
      <c r="H272" s="244" t="s">
        <v>625</v>
      </c>
      <c r="J272" s="233"/>
    </row>
    <row r="273" spans="1:10" ht="15" customHeight="1">
      <c r="A273" s="240">
        <f t="shared" si="8"/>
        <v>270</v>
      </c>
      <c r="B273" s="241">
        <v>23962</v>
      </c>
      <c r="C273" s="242" t="s">
        <v>617</v>
      </c>
      <c r="D273" s="242" t="str">
        <f t="shared" si="9"/>
        <v>AGENCIJA ZA ODGOJ I OBRAZOVANJE (23962)</v>
      </c>
      <c r="E273" s="242" t="s">
        <v>620</v>
      </c>
      <c r="F273" s="242" t="s">
        <v>271</v>
      </c>
      <c r="G273" s="243">
        <v>1778129</v>
      </c>
      <c r="H273" s="244" t="s">
        <v>618</v>
      </c>
      <c r="J273" s="233"/>
    </row>
    <row r="274" spans="1:10" ht="15" customHeight="1">
      <c r="A274" s="240">
        <f t="shared" si="8"/>
        <v>271</v>
      </c>
      <c r="B274" s="241">
        <v>46173</v>
      </c>
      <c r="C274" s="242" t="s">
        <v>626</v>
      </c>
      <c r="D274" s="242" t="str">
        <f t="shared" si="9"/>
        <v>AGENCIJA ZA STRUKOVNO OBRAZOVANJE I OBRAZOVANJE ODRASLIH (46173)</v>
      </c>
      <c r="E274" s="251" t="s">
        <v>1768</v>
      </c>
      <c r="F274" s="242" t="s">
        <v>271</v>
      </c>
      <c r="G274" s="250">
        <v>2650029</v>
      </c>
      <c r="H274" s="244" t="s">
        <v>627</v>
      </c>
      <c r="J274" s="233"/>
    </row>
    <row r="275" spans="1:10" ht="15" customHeight="1">
      <c r="A275" s="240">
        <f t="shared" si="8"/>
        <v>272</v>
      </c>
      <c r="B275" s="241">
        <v>38487</v>
      </c>
      <c r="C275" s="242" t="s">
        <v>619</v>
      </c>
      <c r="D275" s="242" t="str">
        <f t="shared" si="9"/>
        <v>AGENCIJA ZA ZNANOST I VISOKO OBRAZOVANJE (38487)</v>
      </c>
      <c r="E275" s="251" t="s">
        <v>620</v>
      </c>
      <c r="F275" s="242" t="s">
        <v>271</v>
      </c>
      <c r="G275" s="250">
        <v>1922548</v>
      </c>
      <c r="H275" s="244" t="s">
        <v>621</v>
      </c>
      <c r="J275" s="233"/>
    </row>
    <row r="276" spans="1:10" ht="15" customHeight="1">
      <c r="A276" s="240">
        <f t="shared" si="8"/>
        <v>273</v>
      </c>
      <c r="B276" s="241">
        <v>21852</v>
      </c>
      <c r="C276" s="242" t="s">
        <v>609</v>
      </c>
      <c r="D276" s="242" t="str">
        <f t="shared" si="9"/>
        <v>HRVATSKA AKADEMSKA I ISTRAŽIVAČKA MREŽA - CARNET (21852)</v>
      </c>
      <c r="E276" s="251" t="s">
        <v>610</v>
      </c>
      <c r="F276" s="242" t="s">
        <v>271</v>
      </c>
      <c r="G276" s="250">
        <v>1147820</v>
      </c>
      <c r="H276" s="244" t="s">
        <v>611</v>
      </c>
      <c r="J276" s="233"/>
    </row>
    <row r="277" spans="1:10" ht="15" customHeight="1">
      <c r="A277" s="240">
        <f t="shared" si="8"/>
        <v>274</v>
      </c>
      <c r="B277" s="241">
        <v>52209</v>
      </c>
      <c r="C277" s="242" t="s">
        <v>3525</v>
      </c>
      <c r="D277" s="242" t="str">
        <f t="shared" si="9"/>
        <v>HRVATSKA ZAKLADA ZA ZNANOST (52209)</v>
      </c>
      <c r="E277" s="251" t="s">
        <v>3526</v>
      </c>
      <c r="F277" s="242" t="s">
        <v>271</v>
      </c>
      <c r="G277" s="250">
        <v>1626841</v>
      </c>
      <c r="H277" s="244">
        <v>88776522763</v>
      </c>
      <c r="J277" s="233"/>
    </row>
    <row r="278" spans="1:10" ht="15" customHeight="1">
      <c r="A278" s="240">
        <f t="shared" si="8"/>
        <v>275</v>
      </c>
      <c r="B278" s="241">
        <v>21869</v>
      </c>
      <c r="C278" s="242" t="s">
        <v>612</v>
      </c>
      <c r="D278" s="242" t="str">
        <f t="shared" si="9"/>
        <v>LEKSIKOGRAFSKI ZAVOD MIROSLAV KRLEŽA (21869)</v>
      </c>
      <c r="E278" s="251" t="s">
        <v>613</v>
      </c>
      <c r="F278" s="242" t="s">
        <v>271</v>
      </c>
      <c r="G278" s="250">
        <v>3211622</v>
      </c>
      <c r="H278" s="244" t="s">
        <v>614</v>
      </c>
      <c r="J278" s="233"/>
    </row>
    <row r="279" spans="1:10" ht="15" customHeight="1">
      <c r="A279" s="240">
        <f t="shared" si="8"/>
        <v>276</v>
      </c>
      <c r="B279" s="241">
        <v>21836</v>
      </c>
      <c r="C279" s="242" t="s">
        <v>606</v>
      </c>
      <c r="D279" s="242" t="str">
        <f t="shared" si="9"/>
        <v>NACIONALNA I SVEUČILIŠNA KNJIŽNICA U ZAGREBU (21836)</v>
      </c>
      <c r="E279" s="251" t="s">
        <v>4005</v>
      </c>
      <c r="F279" s="242" t="s">
        <v>271</v>
      </c>
      <c r="G279" s="250">
        <v>3205363</v>
      </c>
      <c r="H279" s="244" t="s">
        <v>608</v>
      </c>
      <c r="J279" s="233"/>
    </row>
    <row r="280" spans="1:10" ht="15" customHeight="1">
      <c r="A280" s="240">
        <f t="shared" si="8"/>
        <v>277</v>
      </c>
      <c r="B280" s="241">
        <v>40883</v>
      </c>
      <c r="C280" s="242" t="s">
        <v>622</v>
      </c>
      <c r="D280" s="242" t="str">
        <f t="shared" si="9"/>
        <v>NACIONALNI CENTAR ZA VANJSKO VREDNOVANJE OBRAZOVANJA (40883)</v>
      </c>
      <c r="E280" s="251" t="s">
        <v>1769</v>
      </c>
      <c r="F280" s="242" t="s">
        <v>1770</v>
      </c>
      <c r="G280" s="250">
        <v>1943430</v>
      </c>
      <c r="H280" s="244" t="s">
        <v>623</v>
      </c>
      <c r="J280" s="233"/>
    </row>
    <row r="281" spans="1:10" ht="15" customHeight="1">
      <c r="A281" s="240">
        <f t="shared" si="8"/>
        <v>278</v>
      </c>
      <c r="B281" s="241">
        <v>23665</v>
      </c>
      <c r="C281" s="242" t="s">
        <v>615</v>
      </c>
      <c r="D281" s="242" t="str">
        <f t="shared" si="9"/>
        <v>SVEUČILIŠTE U ZAGREBU - SVEUČILIŠNI RAČUNSKI CENTAR - SRCE (23665)</v>
      </c>
      <c r="E281" s="251" t="s">
        <v>610</v>
      </c>
      <c r="F281" s="242" t="s">
        <v>271</v>
      </c>
      <c r="G281" s="243">
        <v>3283020</v>
      </c>
      <c r="H281" s="244" t="s">
        <v>616</v>
      </c>
      <c r="J281" s="233"/>
    </row>
    <row r="282" spans="1:10" s="233" customFormat="1" ht="15" customHeight="1">
      <c r="A282" s="228">
        <f t="shared" si="8"/>
        <v>279</v>
      </c>
      <c r="B282" s="235">
        <v>47096</v>
      </c>
      <c r="C282" s="236" t="s">
        <v>4006</v>
      </c>
      <c r="D282" s="242" t="str">
        <f t="shared" si="9"/>
        <v>MINISTARSTVO RADA, MIROVINSKOG SUSTAVA, OBITELJI I SOCIJALNE POLITIKE (47096)</v>
      </c>
      <c r="E282" s="236" t="s">
        <v>604</v>
      </c>
      <c r="F282" s="236" t="s">
        <v>271</v>
      </c>
      <c r="G282" s="237">
        <v>2830949</v>
      </c>
      <c r="H282" s="238" t="s">
        <v>4007</v>
      </c>
    </row>
    <row r="283" spans="1:10" s="233" customFormat="1" ht="15" customHeight="1">
      <c r="A283" s="240">
        <f t="shared" si="8"/>
        <v>280</v>
      </c>
      <c r="B283" s="241">
        <v>25843</v>
      </c>
      <c r="C283" s="242" t="s">
        <v>4008</v>
      </c>
      <c r="D283" s="242" t="str">
        <f t="shared" si="9"/>
        <v>HRVATSKI ZAVOD ZA ZAPOŠLJAVANJE* (25843)</v>
      </c>
      <c r="E283" s="242" t="s">
        <v>4009</v>
      </c>
      <c r="F283" s="242" t="s">
        <v>271</v>
      </c>
      <c r="G283" s="243">
        <v>1369741</v>
      </c>
      <c r="H283" s="244" t="s">
        <v>4010</v>
      </c>
    </row>
    <row r="284" spans="1:10" ht="24">
      <c r="A284" s="240">
        <f t="shared" si="8"/>
        <v>281</v>
      </c>
      <c r="B284" s="241">
        <v>48242</v>
      </c>
      <c r="C284" s="242" t="s">
        <v>4011</v>
      </c>
      <c r="D284" s="242" t="str">
        <f t="shared" si="9"/>
        <v>ZAVOD ZA VJEŠTAČENJE, PROFESIONALNU REHABILITACIJU I ZAPOŠLJAVANJE OSOBA S INVALIDITETOM (48242)</v>
      </c>
      <c r="E284" s="242" t="s">
        <v>4012</v>
      </c>
      <c r="F284" s="242" t="s">
        <v>271</v>
      </c>
      <c r="G284" s="243">
        <v>4166159</v>
      </c>
      <c r="H284" s="244" t="s">
        <v>4013</v>
      </c>
      <c r="J284" s="233"/>
    </row>
    <row r="285" spans="1:10" ht="15" customHeight="1">
      <c r="A285" s="240">
        <f t="shared" si="8"/>
        <v>282</v>
      </c>
      <c r="B285" s="241">
        <v>24168</v>
      </c>
      <c r="C285" s="242" t="s">
        <v>4014</v>
      </c>
      <c r="D285" s="242" t="str">
        <f t="shared" si="9"/>
        <v>SREDIŠNJI REGISTAR OSIGURANIKA (24168)</v>
      </c>
      <c r="E285" s="242" t="s">
        <v>4015</v>
      </c>
      <c r="F285" s="242" t="s">
        <v>271</v>
      </c>
      <c r="G285" s="243">
        <v>1469819</v>
      </c>
      <c r="H285" s="238" t="s">
        <v>4016</v>
      </c>
      <c r="J285" s="233"/>
    </row>
    <row r="286" spans="1:10" ht="15" customHeight="1">
      <c r="A286" s="240">
        <f t="shared" si="8"/>
        <v>283</v>
      </c>
      <c r="B286" s="241">
        <v>44508</v>
      </c>
      <c r="C286" s="242" t="s">
        <v>4017</v>
      </c>
      <c r="D286" s="242" t="str">
        <f t="shared" si="9"/>
        <v>AGENCIJA ZA OSIGURANJE RADNIČKIH TRAŽBINA (44508)</v>
      </c>
      <c r="E286" s="242" t="s">
        <v>4018</v>
      </c>
      <c r="F286" s="242" t="s">
        <v>271</v>
      </c>
      <c r="G286" s="243">
        <v>2456257</v>
      </c>
      <c r="H286" s="244" t="s">
        <v>4019</v>
      </c>
      <c r="J286" s="233"/>
    </row>
    <row r="287" spans="1:10" ht="15" customHeight="1">
      <c r="A287" s="240">
        <f t="shared" si="8"/>
        <v>284</v>
      </c>
      <c r="B287" s="241">
        <v>33634</v>
      </c>
      <c r="C287" s="259" t="s">
        <v>4020</v>
      </c>
      <c r="D287" s="242" t="str">
        <f t="shared" si="9"/>
        <v>CENTAR ZA PROFESIONALNU REHABILITACIJU OSIJEK (33634)</v>
      </c>
      <c r="E287" s="259" t="s">
        <v>4021</v>
      </c>
      <c r="F287" s="259" t="s">
        <v>274</v>
      </c>
      <c r="G287" s="254" t="s">
        <v>4022</v>
      </c>
      <c r="H287" s="260">
        <v>57200304958</v>
      </c>
      <c r="J287" s="233"/>
    </row>
    <row r="288" spans="1:10" ht="15" customHeight="1">
      <c r="A288" s="240">
        <f t="shared" si="8"/>
        <v>285</v>
      </c>
      <c r="B288" s="241">
        <v>49059</v>
      </c>
      <c r="C288" s="259" t="s">
        <v>4023</v>
      </c>
      <c r="D288" s="242" t="str">
        <f t="shared" si="9"/>
        <v>CENTAR ZA PROFESIONALNU REHABILITACIJU RIJEKA (49059)</v>
      </c>
      <c r="E288" s="259" t="s">
        <v>4024</v>
      </c>
      <c r="F288" s="259" t="s">
        <v>316</v>
      </c>
      <c r="G288" s="261" t="s">
        <v>4025</v>
      </c>
      <c r="H288" s="260">
        <v>99737296287</v>
      </c>
      <c r="J288" s="233"/>
    </row>
    <row r="289" spans="1:10" ht="15" customHeight="1">
      <c r="A289" s="240">
        <f t="shared" si="8"/>
        <v>286</v>
      </c>
      <c r="B289" s="241">
        <v>49729</v>
      </c>
      <c r="C289" s="259" t="s">
        <v>4026</v>
      </c>
      <c r="D289" s="242" t="str">
        <f t="shared" si="9"/>
        <v>CENTAR ZA PROFESIONALNU REHABILITACIJU SPLIT (49729)</v>
      </c>
      <c r="E289" s="259" t="s">
        <v>4027</v>
      </c>
      <c r="F289" s="259" t="s">
        <v>356</v>
      </c>
      <c r="G289" s="254" t="s">
        <v>4028</v>
      </c>
      <c r="H289" s="260">
        <v>60142045282</v>
      </c>
      <c r="J289" s="233"/>
    </row>
    <row r="290" spans="1:10" ht="15" customHeight="1">
      <c r="A290" s="240">
        <f t="shared" si="8"/>
        <v>287</v>
      </c>
      <c r="B290" s="241">
        <v>48865</v>
      </c>
      <c r="C290" s="259" t="s">
        <v>4029</v>
      </c>
      <c r="D290" s="242" t="str">
        <f t="shared" si="9"/>
        <v>CENTAR ZA PROFESIONALNU REHABILITACIJU ZAGREB (48865)</v>
      </c>
      <c r="E290" s="259" t="s">
        <v>4030</v>
      </c>
      <c r="F290" s="259" t="s">
        <v>271</v>
      </c>
      <c r="G290" s="254" t="s">
        <v>4031</v>
      </c>
      <c r="H290" s="260">
        <v>69410598395</v>
      </c>
      <c r="J290" s="233"/>
    </row>
    <row r="291" spans="1:10" ht="15" customHeight="1">
      <c r="A291" s="240">
        <f t="shared" si="8"/>
        <v>288</v>
      </c>
      <c r="B291" s="241">
        <v>7333</v>
      </c>
      <c r="C291" s="242" t="s">
        <v>4032</v>
      </c>
      <c r="D291" s="242" t="str">
        <f t="shared" si="9"/>
        <v>CENTAR RUDOLF STEINER DARUVAR (7333)</v>
      </c>
      <c r="E291" s="242" t="s">
        <v>4033</v>
      </c>
      <c r="F291" s="242" t="s">
        <v>4034</v>
      </c>
      <c r="G291" s="243">
        <v>3099598</v>
      </c>
      <c r="H291" s="244" t="s">
        <v>4035</v>
      </c>
      <c r="J291" s="233"/>
    </row>
    <row r="292" spans="1:10" ht="15" customHeight="1">
      <c r="A292" s="240">
        <f t="shared" si="8"/>
        <v>289</v>
      </c>
      <c r="B292" s="241">
        <v>7472</v>
      </c>
      <c r="C292" s="242" t="s">
        <v>4036</v>
      </c>
      <c r="D292" s="242" t="str">
        <f t="shared" si="9"/>
        <v>CENTAR ZA ODGOJ I OBRAZOVANJE DUBRAVA  (7472)</v>
      </c>
      <c r="E292" s="242" t="s">
        <v>4037</v>
      </c>
      <c r="F292" s="242" t="s">
        <v>271</v>
      </c>
      <c r="G292" s="243">
        <v>3217191</v>
      </c>
      <c r="H292" s="244" t="s">
        <v>4038</v>
      </c>
      <c r="J292" s="233"/>
    </row>
    <row r="293" spans="1:10" ht="15" customHeight="1">
      <c r="A293" s="240">
        <f t="shared" si="8"/>
        <v>290</v>
      </c>
      <c r="B293" s="241">
        <v>7405</v>
      </c>
      <c r="C293" s="242" t="s">
        <v>4039</v>
      </c>
      <c r="D293" s="242" t="str">
        <f t="shared" si="9"/>
        <v>CENTAR ZA ODGOJ I OBRAZOVANJE JURAJ BONAČI (7405)</v>
      </c>
      <c r="E293" s="242" t="s">
        <v>4040</v>
      </c>
      <c r="F293" s="242" t="s">
        <v>356</v>
      </c>
      <c r="G293" s="243">
        <v>3133737</v>
      </c>
      <c r="H293" s="244" t="s">
        <v>4041</v>
      </c>
      <c r="J293" s="233"/>
    </row>
    <row r="294" spans="1:10" ht="15" customHeight="1">
      <c r="A294" s="240">
        <f t="shared" si="8"/>
        <v>291</v>
      </c>
      <c r="B294" s="241">
        <v>7456</v>
      </c>
      <c r="C294" s="242" t="s">
        <v>4042</v>
      </c>
      <c r="D294" s="242" t="str">
        <f t="shared" si="9"/>
        <v>CENTAR ZA ODGOJ I OBRAZOVANJE LUG (7456)</v>
      </c>
      <c r="E294" s="242" t="s">
        <v>4043</v>
      </c>
      <c r="F294" s="242" t="s">
        <v>4044</v>
      </c>
      <c r="G294" s="243">
        <v>3102947</v>
      </c>
      <c r="H294" s="244" t="s">
        <v>4045</v>
      </c>
      <c r="J294" s="233"/>
    </row>
    <row r="295" spans="1:10" ht="15" customHeight="1">
      <c r="A295" s="240">
        <f t="shared" si="8"/>
        <v>292</v>
      </c>
      <c r="B295" s="241">
        <v>7392</v>
      </c>
      <c r="C295" s="242" t="s">
        <v>4046</v>
      </c>
      <c r="D295" s="242" t="str">
        <f t="shared" si="9"/>
        <v>CENTAR ZA ODGOJ I OBRAZOVANJE SLAVA RAŠKAJ SPLIT  (7392)</v>
      </c>
      <c r="E295" s="242" t="s">
        <v>4047</v>
      </c>
      <c r="F295" s="242" t="s">
        <v>356</v>
      </c>
      <c r="G295" s="243">
        <v>3120104</v>
      </c>
      <c r="H295" s="244" t="s">
        <v>4048</v>
      </c>
      <c r="J295" s="233"/>
    </row>
    <row r="296" spans="1:10" ht="15" customHeight="1">
      <c r="A296" s="240">
        <f t="shared" si="8"/>
        <v>293</v>
      </c>
      <c r="B296" s="241">
        <v>7489</v>
      </c>
      <c r="C296" s="242" t="s">
        <v>4049</v>
      </c>
      <c r="D296" s="242" t="str">
        <f t="shared" si="9"/>
        <v>CENTAR ZA ODGOJ I OBRAZOVANJE SLAVA RAŠKAJ ZAGREB (7489)</v>
      </c>
      <c r="E296" s="242" t="s">
        <v>4050</v>
      </c>
      <c r="F296" s="242" t="s">
        <v>271</v>
      </c>
      <c r="G296" s="243">
        <v>3205835</v>
      </c>
      <c r="H296" s="244" t="s">
        <v>4051</v>
      </c>
      <c r="J296" s="233"/>
    </row>
    <row r="297" spans="1:10" ht="15" customHeight="1">
      <c r="A297" s="240">
        <f t="shared" si="8"/>
        <v>294</v>
      </c>
      <c r="B297" s="241">
        <v>7421</v>
      </c>
      <c r="C297" s="242" t="s">
        <v>4052</v>
      </c>
      <c r="D297" s="242" t="str">
        <f t="shared" si="9"/>
        <v>CENTAR ZA ODGOJ I OBRAZOVANJE ŠUBIĆEVAC (7421)</v>
      </c>
      <c r="E297" s="242" t="s">
        <v>4053</v>
      </c>
      <c r="F297" s="242" t="s">
        <v>520</v>
      </c>
      <c r="G297" s="243">
        <v>3019683</v>
      </c>
      <c r="H297" s="244" t="s">
        <v>4054</v>
      </c>
      <c r="J297" s="233"/>
    </row>
    <row r="298" spans="1:10" ht="15" customHeight="1">
      <c r="A298" s="240">
        <f t="shared" si="8"/>
        <v>295</v>
      </c>
      <c r="B298" s="241">
        <v>7528</v>
      </c>
      <c r="C298" s="242" t="s">
        <v>4055</v>
      </c>
      <c r="D298" s="242" t="str">
        <f t="shared" si="9"/>
        <v>CENTAR ZA ODGOJ I OBRAZOVANJE TUŠKANAC (7528)</v>
      </c>
      <c r="E298" s="242" t="s">
        <v>4056</v>
      </c>
      <c r="F298" s="242" t="s">
        <v>271</v>
      </c>
      <c r="G298" s="243">
        <v>3205827</v>
      </c>
      <c r="H298" s="244" t="s">
        <v>4057</v>
      </c>
      <c r="J298" s="233"/>
    </row>
    <row r="299" spans="1:10" ht="15" customHeight="1">
      <c r="A299" s="240">
        <f t="shared" si="8"/>
        <v>296</v>
      </c>
      <c r="B299" s="241">
        <v>7501</v>
      </c>
      <c r="C299" s="242" t="s">
        <v>4058</v>
      </c>
      <c r="D299" s="242" t="str">
        <f t="shared" si="9"/>
        <v>CENTAR ZA ODGOJ I OBRAZOVANJE VELIKA GORICA  (7501)</v>
      </c>
      <c r="E299" s="242" t="s">
        <v>4059</v>
      </c>
      <c r="F299" s="242" t="s">
        <v>3579</v>
      </c>
      <c r="G299" s="243">
        <v>3216284</v>
      </c>
      <c r="H299" s="244" t="s">
        <v>4060</v>
      </c>
      <c r="J299" s="233"/>
    </row>
    <row r="300" spans="1:10" ht="15" customHeight="1">
      <c r="A300" s="240">
        <f t="shared" si="8"/>
        <v>297</v>
      </c>
      <c r="B300" s="241">
        <v>7497</v>
      </c>
      <c r="C300" s="242" t="s">
        <v>4061</v>
      </c>
      <c r="D300" s="242" t="str">
        <f t="shared" si="9"/>
        <v>CENTAR ZA ODGOJ I OBRAZOVANJE VINKO BEK (7497)</v>
      </c>
      <c r="E300" s="242" t="s">
        <v>4062</v>
      </c>
      <c r="F300" s="242" t="s">
        <v>271</v>
      </c>
      <c r="G300" s="243">
        <v>3205819</v>
      </c>
      <c r="H300" s="244" t="s">
        <v>4063</v>
      </c>
      <c r="J300" s="233"/>
    </row>
    <row r="301" spans="1:10" ht="15" customHeight="1">
      <c r="A301" s="240">
        <f t="shared" si="8"/>
        <v>298</v>
      </c>
      <c r="B301" s="241">
        <v>7536</v>
      </c>
      <c r="C301" s="242" t="s">
        <v>4064</v>
      </c>
      <c r="D301" s="242" t="str">
        <f t="shared" si="9"/>
        <v>CENTAR ZA ODGOJ I OBRAZOVANJE ZAJEZDA (7536)</v>
      </c>
      <c r="E301" s="242" t="s">
        <v>4065</v>
      </c>
      <c r="F301" s="242" t="s">
        <v>4066</v>
      </c>
      <c r="G301" s="243">
        <v>3126862</v>
      </c>
      <c r="H301" s="244" t="s">
        <v>4067</v>
      </c>
      <c r="J301" s="233"/>
    </row>
    <row r="302" spans="1:10" ht="15" customHeight="1">
      <c r="A302" s="240">
        <f t="shared" si="8"/>
        <v>299</v>
      </c>
      <c r="B302" s="241">
        <v>48402</v>
      </c>
      <c r="C302" s="242" t="s">
        <v>4068</v>
      </c>
      <c r="D302" s="242" t="str">
        <f t="shared" si="9"/>
        <v>CENTAR ZA POSEBNO SKRBNIŠTVO (48402)</v>
      </c>
      <c r="E302" s="242" t="s">
        <v>4069</v>
      </c>
      <c r="F302" s="242" t="s">
        <v>271</v>
      </c>
      <c r="G302" s="243">
        <v>4250257</v>
      </c>
      <c r="H302" s="244" t="s">
        <v>4070</v>
      </c>
      <c r="J302" s="233"/>
    </row>
    <row r="303" spans="1:10" ht="15" customHeight="1">
      <c r="A303" s="240">
        <f t="shared" si="8"/>
        <v>300</v>
      </c>
      <c r="B303" s="241">
        <v>7163</v>
      </c>
      <c r="C303" s="242" t="s">
        <v>4071</v>
      </c>
      <c r="D303" s="242" t="str">
        <f t="shared" si="9"/>
        <v>CENTAR ZA PRUŽANJE USLUGA U ZAJEDNICI IZVOR, SELCE (7163)</v>
      </c>
      <c r="E303" s="242" t="s">
        <v>4072</v>
      </c>
      <c r="F303" s="242" t="s">
        <v>4073</v>
      </c>
      <c r="G303" s="243">
        <v>3148637</v>
      </c>
      <c r="H303" s="244" t="s">
        <v>4074</v>
      </c>
      <c r="J303" s="233"/>
    </row>
    <row r="304" spans="1:10" ht="15" customHeight="1">
      <c r="A304" s="240">
        <f t="shared" si="8"/>
        <v>301</v>
      </c>
      <c r="B304" s="241">
        <v>7147</v>
      </c>
      <c r="C304" s="242" t="s">
        <v>4075</v>
      </c>
      <c r="D304" s="242" t="str">
        <f t="shared" si="9"/>
        <v>CENTAR ZA PRUŽANJE USLUGA U ZAJEDNICI KLASJE OSIJEK (7147)</v>
      </c>
      <c r="E304" s="242" t="s">
        <v>4076</v>
      </c>
      <c r="F304" s="242" t="s">
        <v>274</v>
      </c>
      <c r="G304" s="243">
        <v>3014410</v>
      </c>
      <c r="H304" s="244" t="s">
        <v>4077</v>
      </c>
      <c r="J304" s="233"/>
    </row>
    <row r="305" spans="1:10" ht="15" customHeight="1">
      <c r="A305" s="240">
        <f t="shared" si="8"/>
        <v>302</v>
      </c>
      <c r="B305" s="241">
        <v>7180</v>
      </c>
      <c r="C305" s="242" t="s">
        <v>4078</v>
      </c>
      <c r="D305" s="242" t="str">
        <f t="shared" si="9"/>
        <v>CENTAR ZA PRUŽANJE USLUGA U ZAJEDNICI KUĆA SRETNIH CIGLICA, SLAVONSKI BROD (7180)</v>
      </c>
      <c r="E305" s="252" t="s">
        <v>4079</v>
      </c>
      <c r="F305" s="252" t="s">
        <v>1764</v>
      </c>
      <c r="G305" s="243">
        <v>3071332</v>
      </c>
      <c r="H305" s="244" t="s">
        <v>4080</v>
      </c>
      <c r="J305" s="233"/>
    </row>
    <row r="306" spans="1:10" ht="15" customHeight="1">
      <c r="A306" s="240">
        <f t="shared" si="8"/>
        <v>303</v>
      </c>
      <c r="B306" s="241">
        <v>7114</v>
      </c>
      <c r="C306" s="242" t="s">
        <v>4081</v>
      </c>
      <c r="D306" s="242" t="str">
        <f t="shared" si="9"/>
        <v>CENTAR ZA PRUŽANJE USLUGA U ZAJEDNICI LIPIK (7114)</v>
      </c>
      <c r="E306" s="242" t="s">
        <v>4082</v>
      </c>
      <c r="F306" s="242" t="s">
        <v>4083</v>
      </c>
      <c r="G306" s="243">
        <v>3084981</v>
      </c>
      <c r="H306" s="244" t="s">
        <v>4084</v>
      </c>
      <c r="J306" s="233"/>
    </row>
    <row r="307" spans="1:10" ht="15" customHeight="1">
      <c r="A307" s="240">
        <f t="shared" si="8"/>
        <v>304</v>
      </c>
      <c r="B307" s="241">
        <v>52305</v>
      </c>
      <c r="C307" s="242" t="s">
        <v>4085</v>
      </c>
      <c r="D307" s="242" t="str">
        <f t="shared" si="9"/>
        <v>CENTAR ZA PRUŽANJE USLUGA U ZAJEDNICI MOCIRE (52305)</v>
      </c>
      <c r="E307" s="242" t="s">
        <v>4086</v>
      </c>
      <c r="F307" s="242" t="s">
        <v>312</v>
      </c>
      <c r="G307" s="243">
        <v>5343020</v>
      </c>
      <c r="H307" s="244" t="s">
        <v>4087</v>
      </c>
      <c r="J307" s="233"/>
    </row>
    <row r="308" spans="1:10" ht="15" customHeight="1">
      <c r="A308" s="240">
        <f t="shared" si="8"/>
        <v>305</v>
      </c>
      <c r="B308" s="241">
        <v>7761</v>
      </c>
      <c r="C308" s="242" t="s">
        <v>4088</v>
      </c>
      <c r="D308" s="242" t="str">
        <f t="shared" si="9"/>
        <v>CENTAR ZA PRUŽANJE USLUGA U ZAJEDNICI OSIJEK - JA KAO I TI (7761)</v>
      </c>
      <c r="E308" s="242" t="s">
        <v>4089</v>
      </c>
      <c r="F308" s="242" t="s">
        <v>274</v>
      </c>
      <c r="G308" s="243">
        <v>3014452</v>
      </c>
      <c r="H308" s="244" t="s">
        <v>4090</v>
      </c>
      <c r="J308" s="233"/>
    </row>
    <row r="309" spans="1:10" ht="15" customHeight="1">
      <c r="A309" s="240">
        <f t="shared" si="8"/>
        <v>306</v>
      </c>
      <c r="B309" s="241">
        <v>7350</v>
      </c>
      <c r="C309" s="242" t="s">
        <v>4091</v>
      </c>
      <c r="D309" s="242" t="str">
        <f t="shared" si="9"/>
        <v>CENTAR ZA PRUŽANJE USLUGA U ZAJEDNICI OZALJ (7350)</v>
      </c>
      <c r="E309" s="242" t="s">
        <v>4092</v>
      </c>
      <c r="F309" s="242" t="s">
        <v>4093</v>
      </c>
      <c r="G309" s="243">
        <v>3187381</v>
      </c>
      <c r="H309" s="244" t="s">
        <v>4094</v>
      </c>
      <c r="J309" s="233"/>
    </row>
    <row r="310" spans="1:10" ht="15" customHeight="1">
      <c r="A310" s="240">
        <f t="shared" si="8"/>
        <v>307</v>
      </c>
      <c r="B310" s="241">
        <v>7309</v>
      </c>
      <c r="C310" s="242" t="s">
        <v>4095</v>
      </c>
      <c r="D310" s="242" t="str">
        <f t="shared" si="9"/>
        <v>CENTAR ZA PRUŽANJE USLUGA U ZAJEDNICI SPLIT (7309)</v>
      </c>
      <c r="E310" s="242" t="s">
        <v>4096</v>
      </c>
      <c r="F310" s="242" t="s">
        <v>356</v>
      </c>
      <c r="G310" s="243">
        <v>3133745</v>
      </c>
      <c r="H310" s="244" t="s">
        <v>4097</v>
      </c>
      <c r="J310" s="233"/>
    </row>
    <row r="311" spans="1:10" ht="15" customHeight="1">
      <c r="A311" s="240">
        <f t="shared" si="8"/>
        <v>308</v>
      </c>
      <c r="B311" s="241">
        <v>7106</v>
      </c>
      <c r="C311" s="242" t="s">
        <v>4098</v>
      </c>
      <c r="D311" s="242" t="str">
        <f t="shared" si="9"/>
        <v>CENTAR ZA PRUŽANJE USLUGA U ZAJEDNICI SVITANJE (7106)</v>
      </c>
      <c r="E311" s="242" t="s">
        <v>4099</v>
      </c>
      <c r="F311" s="242" t="s">
        <v>305</v>
      </c>
      <c r="G311" s="243">
        <v>3009971</v>
      </c>
      <c r="H311" s="244" t="s">
        <v>4100</v>
      </c>
      <c r="J311" s="233"/>
    </row>
    <row r="312" spans="1:10" ht="15" customHeight="1">
      <c r="A312" s="240">
        <f t="shared" si="8"/>
        <v>309</v>
      </c>
      <c r="B312" s="241">
        <v>7091</v>
      </c>
      <c r="C312" s="242" t="s">
        <v>4101</v>
      </c>
      <c r="D312" s="242" t="str">
        <f t="shared" si="9"/>
        <v>CENTAR ZA PRUŽANJE USLUGA U ZAJEDNICI VLADIMIR NAZOR (7091)</v>
      </c>
      <c r="E312" s="242" t="s">
        <v>4102</v>
      </c>
      <c r="F312" s="242" t="s">
        <v>509</v>
      </c>
      <c r="G312" s="243">
        <v>3123464</v>
      </c>
      <c r="H312" s="244" t="s">
        <v>4103</v>
      </c>
      <c r="J312" s="233"/>
    </row>
    <row r="313" spans="1:10" ht="15" customHeight="1">
      <c r="A313" s="240">
        <f t="shared" si="8"/>
        <v>310</v>
      </c>
      <c r="B313" s="241">
        <v>21801</v>
      </c>
      <c r="C313" s="242" t="s">
        <v>4104</v>
      </c>
      <c r="D313" s="242" t="str">
        <f t="shared" si="9"/>
        <v>CENTAR ZA REHABILITACIJU FRA ANTE SEKELEZ (21801)</v>
      </c>
      <c r="E313" s="242" t="s">
        <v>4105</v>
      </c>
      <c r="F313" s="242" t="s">
        <v>4106</v>
      </c>
      <c r="G313" s="243">
        <v>1284797</v>
      </c>
      <c r="H313" s="244" t="s">
        <v>4107</v>
      </c>
      <c r="J313" s="233"/>
    </row>
    <row r="314" spans="1:10" ht="15" customHeight="1">
      <c r="A314" s="240">
        <f t="shared" si="8"/>
        <v>311</v>
      </c>
      <c r="B314" s="241">
        <v>21797</v>
      </c>
      <c r="C314" s="242" t="s">
        <v>4108</v>
      </c>
      <c r="D314" s="242" t="str">
        <f t="shared" si="9"/>
        <v>CENTAR ZA REHABILITACIJU JOSIPOVAC (21797)</v>
      </c>
      <c r="E314" s="242" t="s">
        <v>4109</v>
      </c>
      <c r="F314" s="242" t="s">
        <v>4110</v>
      </c>
      <c r="G314" s="243">
        <v>1151703</v>
      </c>
      <c r="H314" s="244" t="s">
        <v>4111</v>
      </c>
      <c r="J314" s="233"/>
    </row>
    <row r="315" spans="1:10" ht="24">
      <c r="A315" s="240">
        <f t="shared" ref="A315:A378" si="10">+A314+1</f>
        <v>312</v>
      </c>
      <c r="B315" s="241">
        <v>45986</v>
      </c>
      <c r="C315" s="242" t="s">
        <v>4112</v>
      </c>
      <c r="D315" s="242" t="str">
        <f t="shared" si="9"/>
        <v>CENTAR ZA REHABILITACIJU KOMAREVO (45986)</v>
      </c>
      <c r="E315" s="242" t="s">
        <v>4113</v>
      </c>
      <c r="F315" s="242" t="s">
        <v>4114</v>
      </c>
      <c r="G315" s="243">
        <v>2506327</v>
      </c>
      <c r="H315" s="244" t="s">
        <v>4115</v>
      </c>
      <c r="J315" s="233"/>
    </row>
    <row r="316" spans="1:10" ht="15" customHeight="1">
      <c r="A316" s="240">
        <f t="shared" si="10"/>
        <v>313</v>
      </c>
      <c r="B316" s="241">
        <v>26555</v>
      </c>
      <c r="C316" s="242" t="s">
        <v>4116</v>
      </c>
      <c r="D316" s="242" t="str">
        <f t="shared" si="9"/>
        <v>CENTAR ZA REHABILITACIJU MALA TEREZIJA (26555)</v>
      </c>
      <c r="E316" s="242" t="s">
        <v>4117</v>
      </c>
      <c r="F316" s="242" t="s">
        <v>4118</v>
      </c>
      <c r="G316" s="243">
        <v>1738925</v>
      </c>
      <c r="H316" s="244" t="s">
        <v>4119</v>
      </c>
      <c r="J316" s="233"/>
    </row>
    <row r="317" spans="1:10" ht="15" customHeight="1">
      <c r="A317" s="240">
        <f t="shared" si="10"/>
        <v>314</v>
      </c>
      <c r="B317" s="241">
        <v>21810</v>
      </c>
      <c r="C317" s="242" t="s">
        <v>4120</v>
      </c>
      <c r="D317" s="242" t="str">
        <f t="shared" si="9"/>
        <v>CENTAR ZA REHABILITACIJU MIR (21810)</v>
      </c>
      <c r="E317" s="242" t="s">
        <v>4121</v>
      </c>
      <c r="F317" s="242" t="s">
        <v>4122</v>
      </c>
      <c r="G317" s="243">
        <v>1284789</v>
      </c>
      <c r="H317" s="244" t="s">
        <v>4123</v>
      </c>
      <c r="J317" s="233"/>
    </row>
    <row r="318" spans="1:10" ht="15" customHeight="1">
      <c r="A318" s="240">
        <f t="shared" si="10"/>
        <v>315</v>
      </c>
      <c r="B318" s="241">
        <v>7430</v>
      </c>
      <c r="C318" s="242" t="s">
        <v>4124</v>
      </c>
      <c r="D318" s="242" t="str">
        <f t="shared" si="9"/>
        <v>CENTAR ZA REHABILITACIJU PULA  (7430)</v>
      </c>
      <c r="E318" s="242" t="s">
        <v>4125</v>
      </c>
      <c r="F318" s="242" t="s">
        <v>302</v>
      </c>
      <c r="G318" s="243">
        <v>3549496</v>
      </c>
      <c r="H318" s="244" t="s">
        <v>4126</v>
      </c>
      <c r="J318" s="233"/>
    </row>
    <row r="319" spans="1:10" ht="15" customHeight="1">
      <c r="A319" s="240">
        <f t="shared" si="10"/>
        <v>316</v>
      </c>
      <c r="B319" s="241">
        <v>7384</v>
      </c>
      <c r="C319" s="242" t="s">
        <v>4127</v>
      </c>
      <c r="D319" s="242" t="str">
        <f t="shared" si="9"/>
        <v>CENTAR ZA REHABILITACIJU RIJEKA (7384)</v>
      </c>
      <c r="E319" s="242" t="s">
        <v>4128</v>
      </c>
      <c r="F319" s="242" t="s">
        <v>316</v>
      </c>
      <c r="G319" s="243">
        <v>3417778</v>
      </c>
      <c r="H319" s="244" t="s">
        <v>4129</v>
      </c>
      <c r="J319" s="233"/>
    </row>
    <row r="320" spans="1:10" ht="15" customHeight="1">
      <c r="A320" s="240">
        <f t="shared" si="10"/>
        <v>317</v>
      </c>
      <c r="B320" s="241">
        <v>21789</v>
      </c>
      <c r="C320" s="242" t="s">
        <v>4130</v>
      </c>
      <c r="D320" s="242" t="str">
        <f t="shared" si="9"/>
        <v>CENTAR ZA REHABILITACIJU SAMARITANAC SPLIT (21789)</v>
      </c>
      <c r="E320" s="242" t="s">
        <v>4131</v>
      </c>
      <c r="F320" s="242" t="s">
        <v>356</v>
      </c>
      <c r="G320" s="243">
        <v>1140370</v>
      </c>
      <c r="H320" s="244" t="s">
        <v>4132</v>
      </c>
      <c r="J320" s="233"/>
    </row>
    <row r="321" spans="1:10" ht="15" customHeight="1">
      <c r="A321" s="240">
        <f t="shared" si="10"/>
        <v>318</v>
      </c>
      <c r="B321" s="241">
        <v>7413</v>
      </c>
      <c r="C321" s="242" t="s">
        <v>4133</v>
      </c>
      <c r="D321" s="242" t="str">
        <f t="shared" si="9"/>
        <v>CENTAR ZA REHABILITACIJU STANČIĆ (7413)</v>
      </c>
      <c r="E321" s="242" t="s">
        <v>4134</v>
      </c>
      <c r="F321" s="242" t="s">
        <v>4135</v>
      </c>
      <c r="G321" s="243">
        <v>3348431</v>
      </c>
      <c r="H321" s="244" t="s">
        <v>4136</v>
      </c>
      <c r="J321" s="233"/>
    </row>
    <row r="322" spans="1:10" ht="15" customHeight="1">
      <c r="A322" s="240">
        <f t="shared" si="10"/>
        <v>319</v>
      </c>
      <c r="B322" s="241">
        <v>7341</v>
      </c>
      <c r="C322" s="242" t="s">
        <v>4137</v>
      </c>
      <c r="D322" s="242" t="str">
        <f t="shared" si="9"/>
        <v>CENTAR ZA REHABILITACIJU SVETI FILIP I JAKOV (7341)</v>
      </c>
      <c r="E322" s="242" t="s">
        <v>4138</v>
      </c>
      <c r="F322" s="242" t="s">
        <v>4139</v>
      </c>
      <c r="G322" s="243">
        <v>3334392</v>
      </c>
      <c r="H322" s="244" t="s">
        <v>4140</v>
      </c>
      <c r="J322" s="233"/>
    </row>
    <row r="323" spans="1:10" ht="15" customHeight="1">
      <c r="A323" s="240">
        <f t="shared" si="10"/>
        <v>320</v>
      </c>
      <c r="B323" s="241">
        <v>7464</v>
      </c>
      <c r="C323" s="242" t="s">
        <v>4141</v>
      </c>
      <c r="D323" s="242" t="str">
        <f t="shared" si="9"/>
        <v>CENTAR ZA REHABILITACIJU ZAGREB (7464)</v>
      </c>
      <c r="E323" s="242" t="s">
        <v>4142</v>
      </c>
      <c r="F323" s="242" t="s">
        <v>271</v>
      </c>
      <c r="G323" s="243">
        <v>3256251</v>
      </c>
      <c r="H323" s="244" t="s">
        <v>4143</v>
      </c>
      <c r="J323" s="233"/>
    </row>
    <row r="324" spans="1:10" ht="15" customHeight="1">
      <c r="A324" s="240">
        <f t="shared" si="10"/>
        <v>321</v>
      </c>
      <c r="B324" s="241">
        <v>6187</v>
      </c>
      <c r="C324" s="242" t="s">
        <v>4144</v>
      </c>
      <c r="D324" s="242" t="str">
        <f t="shared" ref="D324:D387" si="11">C324&amp;" ("&amp;B324&amp;")"</f>
        <v>CENTAR ZA SOCIJALNU SKRB BELI MANASTIR (6187)</v>
      </c>
      <c r="E324" s="242" t="s">
        <v>4145</v>
      </c>
      <c r="F324" s="242" t="s">
        <v>4146</v>
      </c>
      <c r="G324" s="243">
        <v>2872692</v>
      </c>
      <c r="H324" s="244" t="s">
        <v>4147</v>
      </c>
      <c r="J324" s="233"/>
    </row>
    <row r="325" spans="1:10" ht="15" customHeight="1">
      <c r="A325" s="240">
        <f t="shared" si="10"/>
        <v>322</v>
      </c>
      <c r="B325" s="241">
        <v>6195</v>
      </c>
      <c r="C325" s="242" t="s">
        <v>4148</v>
      </c>
      <c r="D325" s="242" t="str">
        <f t="shared" si="11"/>
        <v>CENTAR ZA SOCIJALNU SKRB BENKOVAC (6195)</v>
      </c>
      <c r="E325" s="242" t="s">
        <v>4149</v>
      </c>
      <c r="F325" s="242" t="s">
        <v>4150</v>
      </c>
      <c r="G325" s="243">
        <v>2884321</v>
      </c>
      <c r="H325" s="244" t="s">
        <v>4151</v>
      </c>
      <c r="J325" s="233"/>
    </row>
    <row r="326" spans="1:10" ht="15" customHeight="1">
      <c r="A326" s="240">
        <f t="shared" si="10"/>
        <v>323</v>
      </c>
      <c r="B326" s="241">
        <v>6200</v>
      </c>
      <c r="C326" s="242" t="s">
        <v>4152</v>
      </c>
      <c r="D326" s="242" t="str">
        <f t="shared" si="11"/>
        <v>CENTAR ZA SOCIJALNU SKRB BIOGRAD NA MORU  (6200)</v>
      </c>
      <c r="E326" s="242" t="s">
        <v>4153</v>
      </c>
      <c r="F326" s="242" t="s">
        <v>4154</v>
      </c>
      <c r="G326" s="243">
        <v>2884330</v>
      </c>
      <c r="H326" s="244" t="s">
        <v>4155</v>
      </c>
      <c r="J326" s="233"/>
    </row>
    <row r="327" spans="1:10" ht="15" customHeight="1">
      <c r="A327" s="240">
        <f t="shared" si="10"/>
        <v>324</v>
      </c>
      <c r="B327" s="241">
        <v>6218</v>
      </c>
      <c r="C327" s="242" t="s">
        <v>4156</v>
      </c>
      <c r="D327" s="242" t="str">
        <f t="shared" si="11"/>
        <v>CENTAR ZA SOCIJALNU SKRB BJELOVAR (6218)</v>
      </c>
      <c r="E327" s="242" t="s">
        <v>4157</v>
      </c>
      <c r="F327" s="242" t="s">
        <v>3649</v>
      </c>
      <c r="G327" s="243">
        <v>2873761</v>
      </c>
      <c r="H327" s="244" t="s">
        <v>4158</v>
      </c>
      <c r="J327" s="233"/>
    </row>
    <row r="328" spans="1:10" ht="15" customHeight="1">
      <c r="A328" s="240">
        <f t="shared" si="10"/>
        <v>325</v>
      </c>
      <c r="B328" s="241">
        <v>6226</v>
      </c>
      <c r="C328" s="242" t="s">
        <v>4159</v>
      </c>
      <c r="D328" s="242" t="str">
        <f t="shared" si="11"/>
        <v>CENTAR ZA SOCIJALNU SKRB BRAČ - SUPETAR (6226)</v>
      </c>
      <c r="E328" s="242" t="s">
        <v>4160</v>
      </c>
      <c r="F328" s="242" t="s">
        <v>4161</v>
      </c>
      <c r="G328" s="243">
        <v>2882736</v>
      </c>
      <c r="H328" s="244" t="s">
        <v>4162</v>
      </c>
      <c r="J328" s="233"/>
    </row>
    <row r="329" spans="1:10" ht="15" customHeight="1">
      <c r="A329" s="240">
        <f t="shared" si="10"/>
        <v>326</v>
      </c>
      <c r="B329" s="241">
        <v>6234</v>
      </c>
      <c r="C329" s="242" t="s">
        <v>4163</v>
      </c>
      <c r="D329" s="242" t="str">
        <f t="shared" si="11"/>
        <v>CENTAR ZA SOCIJALNU SKRB BUJE, CENTRO DI ASSISTENZA SOCIALE DI BUIE (6234)</v>
      </c>
      <c r="E329" s="242" t="s">
        <v>4164</v>
      </c>
      <c r="F329" s="242" t="s">
        <v>4165</v>
      </c>
      <c r="G329" s="243">
        <v>2883341</v>
      </c>
      <c r="H329" s="244" t="s">
        <v>4166</v>
      </c>
      <c r="J329" s="233"/>
    </row>
    <row r="330" spans="1:10" ht="15" customHeight="1">
      <c r="A330" s="240">
        <f t="shared" si="10"/>
        <v>327</v>
      </c>
      <c r="B330" s="241">
        <v>6541</v>
      </c>
      <c r="C330" s="242" t="s">
        <v>4167</v>
      </c>
      <c r="D330" s="242" t="str">
        <f t="shared" si="11"/>
        <v>CENTAR ZA SOCIJALNU SKRB CRES-LOŠINJ (6541)</v>
      </c>
      <c r="E330" s="242" t="s">
        <v>4168</v>
      </c>
      <c r="F330" s="242" t="s">
        <v>4169</v>
      </c>
      <c r="G330" s="243">
        <v>2883708</v>
      </c>
      <c r="H330" s="244" t="s">
        <v>4170</v>
      </c>
      <c r="J330" s="233"/>
    </row>
    <row r="331" spans="1:10" ht="15" customHeight="1">
      <c r="A331" s="240">
        <f t="shared" si="10"/>
        <v>328</v>
      </c>
      <c r="B331" s="241">
        <v>6242</v>
      </c>
      <c r="C331" s="242" t="s">
        <v>4171</v>
      </c>
      <c r="D331" s="242" t="str">
        <f t="shared" si="11"/>
        <v>CENTAR ZA SOCIJALNU SKRB CRIKVENICA (6242)</v>
      </c>
      <c r="E331" s="242" t="s">
        <v>4172</v>
      </c>
      <c r="F331" s="242" t="s">
        <v>4173</v>
      </c>
      <c r="G331" s="243">
        <v>2883694</v>
      </c>
      <c r="H331" s="244" t="s">
        <v>4174</v>
      </c>
      <c r="J331" s="233"/>
    </row>
    <row r="332" spans="1:10" ht="15" customHeight="1">
      <c r="A332" s="240">
        <f t="shared" si="10"/>
        <v>329</v>
      </c>
      <c r="B332" s="241">
        <v>6259</v>
      </c>
      <c r="C332" s="242" t="s">
        <v>4175</v>
      </c>
      <c r="D332" s="242" t="str">
        <f t="shared" si="11"/>
        <v>CENTAR ZA SOCIJALNU SKRB ČAKOVEC  (6259)</v>
      </c>
      <c r="E332" s="242" t="s">
        <v>4176</v>
      </c>
      <c r="F332" s="242" t="s">
        <v>490</v>
      </c>
      <c r="G332" s="243">
        <v>2874687</v>
      </c>
      <c r="H332" s="244" t="s">
        <v>4177</v>
      </c>
      <c r="J332" s="233"/>
    </row>
    <row r="333" spans="1:10" ht="15" customHeight="1">
      <c r="A333" s="240">
        <f t="shared" si="10"/>
        <v>330</v>
      </c>
      <c r="B333" s="241">
        <v>6267</v>
      </c>
      <c r="C333" s="242" t="s">
        <v>4178</v>
      </c>
      <c r="D333" s="242" t="str">
        <f t="shared" si="11"/>
        <v>CENTAR ZA SOCIJALNU SKRB ČAZMA  (6267)</v>
      </c>
      <c r="E333" s="242" t="s">
        <v>4179</v>
      </c>
      <c r="F333" s="242" t="s">
        <v>4180</v>
      </c>
      <c r="G333" s="243">
        <v>2873788</v>
      </c>
      <c r="H333" s="244" t="s">
        <v>4181</v>
      </c>
      <c r="J333" s="233"/>
    </row>
    <row r="334" spans="1:10" ht="15" customHeight="1">
      <c r="A334" s="240">
        <f t="shared" si="10"/>
        <v>331</v>
      </c>
      <c r="B334" s="241">
        <v>6275</v>
      </c>
      <c r="C334" s="242" t="s">
        <v>4182</v>
      </c>
      <c r="D334" s="242" t="str">
        <f t="shared" si="11"/>
        <v>CENTAR ZA SOCIJALNU SKRB DARUVAR  (6275)</v>
      </c>
      <c r="E334" s="242" t="s">
        <v>4183</v>
      </c>
      <c r="F334" s="242" t="s">
        <v>4034</v>
      </c>
      <c r="G334" s="243">
        <v>2873796</v>
      </c>
      <c r="H334" s="244" t="s">
        <v>4184</v>
      </c>
      <c r="J334" s="233"/>
    </row>
    <row r="335" spans="1:10" ht="15" customHeight="1">
      <c r="A335" s="240">
        <f t="shared" si="10"/>
        <v>332</v>
      </c>
      <c r="B335" s="241">
        <v>6291</v>
      </c>
      <c r="C335" s="242" t="s">
        <v>4185</v>
      </c>
      <c r="D335" s="242" t="str">
        <f t="shared" si="11"/>
        <v>CENTAR ZA SOCIJALNU SKRB DONJA STUBICA  (6291)</v>
      </c>
      <c r="E335" s="242" t="s">
        <v>4186</v>
      </c>
      <c r="F335" s="242" t="s">
        <v>4187</v>
      </c>
      <c r="G335" s="243">
        <v>2877457</v>
      </c>
      <c r="H335" s="244" t="s">
        <v>4188</v>
      </c>
      <c r="J335" s="233"/>
    </row>
    <row r="336" spans="1:10" ht="15" customHeight="1">
      <c r="A336" s="240">
        <f t="shared" si="10"/>
        <v>333</v>
      </c>
      <c r="B336" s="241">
        <v>6306</v>
      </c>
      <c r="C336" s="242" t="s">
        <v>4189</v>
      </c>
      <c r="D336" s="242" t="str">
        <f t="shared" si="11"/>
        <v>CENTAR ZA SOCIJALNU SKRB DONJI MIHOLJAC (6306)</v>
      </c>
      <c r="E336" s="242" t="s">
        <v>4190</v>
      </c>
      <c r="F336" s="242" t="s">
        <v>4191</v>
      </c>
      <c r="G336" s="243">
        <v>2872722</v>
      </c>
      <c r="H336" s="244" t="s">
        <v>4192</v>
      </c>
      <c r="J336" s="233"/>
    </row>
    <row r="337" spans="1:10" ht="15" customHeight="1">
      <c r="A337" s="240">
        <f t="shared" si="10"/>
        <v>334</v>
      </c>
      <c r="B337" s="241">
        <v>21692</v>
      </c>
      <c r="C337" s="242" t="s">
        <v>4193</v>
      </c>
      <c r="D337" s="242" t="str">
        <f t="shared" si="11"/>
        <v>CENTAR ZA SOCIJALNU SKRB DRNIŠ (21692)</v>
      </c>
      <c r="E337" s="242" t="s">
        <v>4194</v>
      </c>
      <c r="F337" s="242" t="s">
        <v>4195</v>
      </c>
      <c r="G337" s="243">
        <v>2882027</v>
      </c>
      <c r="H337" s="244" t="s">
        <v>4196</v>
      </c>
      <c r="J337" s="233"/>
    </row>
    <row r="338" spans="1:10" ht="15" customHeight="1">
      <c r="A338" s="240">
        <f t="shared" si="10"/>
        <v>335</v>
      </c>
      <c r="B338" s="241">
        <v>6314</v>
      </c>
      <c r="C338" s="242" t="s">
        <v>4197</v>
      </c>
      <c r="D338" s="242" t="str">
        <f t="shared" si="11"/>
        <v>CENTAR ZA SOCIJALNU SKRB DUBROVNIK (6314)</v>
      </c>
      <c r="E338" s="242" t="s">
        <v>4198</v>
      </c>
      <c r="F338" s="242" t="s">
        <v>309</v>
      </c>
      <c r="G338" s="243">
        <v>2882302</v>
      </c>
      <c r="H338" s="244" t="s">
        <v>4199</v>
      </c>
      <c r="J338" s="233"/>
    </row>
    <row r="339" spans="1:10" ht="15" customHeight="1">
      <c r="A339" s="240">
        <f t="shared" si="10"/>
        <v>336</v>
      </c>
      <c r="B339" s="241">
        <v>6322</v>
      </c>
      <c r="C339" s="242" t="s">
        <v>4200</v>
      </c>
      <c r="D339" s="242" t="str">
        <f t="shared" si="11"/>
        <v>CENTAR ZA SOCIJALNU SKRB DUGA RESA (6322)</v>
      </c>
      <c r="E339" s="242" t="s">
        <v>4201</v>
      </c>
      <c r="F339" s="242" t="s">
        <v>4202</v>
      </c>
      <c r="G339" s="243">
        <v>2883015</v>
      </c>
      <c r="H339" s="244" t="s">
        <v>4203</v>
      </c>
      <c r="J339" s="233"/>
    </row>
    <row r="340" spans="1:10" ht="15" customHeight="1">
      <c r="A340" s="240">
        <f t="shared" si="10"/>
        <v>337</v>
      </c>
      <c r="B340" s="241">
        <v>6339</v>
      </c>
      <c r="C340" s="242" t="s">
        <v>4204</v>
      </c>
      <c r="D340" s="242" t="str">
        <f t="shared" si="11"/>
        <v>CENTAR ZA SOCIJALNU SKRB DUGO SELO (6339)</v>
      </c>
      <c r="E340" s="242" t="s">
        <v>4205</v>
      </c>
      <c r="F340" s="242" t="s">
        <v>4206</v>
      </c>
      <c r="G340" s="243">
        <v>2873125</v>
      </c>
      <c r="H340" s="244" t="s">
        <v>4207</v>
      </c>
      <c r="J340" s="233"/>
    </row>
    <row r="341" spans="1:10" ht="15" customHeight="1">
      <c r="A341" s="240">
        <f t="shared" si="10"/>
        <v>338</v>
      </c>
      <c r="B341" s="241">
        <v>6347</v>
      </c>
      <c r="C341" s="242" t="s">
        <v>4208</v>
      </c>
      <c r="D341" s="242" t="str">
        <f t="shared" si="11"/>
        <v>CENTAR ZA SOCIJALNU SKRB ĐAKOVO (6347)</v>
      </c>
      <c r="E341" s="242" t="s">
        <v>4209</v>
      </c>
      <c r="F341" s="242" t="s">
        <v>295</v>
      </c>
      <c r="G341" s="243">
        <v>2872706</v>
      </c>
      <c r="H341" s="244" t="s">
        <v>4210</v>
      </c>
      <c r="J341" s="233"/>
    </row>
    <row r="342" spans="1:10" ht="15" customHeight="1">
      <c r="A342" s="240">
        <f t="shared" si="10"/>
        <v>339</v>
      </c>
      <c r="B342" s="241">
        <v>6355</v>
      </c>
      <c r="C342" s="242" t="s">
        <v>4211</v>
      </c>
      <c r="D342" s="242" t="str">
        <f t="shared" si="11"/>
        <v>CENTAR ZA SOCIJALNU SKRB ĐURĐEVAC (6355)</v>
      </c>
      <c r="E342" s="242" t="s">
        <v>4212</v>
      </c>
      <c r="F342" s="242" t="s">
        <v>4213</v>
      </c>
      <c r="G342" s="243">
        <v>2873397</v>
      </c>
      <c r="H342" s="244" t="s">
        <v>4214</v>
      </c>
      <c r="J342" s="233"/>
    </row>
    <row r="343" spans="1:10" ht="15" customHeight="1">
      <c r="A343" s="240">
        <f t="shared" si="10"/>
        <v>340</v>
      </c>
      <c r="B343" s="241">
        <v>6363</v>
      </c>
      <c r="C343" s="242" t="s">
        <v>4215</v>
      </c>
      <c r="D343" s="242" t="str">
        <f t="shared" si="11"/>
        <v>CENTAR ZA SOCIJALNU SKRB GAREŠNICA  (6363)</v>
      </c>
      <c r="E343" s="242" t="s">
        <v>4216</v>
      </c>
      <c r="F343" s="242" t="s">
        <v>4217</v>
      </c>
      <c r="G343" s="243">
        <v>2873770</v>
      </c>
      <c r="H343" s="244" t="s">
        <v>4218</v>
      </c>
      <c r="J343" s="233"/>
    </row>
    <row r="344" spans="1:10" ht="15" customHeight="1">
      <c r="A344" s="240">
        <f t="shared" si="10"/>
        <v>341</v>
      </c>
      <c r="B344" s="241">
        <v>21713</v>
      </c>
      <c r="C344" s="242" t="s">
        <v>4219</v>
      </c>
      <c r="D344" s="242" t="str">
        <f t="shared" si="11"/>
        <v>CENTAR ZA SOCIJALNU SKRB GLINA (21713)</v>
      </c>
      <c r="E344" s="242" t="s">
        <v>4220</v>
      </c>
      <c r="F344" s="242" t="s">
        <v>4221</v>
      </c>
      <c r="G344" s="243">
        <v>2883295</v>
      </c>
      <c r="H344" s="244" t="s">
        <v>4222</v>
      </c>
      <c r="J344" s="233"/>
    </row>
    <row r="345" spans="1:10" ht="15" customHeight="1">
      <c r="A345" s="240">
        <f t="shared" si="10"/>
        <v>342</v>
      </c>
      <c r="B345" s="241">
        <v>6371</v>
      </c>
      <c r="C345" s="242" t="s">
        <v>4223</v>
      </c>
      <c r="D345" s="242" t="str">
        <f t="shared" si="11"/>
        <v>CENTAR ZA SOCIJALNU SKRB GOSPIĆ (6371)</v>
      </c>
      <c r="E345" s="242" t="s">
        <v>4224</v>
      </c>
      <c r="F345" s="242" t="s">
        <v>505</v>
      </c>
      <c r="G345" s="243">
        <v>2883643</v>
      </c>
      <c r="H345" s="244" t="s">
        <v>4225</v>
      </c>
      <c r="J345" s="233"/>
    </row>
    <row r="346" spans="1:10" ht="15" customHeight="1">
      <c r="A346" s="240">
        <f t="shared" si="10"/>
        <v>343</v>
      </c>
      <c r="B346" s="241">
        <v>50032</v>
      </c>
      <c r="C346" s="242" t="s">
        <v>4226</v>
      </c>
      <c r="D346" s="242" t="str">
        <f t="shared" si="11"/>
        <v>CENTAR ZA SOCIJALNU SKRB GRUBIŠNO POLJE (50032)</v>
      </c>
      <c r="E346" s="242" t="s">
        <v>4227</v>
      </c>
      <c r="F346" s="242" t="s">
        <v>4228</v>
      </c>
      <c r="G346" s="243">
        <v>4840836</v>
      </c>
      <c r="H346" s="244" t="s">
        <v>4229</v>
      </c>
      <c r="J346" s="233"/>
    </row>
    <row r="347" spans="1:10" ht="24">
      <c r="A347" s="240">
        <f t="shared" si="10"/>
        <v>344</v>
      </c>
      <c r="B347" s="241">
        <v>21748</v>
      </c>
      <c r="C347" s="242" t="s">
        <v>4230</v>
      </c>
      <c r="D347" s="242" t="str">
        <f t="shared" si="11"/>
        <v>CENTAR ZA SOCIJALNU SKRB HRVATSKA KOSTAJNICA (21748)</v>
      </c>
      <c r="E347" s="242" t="s">
        <v>4231</v>
      </c>
      <c r="F347" s="242" t="s">
        <v>4232</v>
      </c>
      <c r="G347" s="243">
        <v>2883287</v>
      </c>
      <c r="H347" s="244" t="s">
        <v>4233</v>
      </c>
      <c r="J347" s="233"/>
    </row>
    <row r="348" spans="1:10" ht="15" customHeight="1">
      <c r="A348" s="240">
        <f t="shared" si="10"/>
        <v>345</v>
      </c>
      <c r="B348" s="241">
        <v>6398</v>
      </c>
      <c r="C348" s="242" t="s">
        <v>4234</v>
      </c>
      <c r="D348" s="242" t="str">
        <f t="shared" si="11"/>
        <v>CENTAR ZA SOCIJALNU SKRB IMOTSKI (6398)</v>
      </c>
      <c r="E348" s="242" t="s">
        <v>4235</v>
      </c>
      <c r="F348" s="242" t="s">
        <v>4236</v>
      </c>
      <c r="G348" s="243">
        <v>2882698</v>
      </c>
      <c r="H348" s="244" t="s">
        <v>4237</v>
      </c>
      <c r="J348" s="233"/>
    </row>
    <row r="349" spans="1:10" ht="15" customHeight="1">
      <c r="A349" s="240">
        <f t="shared" si="10"/>
        <v>346</v>
      </c>
      <c r="B349" s="241">
        <v>6402</v>
      </c>
      <c r="C349" s="242" t="s">
        <v>4238</v>
      </c>
      <c r="D349" s="242" t="str">
        <f t="shared" si="11"/>
        <v>CENTAR ZA SOCIJALNU SKRB IVANEC (6402)</v>
      </c>
      <c r="E349" s="242" t="s">
        <v>4239</v>
      </c>
      <c r="F349" s="242" t="s">
        <v>4240</v>
      </c>
      <c r="G349" s="243">
        <v>2872641</v>
      </c>
      <c r="H349" s="244" t="s">
        <v>4241</v>
      </c>
      <c r="J349" s="233"/>
    </row>
    <row r="350" spans="1:10" ht="15" customHeight="1">
      <c r="A350" s="240">
        <f t="shared" si="10"/>
        <v>347</v>
      </c>
      <c r="B350" s="241">
        <v>6419</v>
      </c>
      <c r="C350" s="242" t="s">
        <v>4242</v>
      </c>
      <c r="D350" s="242" t="str">
        <f t="shared" si="11"/>
        <v>CENTAR ZA SOCIJALNU SKRB IVANIĆ GRAD (6419)</v>
      </c>
      <c r="E350" s="242" t="s">
        <v>4243</v>
      </c>
      <c r="F350" s="242" t="s">
        <v>4244</v>
      </c>
      <c r="G350" s="243">
        <v>2873079</v>
      </c>
      <c r="H350" s="244" t="s">
        <v>4245</v>
      </c>
      <c r="J350" s="233"/>
    </row>
    <row r="351" spans="1:10" ht="15" customHeight="1">
      <c r="A351" s="240">
        <f t="shared" si="10"/>
        <v>348</v>
      </c>
      <c r="B351" s="241">
        <v>6427</v>
      </c>
      <c r="C351" s="242" t="s">
        <v>4246</v>
      </c>
      <c r="D351" s="242" t="str">
        <f t="shared" si="11"/>
        <v>CENTAR ZA SOCIJALNU SKRB JASTREBARSKO (6427)</v>
      </c>
      <c r="E351" s="242" t="s">
        <v>4247</v>
      </c>
      <c r="F351" s="242" t="s">
        <v>600</v>
      </c>
      <c r="G351" s="243">
        <v>2873087</v>
      </c>
      <c r="H351" s="244" t="s">
        <v>4248</v>
      </c>
      <c r="J351" s="233"/>
    </row>
    <row r="352" spans="1:10" ht="15" customHeight="1">
      <c r="A352" s="240">
        <f t="shared" si="10"/>
        <v>349</v>
      </c>
      <c r="B352" s="241">
        <v>6435</v>
      </c>
      <c r="C352" s="242" t="s">
        <v>4249</v>
      </c>
      <c r="D352" s="242" t="str">
        <f t="shared" si="11"/>
        <v>CENTAR ZA SOCIJALNU SKRB KARLOVAC (6435)</v>
      </c>
      <c r="E352" s="242" t="s">
        <v>4250</v>
      </c>
      <c r="F352" s="242" t="s">
        <v>509</v>
      </c>
      <c r="G352" s="243">
        <v>2882981</v>
      </c>
      <c r="H352" s="244" t="s">
        <v>4251</v>
      </c>
      <c r="J352" s="233"/>
    </row>
    <row r="353" spans="1:10" ht="15" customHeight="1">
      <c r="A353" s="240">
        <f t="shared" si="10"/>
        <v>350</v>
      </c>
      <c r="B353" s="241">
        <v>21730</v>
      </c>
      <c r="C353" s="242" t="s">
        <v>4252</v>
      </c>
      <c r="D353" s="242" t="str">
        <f t="shared" si="11"/>
        <v>CENTAR ZA SOCIJALNU SKRB KNIN (21730)</v>
      </c>
      <c r="E353" s="242" t="s">
        <v>4253</v>
      </c>
      <c r="F353" s="242" t="s">
        <v>501</v>
      </c>
      <c r="G353" s="243">
        <v>2882035</v>
      </c>
      <c r="H353" s="244" t="s">
        <v>4254</v>
      </c>
      <c r="J353" s="233"/>
    </row>
    <row r="354" spans="1:10" ht="15" customHeight="1">
      <c r="A354" s="240">
        <f t="shared" si="10"/>
        <v>351</v>
      </c>
      <c r="B354" s="241">
        <v>6451</v>
      </c>
      <c r="C354" s="242" t="s">
        <v>4255</v>
      </c>
      <c r="D354" s="242" t="str">
        <f t="shared" si="11"/>
        <v>CENTAR ZA SOCIJALNU SKRB KOPRIVNICA (6451)</v>
      </c>
      <c r="E354" s="242" t="s">
        <v>4256</v>
      </c>
      <c r="F354" s="242" t="s">
        <v>305</v>
      </c>
      <c r="G354" s="243">
        <v>2873290</v>
      </c>
      <c r="H354" s="244" t="s">
        <v>4257</v>
      </c>
      <c r="J354" s="233"/>
    </row>
    <row r="355" spans="1:10" ht="15" customHeight="1">
      <c r="A355" s="240">
        <f t="shared" si="10"/>
        <v>352</v>
      </c>
      <c r="B355" s="241">
        <v>6460</v>
      </c>
      <c r="C355" s="242" t="s">
        <v>4258</v>
      </c>
      <c r="D355" s="242" t="str">
        <f t="shared" si="11"/>
        <v>CENTAR ZA SOCIJALNU SKRB KORČULA (6460)</v>
      </c>
      <c r="E355" s="242" t="s">
        <v>4259</v>
      </c>
      <c r="F355" s="242" t="s">
        <v>4260</v>
      </c>
      <c r="G355" s="243">
        <v>2882329</v>
      </c>
      <c r="H355" s="244" t="s">
        <v>4261</v>
      </c>
      <c r="J355" s="233"/>
    </row>
    <row r="356" spans="1:10" ht="15" customHeight="1">
      <c r="A356" s="240">
        <f t="shared" si="10"/>
        <v>353</v>
      </c>
      <c r="B356" s="241">
        <v>6478</v>
      </c>
      <c r="C356" s="242" t="s">
        <v>4262</v>
      </c>
      <c r="D356" s="242" t="str">
        <f t="shared" si="11"/>
        <v>CENTAR ZA SOCIJALNU SKRB KRAPINA (6478)</v>
      </c>
      <c r="E356" s="242" t="s">
        <v>4263</v>
      </c>
      <c r="F356" s="242" t="s">
        <v>1723</v>
      </c>
      <c r="G356" s="243">
        <v>2877465</v>
      </c>
      <c r="H356" s="244" t="s">
        <v>4264</v>
      </c>
      <c r="J356" s="233"/>
    </row>
    <row r="357" spans="1:10" ht="15" customHeight="1">
      <c r="A357" s="240">
        <f t="shared" si="10"/>
        <v>354</v>
      </c>
      <c r="B357" s="241">
        <v>6486</v>
      </c>
      <c r="C357" s="242" t="s">
        <v>4265</v>
      </c>
      <c r="D357" s="242" t="str">
        <f t="shared" si="11"/>
        <v>CENTAR ZA SOCIJALNU SKRB KRIŽEVCI (6486)</v>
      </c>
      <c r="E357" s="242" t="s">
        <v>4266</v>
      </c>
      <c r="F357" s="242" t="s">
        <v>527</v>
      </c>
      <c r="G357" s="243">
        <v>2873281</v>
      </c>
      <c r="H357" s="244" t="s">
        <v>4267</v>
      </c>
      <c r="J357" s="233"/>
    </row>
    <row r="358" spans="1:10" ht="15" customHeight="1">
      <c r="A358" s="240">
        <f t="shared" si="10"/>
        <v>355</v>
      </c>
      <c r="B358" s="241">
        <v>6494</v>
      </c>
      <c r="C358" s="242" t="s">
        <v>4268</v>
      </c>
      <c r="D358" s="242" t="str">
        <f t="shared" si="11"/>
        <v>CENTAR ZA SOCIJALNU SKRB KRK (6494)</v>
      </c>
      <c r="E358" s="242" t="s">
        <v>4269</v>
      </c>
      <c r="F358" s="242" t="s">
        <v>4270</v>
      </c>
      <c r="G358" s="243">
        <v>2883724</v>
      </c>
      <c r="H358" s="244" t="s">
        <v>4271</v>
      </c>
      <c r="J358" s="233"/>
    </row>
    <row r="359" spans="1:10" ht="15" customHeight="1">
      <c r="A359" s="240">
        <f t="shared" si="10"/>
        <v>356</v>
      </c>
      <c r="B359" s="241">
        <v>6509</v>
      </c>
      <c r="C359" s="242" t="s">
        <v>4272</v>
      </c>
      <c r="D359" s="242" t="str">
        <f t="shared" si="11"/>
        <v>CENTAR ZA SOCIJALNU SKRB KUTINA (6509)</v>
      </c>
      <c r="E359" s="242" t="s">
        <v>4273</v>
      </c>
      <c r="F359" s="242" t="s">
        <v>4274</v>
      </c>
      <c r="G359" s="243">
        <v>2883252</v>
      </c>
      <c r="H359" s="244" t="s">
        <v>4275</v>
      </c>
      <c r="J359" s="233"/>
    </row>
    <row r="360" spans="1:10" ht="15" customHeight="1">
      <c r="A360" s="240">
        <f t="shared" si="10"/>
        <v>357</v>
      </c>
      <c r="B360" s="241">
        <v>6517</v>
      </c>
      <c r="C360" s="242" t="s">
        <v>4276</v>
      </c>
      <c r="D360" s="242" t="str">
        <f t="shared" si="11"/>
        <v>CENTAR ZA SOCIJALNU SKRB LABIN (6517)</v>
      </c>
      <c r="E360" s="242" t="s">
        <v>4277</v>
      </c>
      <c r="F360" s="242" t="s">
        <v>4278</v>
      </c>
      <c r="G360" s="243">
        <v>2883368</v>
      </c>
      <c r="H360" s="244" t="s">
        <v>4279</v>
      </c>
      <c r="J360" s="233"/>
    </row>
    <row r="361" spans="1:10" ht="15" customHeight="1">
      <c r="A361" s="240">
        <f t="shared" si="10"/>
        <v>358</v>
      </c>
      <c r="B361" s="241">
        <v>6525</v>
      </c>
      <c r="C361" s="242" t="s">
        <v>4280</v>
      </c>
      <c r="D361" s="242" t="str">
        <f t="shared" si="11"/>
        <v>CENTAR ZA SOCIJALNU SKRB LUDBREG (6525)</v>
      </c>
      <c r="E361" s="242" t="s">
        <v>4281</v>
      </c>
      <c r="F361" s="242" t="s">
        <v>4282</v>
      </c>
      <c r="G361" s="243">
        <v>2872633</v>
      </c>
      <c r="H361" s="244" t="s">
        <v>4283</v>
      </c>
      <c r="J361" s="233"/>
    </row>
    <row r="362" spans="1:10" ht="15" customHeight="1">
      <c r="A362" s="240">
        <f t="shared" si="10"/>
        <v>359</v>
      </c>
      <c r="B362" s="241">
        <v>6533</v>
      </c>
      <c r="C362" s="242" t="s">
        <v>4284</v>
      </c>
      <c r="D362" s="242" t="str">
        <f t="shared" si="11"/>
        <v>CENTAR ZA SOCIJALNU SKRB MAKARSKA (6533)</v>
      </c>
      <c r="E362" s="242" t="s">
        <v>4285</v>
      </c>
      <c r="F362" s="242" t="s">
        <v>3932</v>
      </c>
      <c r="G362" s="243">
        <v>2882744</v>
      </c>
      <c r="H362" s="244" t="s">
        <v>4286</v>
      </c>
      <c r="J362" s="233"/>
    </row>
    <row r="363" spans="1:10" ht="15" customHeight="1">
      <c r="A363" s="240">
        <f t="shared" si="10"/>
        <v>360</v>
      </c>
      <c r="B363" s="241">
        <v>6550</v>
      </c>
      <c r="C363" s="242" t="s">
        <v>4287</v>
      </c>
      <c r="D363" s="242" t="str">
        <f t="shared" si="11"/>
        <v>CENTAR ZA SOCIJALNU SKRB METKOVIĆ  (6550)</v>
      </c>
      <c r="E363" s="242" t="s">
        <v>4288</v>
      </c>
      <c r="F363" s="242" t="s">
        <v>4289</v>
      </c>
      <c r="G363" s="243">
        <v>2882337</v>
      </c>
      <c r="H363" s="244" t="s">
        <v>4290</v>
      </c>
      <c r="J363" s="233"/>
    </row>
    <row r="364" spans="1:10" ht="15" customHeight="1">
      <c r="A364" s="240">
        <f t="shared" si="10"/>
        <v>361</v>
      </c>
      <c r="B364" s="241">
        <v>6568</v>
      </c>
      <c r="C364" s="242" t="s">
        <v>4291</v>
      </c>
      <c r="D364" s="242" t="str">
        <f t="shared" si="11"/>
        <v>CENTAR ZA SOCIJALNU SKRB NAŠICE (6568)</v>
      </c>
      <c r="E364" s="242" t="s">
        <v>4012</v>
      </c>
      <c r="F364" s="242" t="s">
        <v>4292</v>
      </c>
      <c r="G364" s="243">
        <v>2872684</v>
      </c>
      <c r="H364" s="244" t="s">
        <v>4293</v>
      </c>
      <c r="J364" s="233"/>
    </row>
    <row r="365" spans="1:10" ht="15" customHeight="1">
      <c r="A365" s="240">
        <f t="shared" si="10"/>
        <v>362</v>
      </c>
      <c r="B365" s="241">
        <v>6576</v>
      </c>
      <c r="C365" s="242" t="s">
        <v>4294</v>
      </c>
      <c r="D365" s="242" t="str">
        <f t="shared" si="11"/>
        <v>CENTAR ZA SOCIJALNU SKRB NOVA GRADIŠKA (6576)</v>
      </c>
      <c r="E365" s="242" t="s">
        <v>4295</v>
      </c>
      <c r="F365" s="242" t="s">
        <v>4296</v>
      </c>
      <c r="G365" s="243">
        <v>2872439</v>
      </c>
      <c r="H365" s="244" t="s">
        <v>4297</v>
      </c>
      <c r="J365" s="233"/>
    </row>
    <row r="366" spans="1:10" ht="15" customHeight="1">
      <c r="A366" s="240">
        <f t="shared" si="10"/>
        <v>363</v>
      </c>
      <c r="B366" s="241">
        <v>6584</v>
      </c>
      <c r="C366" s="242" t="s">
        <v>4298</v>
      </c>
      <c r="D366" s="242" t="str">
        <f t="shared" si="11"/>
        <v>CENTAR ZA SOCIJALNU SKRB NOVI MAROF (6584)</v>
      </c>
      <c r="E366" s="242" t="s">
        <v>4299</v>
      </c>
      <c r="F366" s="242" t="s">
        <v>4300</v>
      </c>
      <c r="G366" s="243">
        <v>2872625</v>
      </c>
      <c r="H366" s="244" t="s">
        <v>4301</v>
      </c>
      <c r="J366" s="233"/>
    </row>
    <row r="367" spans="1:10" ht="15" customHeight="1">
      <c r="A367" s="240">
        <f t="shared" si="10"/>
        <v>364</v>
      </c>
      <c r="B367" s="241">
        <v>6592</v>
      </c>
      <c r="C367" s="242" t="s">
        <v>4302</v>
      </c>
      <c r="D367" s="242" t="str">
        <f t="shared" si="11"/>
        <v>CENTAR ZA SOCIJALNU SKRB NOVSKA (6592)</v>
      </c>
      <c r="E367" s="242" t="s">
        <v>4303</v>
      </c>
      <c r="F367" s="242" t="s">
        <v>4304</v>
      </c>
      <c r="G367" s="243">
        <v>2883279</v>
      </c>
      <c r="H367" s="244" t="s">
        <v>4305</v>
      </c>
      <c r="J367" s="233"/>
    </row>
    <row r="368" spans="1:10" ht="15" customHeight="1">
      <c r="A368" s="240">
        <f t="shared" si="10"/>
        <v>365</v>
      </c>
      <c r="B368" s="241">
        <v>22890</v>
      </c>
      <c r="C368" s="242" t="s">
        <v>4306</v>
      </c>
      <c r="D368" s="242" t="str">
        <f t="shared" si="11"/>
        <v>CENTAR ZA SOCIJALNU SKRB OGULIN (22890)</v>
      </c>
      <c r="E368" s="242" t="s">
        <v>4307</v>
      </c>
      <c r="F368" s="242" t="s">
        <v>4308</v>
      </c>
      <c r="G368" s="243">
        <v>2883007</v>
      </c>
      <c r="H368" s="244" t="s">
        <v>4309</v>
      </c>
      <c r="J368" s="233"/>
    </row>
    <row r="369" spans="1:10" ht="15" customHeight="1">
      <c r="A369" s="240">
        <f t="shared" si="10"/>
        <v>366</v>
      </c>
      <c r="B369" s="241">
        <v>6613</v>
      </c>
      <c r="C369" s="242" t="s">
        <v>4310</v>
      </c>
      <c r="D369" s="242" t="str">
        <f t="shared" si="11"/>
        <v>CENTAR ZA SOCIJALNU SKRB OMIŠ (6613)</v>
      </c>
      <c r="E369" s="242" t="s">
        <v>4311</v>
      </c>
      <c r="F369" s="242" t="s">
        <v>4312</v>
      </c>
      <c r="G369" s="243">
        <v>2882728</v>
      </c>
      <c r="H369" s="244" t="s">
        <v>4313</v>
      </c>
      <c r="J369" s="233"/>
    </row>
    <row r="370" spans="1:10" ht="15" customHeight="1">
      <c r="A370" s="240">
        <f t="shared" si="10"/>
        <v>367</v>
      </c>
      <c r="B370" s="241">
        <v>6621</v>
      </c>
      <c r="C370" s="242" t="s">
        <v>4314</v>
      </c>
      <c r="D370" s="242" t="str">
        <f t="shared" si="11"/>
        <v>CENTAR ZA SOCIJALNU SKRB OPATIJA (6621)</v>
      </c>
      <c r="E370" s="242" t="s">
        <v>4315</v>
      </c>
      <c r="F370" s="242" t="s">
        <v>326</v>
      </c>
      <c r="G370" s="243">
        <v>2883716</v>
      </c>
      <c r="H370" s="244" t="s">
        <v>4316</v>
      </c>
      <c r="J370" s="233"/>
    </row>
    <row r="371" spans="1:10" ht="15" customHeight="1">
      <c r="A371" s="240">
        <f t="shared" si="10"/>
        <v>368</v>
      </c>
      <c r="B371" s="241">
        <v>6630</v>
      </c>
      <c r="C371" s="242" t="s">
        <v>4317</v>
      </c>
      <c r="D371" s="242" t="str">
        <f t="shared" si="11"/>
        <v>CENTAR ZA SOCIJALNU SKRB OSIJEK (6630)</v>
      </c>
      <c r="E371" s="242" t="s">
        <v>4318</v>
      </c>
      <c r="F371" s="242" t="s">
        <v>274</v>
      </c>
      <c r="G371" s="243">
        <v>2872676</v>
      </c>
      <c r="H371" s="244" t="s">
        <v>4319</v>
      </c>
      <c r="J371" s="233"/>
    </row>
    <row r="372" spans="1:10" ht="15" customHeight="1">
      <c r="A372" s="240">
        <f t="shared" si="10"/>
        <v>369</v>
      </c>
      <c r="B372" s="241">
        <v>6656</v>
      </c>
      <c r="C372" s="242" t="s">
        <v>4320</v>
      </c>
      <c r="D372" s="242" t="str">
        <f t="shared" si="11"/>
        <v>CENTAR ZA SOCIJALNU SKRB PAKRAC (6656)</v>
      </c>
      <c r="E372" s="242" t="s">
        <v>4321</v>
      </c>
      <c r="F372" s="242" t="s">
        <v>4322</v>
      </c>
      <c r="G372" s="243">
        <v>2873265</v>
      </c>
      <c r="H372" s="244" t="s">
        <v>4323</v>
      </c>
      <c r="J372" s="233"/>
    </row>
    <row r="373" spans="1:10" ht="15" customHeight="1">
      <c r="A373" s="240">
        <f t="shared" si="10"/>
        <v>370</v>
      </c>
      <c r="B373" s="241">
        <v>22111</v>
      </c>
      <c r="C373" s="242" t="s">
        <v>4324</v>
      </c>
      <c r="D373" s="242" t="str">
        <f t="shared" si="11"/>
        <v>CENTAR ZA SOCIJALNU SKRB PAZIN (22111)</v>
      </c>
      <c r="E373" s="242" t="s">
        <v>4325</v>
      </c>
      <c r="F373" s="242" t="s">
        <v>3665</v>
      </c>
      <c r="G373" s="243">
        <v>2883333</v>
      </c>
      <c r="H373" s="244" t="s">
        <v>4326</v>
      </c>
      <c r="J373" s="233"/>
    </row>
    <row r="374" spans="1:10" ht="15" customHeight="1">
      <c r="A374" s="240">
        <f t="shared" si="10"/>
        <v>371</v>
      </c>
      <c r="B374" s="241">
        <v>6672</v>
      </c>
      <c r="C374" s="242" t="s">
        <v>4327</v>
      </c>
      <c r="D374" s="242" t="str">
        <f t="shared" si="11"/>
        <v>CENTAR ZA SOCIJALNU SKRB PETRINJA (6672)</v>
      </c>
      <c r="E374" s="242" t="s">
        <v>4328</v>
      </c>
      <c r="F374" s="242" t="s">
        <v>4329</v>
      </c>
      <c r="G374" s="243">
        <v>2883244</v>
      </c>
      <c r="H374" s="244" t="s">
        <v>4330</v>
      </c>
      <c r="J374" s="233"/>
    </row>
    <row r="375" spans="1:10" ht="15" customHeight="1">
      <c r="A375" s="240">
        <f t="shared" si="10"/>
        <v>372</v>
      </c>
      <c r="B375" s="241">
        <v>6961</v>
      </c>
      <c r="C375" s="242" t="s">
        <v>4331</v>
      </c>
      <c r="D375" s="242" t="str">
        <f t="shared" si="11"/>
        <v>CENTAR ZA SOCIJALNU SKRB PLOČE (6961)</v>
      </c>
      <c r="E375" s="242" t="s">
        <v>4332</v>
      </c>
      <c r="F375" s="242" t="s">
        <v>3861</v>
      </c>
      <c r="G375" s="243">
        <v>2882345</v>
      </c>
      <c r="H375" s="244" t="s">
        <v>4333</v>
      </c>
      <c r="J375" s="233"/>
    </row>
    <row r="376" spans="1:10" ht="15" customHeight="1">
      <c r="A376" s="240">
        <f t="shared" si="10"/>
        <v>373</v>
      </c>
      <c r="B376" s="241">
        <v>6697</v>
      </c>
      <c r="C376" s="242" t="s">
        <v>4334</v>
      </c>
      <c r="D376" s="242" t="str">
        <f t="shared" si="11"/>
        <v>CENTAR ZA SOCIJALNU SKRB POREČ (6697)</v>
      </c>
      <c r="E376" s="242" t="s">
        <v>4335</v>
      </c>
      <c r="F376" s="242" t="s">
        <v>587</v>
      </c>
      <c r="G376" s="243">
        <v>2883350</v>
      </c>
      <c r="H376" s="244" t="s">
        <v>4336</v>
      </c>
      <c r="J376" s="233"/>
    </row>
    <row r="377" spans="1:10" ht="15" customHeight="1">
      <c r="A377" s="240">
        <f t="shared" si="10"/>
        <v>374</v>
      </c>
      <c r="B377" s="241">
        <v>6777</v>
      </c>
      <c r="C377" s="242" t="s">
        <v>4337</v>
      </c>
      <c r="D377" s="242" t="str">
        <f t="shared" si="11"/>
        <v>CENTAR ZA SOCIJALNU SKRB POŽEGA (6777)</v>
      </c>
      <c r="E377" s="242" t="s">
        <v>4338</v>
      </c>
      <c r="F377" s="242" t="s">
        <v>513</v>
      </c>
      <c r="G377" s="243">
        <v>2873257</v>
      </c>
      <c r="H377" s="244" t="s">
        <v>4339</v>
      </c>
      <c r="J377" s="233"/>
    </row>
    <row r="378" spans="1:10" ht="15" customHeight="1">
      <c r="A378" s="240">
        <f t="shared" si="10"/>
        <v>375</v>
      </c>
      <c r="B378" s="241">
        <v>51749</v>
      </c>
      <c r="C378" s="242" t="s">
        <v>4340</v>
      </c>
      <c r="D378" s="242" t="str">
        <f t="shared" si="11"/>
        <v>CENTAR ZA SOCIJALNU SKRB PRELOG (51749)</v>
      </c>
      <c r="E378" s="242" t="s">
        <v>4341</v>
      </c>
      <c r="F378" s="242" t="s">
        <v>4342</v>
      </c>
      <c r="G378" s="243">
        <v>5344301</v>
      </c>
      <c r="H378" s="244" t="s">
        <v>4343</v>
      </c>
      <c r="J378" s="233"/>
    </row>
    <row r="379" spans="1:10" ht="15" customHeight="1">
      <c r="A379" s="240">
        <f>+A378+1</f>
        <v>376</v>
      </c>
      <c r="B379" s="241">
        <v>6701</v>
      </c>
      <c r="C379" s="242" t="s">
        <v>4344</v>
      </c>
      <c r="D379" s="242" t="str">
        <f t="shared" si="11"/>
        <v>CENTAR ZA SOCIJALNU SKRB PULA-POLA (6701)</v>
      </c>
      <c r="E379" s="242" t="s">
        <v>4345</v>
      </c>
      <c r="F379" s="242" t="s">
        <v>302</v>
      </c>
      <c r="G379" s="243">
        <v>2883384</v>
      </c>
      <c r="H379" s="244" t="s">
        <v>4346</v>
      </c>
      <c r="J379" s="233"/>
    </row>
    <row r="380" spans="1:10" ht="15" customHeight="1">
      <c r="A380" s="240">
        <f t="shared" ref="A380:A443" si="12">+A379+1</f>
        <v>377</v>
      </c>
      <c r="B380" s="241">
        <v>6710</v>
      </c>
      <c r="C380" s="242" t="s">
        <v>4347</v>
      </c>
      <c r="D380" s="242" t="str">
        <f t="shared" si="11"/>
        <v>CENTAR ZA SOCIJALNU SKRB RIJEKA (6710)</v>
      </c>
      <c r="E380" s="242" t="s">
        <v>4348</v>
      </c>
      <c r="F380" s="242" t="s">
        <v>316</v>
      </c>
      <c r="G380" s="243">
        <v>2883686</v>
      </c>
      <c r="H380" s="244" t="s">
        <v>4349</v>
      </c>
      <c r="J380" s="233"/>
    </row>
    <row r="381" spans="1:10" ht="15" customHeight="1">
      <c r="A381" s="240">
        <f t="shared" si="12"/>
        <v>378</v>
      </c>
      <c r="B381" s="241">
        <v>6728</v>
      </c>
      <c r="C381" s="242" t="s">
        <v>4350</v>
      </c>
      <c r="D381" s="242" t="str">
        <f t="shared" si="11"/>
        <v>CENTAR ZA SOCIJALNU SKRB ROVINJ (6728)</v>
      </c>
      <c r="E381" s="242" t="s">
        <v>4351</v>
      </c>
      <c r="F381" s="242" t="s">
        <v>4352</v>
      </c>
      <c r="G381" s="243">
        <v>2883376</v>
      </c>
      <c r="H381" s="244" t="s">
        <v>4353</v>
      </c>
      <c r="J381" s="233"/>
    </row>
    <row r="382" spans="1:10" ht="15" customHeight="1">
      <c r="A382" s="240">
        <f t="shared" si="12"/>
        <v>379</v>
      </c>
      <c r="B382" s="241">
        <v>6736</v>
      </c>
      <c r="C382" s="242" t="s">
        <v>4354</v>
      </c>
      <c r="D382" s="242" t="str">
        <f t="shared" si="11"/>
        <v>CENTAR ZA SOCIJALNU SKRB SAMOBOR (6736)</v>
      </c>
      <c r="E382" s="242" t="s">
        <v>4355</v>
      </c>
      <c r="F382" s="242" t="s">
        <v>4356</v>
      </c>
      <c r="G382" s="243">
        <v>2873109</v>
      </c>
      <c r="H382" s="244" t="s">
        <v>4357</v>
      </c>
      <c r="J382" s="233"/>
    </row>
    <row r="383" spans="1:10" ht="15" customHeight="1">
      <c r="A383" s="240">
        <f t="shared" si="12"/>
        <v>380</v>
      </c>
      <c r="B383" s="241">
        <v>6744</v>
      </c>
      <c r="C383" s="242" t="s">
        <v>4358</v>
      </c>
      <c r="D383" s="242" t="str">
        <f t="shared" si="11"/>
        <v>CENTAR ZA SOCIJALNU SKRB SENJ (6744)</v>
      </c>
      <c r="E383" s="242" t="s">
        <v>4359</v>
      </c>
      <c r="F383" s="242" t="s">
        <v>4360</v>
      </c>
      <c r="G383" s="243">
        <v>2883651</v>
      </c>
      <c r="H383" s="244" t="s">
        <v>4361</v>
      </c>
      <c r="J383" s="233"/>
    </row>
    <row r="384" spans="1:10" ht="15" customHeight="1">
      <c r="A384" s="240">
        <f t="shared" si="12"/>
        <v>381</v>
      </c>
      <c r="B384" s="241">
        <v>6752</v>
      </c>
      <c r="C384" s="242" t="s">
        <v>4362</v>
      </c>
      <c r="D384" s="242" t="str">
        <f t="shared" si="11"/>
        <v>CENTAR ZA SOCIJALNU SKRB SINJ (6752)</v>
      </c>
      <c r="E384" s="242" t="s">
        <v>4363</v>
      </c>
      <c r="F384" s="242" t="s">
        <v>4364</v>
      </c>
      <c r="G384" s="243">
        <v>2882710</v>
      </c>
      <c r="H384" s="244" t="s">
        <v>4365</v>
      </c>
      <c r="J384" s="233"/>
    </row>
    <row r="385" spans="1:10" ht="15" customHeight="1">
      <c r="A385" s="240">
        <f t="shared" si="12"/>
        <v>382</v>
      </c>
      <c r="B385" s="241">
        <v>6769</v>
      </c>
      <c r="C385" s="242" t="s">
        <v>4366</v>
      </c>
      <c r="D385" s="242" t="str">
        <f t="shared" si="11"/>
        <v>CENTAR ZA SOCIJALNU SKRB SISAK (6769)</v>
      </c>
      <c r="E385" s="242" t="s">
        <v>4367</v>
      </c>
      <c r="F385" s="242" t="s">
        <v>1719</v>
      </c>
      <c r="G385" s="243">
        <v>2883236</v>
      </c>
      <c r="H385" s="244" t="s">
        <v>4368</v>
      </c>
      <c r="J385" s="233"/>
    </row>
    <row r="386" spans="1:10" ht="15" customHeight="1">
      <c r="A386" s="240">
        <f t="shared" si="12"/>
        <v>383</v>
      </c>
      <c r="B386" s="241">
        <v>6689</v>
      </c>
      <c r="C386" s="242" t="s">
        <v>4369</v>
      </c>
      <c r="D386" s="242" t="str">
        <f t="shared" si="11"/>
        <v>CENTAR ZA SOCIJALNU SKRB SLATINA (6689)</v>
      </c>
      <c r="E386" s="242" t="s">
        <v>4370</v>
      </c>
      <c r="F386" s="242" t="s">
        <v>4371</v>
      </c>
      <c r="G386" s="243">
        <v>2873028</v>
      </c>
      <c r="H386" s="244" t="s">
        <v>4372</v>
      </c>
      <c r="J386" s="233"/>
    </row>
    <row r="387" spans="1:10" ht="15" customHeight="1">
      <c r="A387" s="240">
        <f t="shared" si="12"/>
        <v>384</v>
      </c>
      <c r="B387" s="241">
        <v>6785</v>
      </c>
      <c r="C387" s="242" t="s">
        <v>4373</v>
      </c>
      <c r="D387" s="242" t="str">
        <f t="shared" si="11"/>
        <v>CENTAR ZA SOCIJALNU SKRB SLAVONSKI BROD (6785)</v>
      </c>
      <c r="E387" s="242" t="s">
        <v>4374</v>
      </c>
      <c r="F387" s="242" t="s">
        <v>1764</v>
      </c>
      <c r="G387" s="243">
        <v>2872412</v>
      </c>
      <c r="H387" s="244" t="s">
        <v>4375</v>
      </c>
      <c r="J387" s="233"/>
    </row>
    <row r="388" spans="1:10" ht="15" customHeight="1">
      <c r="A388" s="240">
        <f t="shared" si="12"/>
        <v>385</v>
      </c>
      <c r="B388" s="241">
        <v>19931</v>
      </c>
      <c r="C388" s="242" t="s">
        <v>4376</v>
      </c>
      <c r="D388" s="242" t="str">
        <f t="shared" ref="D388:D451" si="13">C388&amp;" ("&amp;B388&amp;")"</f>
        <v>CENTAR ZA SOCIJALNU SKRB SLUNJ (19931)</v>
      </c>
      <c r="E388" s="242" t="s">
        <v>4377</v>
      </c>
      <c r="F388" s="242" t="s">
        <v>4378</v>
      </c>
      <c r="G388" s="243">
        <v>2882990</v>
      </c>
      <c r="H388" s="244" t="s">
        <v>4379</v>
      </c>
      <c r="J388" s="233"/>
    </row>
    <row r="389" spans="1:10" ht="15" customHeight="1">
      <c r="A389" s="240">
        <f t="shared" si="12"/>
        <v>386</v>
      </c>
      <c r="B389" s="241">
        <v>6890</v>
      </c>
      <c r="C389" s="242" t="s">
        <v>4380</v>
      </c>
      <c r="D389" s="242" t="str">
        <f t="shared" si="13"/>
        <v>CENTAR ZA SOCIJALNU SKRB SPLIT (6890)</v>
      </c>
      <c r="E389" s="242" t="s">
        <v>4381</v>
      </c>
      <c r="F389" s="242" t="s">
        <v>356</v>
      </c>
      <c r="G389" s="243">
        <v>2882752</v>
      </c>
      <c r="H389" s="244" t="s">
        <v>4382</v>
      </c>
      <c r="J389" s="233"/>
    </row>
    <row r="390" spans="1:10" ht="15" customHeight="1">
      <c r="A390" s="240">
        <f t="shared" si="12"/>
        <v>387</v>
      </c>
      <c r="B390" s="241">
        <v>6937</v>
      </c>
      <c r="C390" s="242" t="s">
        <v>4383</v>
      </c>
      <c r="D390" s="242" t="str">
        <f t="shared" si="13"/>
        <v>CENTAR ZA SOCIJALNU SKRB SVETI IVAN ZELINA  (6937)</v>
      </c>
      <c r="E390" s="242" t="s">
        <v>4384</v>
      </c>
      <c r="F390" s="242" t="s">
        <v>4385</v>
      </c>
      <c r="G390" s="243">
        <v>2873052</v>
      </c>
      <c r="H390" s="244" t="s">
        <v>4386</v>
      </c>
      <c r="J390" s="233"/>
    </row>
    <row r="391" spans="1:10" ht="15" customHeight="1">
      <c r="A391" s="240">
        <f t="shared" si="12"/>
        <v>388</v>
      </c>
      <c r="B391" s="241">
        <v>6793</v>
      </c>
      <c r="C391" s="242" t="s">
        <v>4387</v>
      </c>
      <c r="D391" s="242" t="str">
        <f t="shared" si="13"/>
        <v>CENTAR ZA SOCIJALNU SKRB ŠIBENIK (6793)</v>
      </c>
      <c r="E391" s="242" t="s">
        <v>4388</v>
      </c>
      <c r="F391" s="242" t="s">
        <v>520</v>
      </c>
      <c r="G391" s="243">
        <v>2882019</v>
      </c>
      <c r="H391" s="244" t="s">
        <v>4389</v>
      </c>
      <c r="J391" s="233"/>
    </row>
    <row r="392" spans="1:10" ht="15" customHeight="1">
      <c r="A392" s="240">
        <f t="shared" si="12"/>
        <v>389</v>
      </c>
      <c r="B392" s="241">
        <v>6808</v>
      </c>
      <c r="C392" s="242" t="s">
        <v>4390</v>
      </c>
      <c r="D392" s="242" t="str">
        <f t="shared" si="13"/>
        <v>CENTAR ZA SOCIJALNU SKRB TROGIR (6808)</v>
      </c>
      <c r="E392" s="242" t="s">
        <v>4391</v>
      </c>
      <c r="F392" s="242" t="s">
        <v>4392</v>
      </c>
      <c r="G392" s="243">
        <v>2882701</v>
      </c>
      <c r="H392" s="244" t="s">
        <v>4393</v>
      </c>
      <c r="J392" s="233"/>
    </row>
    <row r="393" spans="1:10" ht="15" customHeight="1">
      <c r="A393" s="240">
        <f t="shared" si="12"/>
        <v>390</v>
      </c>
      <c r="B393" s="241">
        <v>6816</v>
      </c>
      <c r="C393" s="242" t="s">
        <v>4394</v>
      </c>
      <c r="D393" s="242" t="str">
        <f t="shared" si="13"/>
        <v>CENTAR ZA SOCIJALNU SKRB VALPOVO (6816)</v>
      </c>
      <c r="E393" s="242" t="s">
        <v>4395</v>
      </c>
      <c r="F393" s="242" t="s">
        <v>4396</v>
      </c>
      <c r="G393" s="243">
        <v>2872714</v>
      </c>
      <c r="H393" s="244" t="s">
        <v>4397</v>
      </c>
      <c r="J393" s="233"/>
    </row>
    <row r="394" spans="1:10" ht="15" customHeight="1">
      <c r="A394" s="240">
        <f t="shared" si="12"/>
        <v>391</v>
      </c>
      <c r="B394" s="241">
        <v>21981</v>
      </c>
      <c r="C394" s="242" t="s">
        <v>4398</v>
      </c>
      <c r="D394" s="242" t="str">
        <f t="shared" si="13"/>
        <v>CENTAR ZA SOCIJALNU SKRB VARAŽDIN (21981)</v>
      </c>
      <c r="E394" s="242" t="s">
        <v>4399</v>
      </c>
      <c r="F394" s="242" t="s">
        <v>441</v>
      </c>
      <c r="G394" s="243">
        <v>2872617</v>
      </c>
      <c r="H394" s="244" t="s">
        <v>4400</v>
      </c>
      <c r="J394" s="233"/>
    </row>
    <row r="395" spans="1:10" ht="15" customHeight="1">
      <c r="A395" s="240">
        <f t="shared" si="12"/>
        <v>392</v>
      </c>
      <c r="B395" s="241">
        <v>6832</v>
      </c>
      <c r="C395" s="242" t="s">
        <v>4401</v>
      </c>
      <c r="D395" s="242" t="str">
        <f t="shared" si="13"/>
        <v>CENTAR ZA SOCIJALNU SKRB VELIKA GORICA  (6832)</v>
      </c>
      <c r="E395" s="242" t="s">
        <v>4402</v>
      </c>
      <c r="F395" s="242" t="s">
        <v>3579</v>
      </c>
      <c r="G395" s="243">
        <v>2873117</v>
      </c>
      <c r="H395" s="244" t="s">
        <v>4403</v>
      </c>
      <c r="J395" s="233"/>
    </row>
    <row r="396" spans="1:10" ht="15" customHeight="1">
      <c r="A396" s="240">
        <f t="shared" si="12"/>
        <v>393</v>
      </c>
      <c r="B396" s="241">
        <v>6849</v>
      </c>
      <c r="C396" s="242" t="s">
        <v>4404</v>
      </c>
      <c r="D396" s="242" t="str">
        <f t="shared" si="13"/>
        <v>CENTAR ZA SOCIJALNU SKRB VINKOVCI (6849)</v>
      </c>
      <c r="E396" s="242" t="s">
        <v>4405</v>
      </c>
      <c r="F396" s="242" t="s">
        <v>4406</v>
      </c>
      <c r="G396" s="243">
        <v>2872803</v>
      </c>
      <c r="H396" s="244" t="s">
        <v>4407</v>
      </c>
      <c r="J396" s="233"/>
    </row>
    <row r="397" spans="1:10" ht="15" customHeight="1">
      <c r="A397" s="240">
        <f t="shared" si="12"/>
        <v>394</v>
      </c>
      <c r="B397" s="241">
        <v>6857</v>
      </c>
      <c r="C397" s="242" t="s">
        <v>4408</v>
      </c>
      <c r="D397" s="242" t="str">
        <f t="shared" si="13"/>
        <v>CENTAR ZA SOCIJALNU SKRB VIROVITICA (6857)</v>
      </c>
      <c r="E397" s="242" t="s">
        <v>4409</v>
      </c>
      <c r="F397" s="242" t="s">
        <v>523</v>
      </c>
      <c r="G397" s="243">
        <v>2873010</v>
      </c>
      <c r="H397" s="244" t="s">
        <v>4410</v>
      </c>
      <c r="J397" s="233"/>
    </row>
    <row r="398" spans="1:10" ht="15" customHeight="1">
      <c r="A398" s="240">
        <f t="shared" si="12"/>
        <v>395</v>
      </c>
      <c r="B398" s="241">
        <v>6873</v>
      </c>
      <c r="C398" s="242" t="s">
        <v>4411</v>
      </c>
      <c r="D398" s="242" t="str">
        <f t="shared" si="13"/>
        <v>CENTAR ZA SOCIJALNU SKRB VRBOVEC (6873)</v>
      </c>
      <c r="E398" s="242" t="s">
        <v>4412</v>
      </c>
      <c r="F398" s="242" t="s">
        <v>4413</v>
      </c>
      <c r="G398" s="243">
        <v>2873044</v>
      </c>
      <c r="H398" s="244" t="s">
        <v>4414</v>
      </c>
      <c r="J398" s="233"/>
    </row>
    <row r="399" spans="1:10" ht="15" customHeight="1">
      <c r="A399" s="240">
        <f t="shared" si="12"/>
        <v>396</v>
      </c>
      <c r="B399" s="241">
        <v>22259</v>
      </c>
      <c r="C399" s="242" t="s">
        <v>4415</v>
      </c>
      <c r="D399" s="242" t="str">
        <f t="shared" si="13"/>
        <v>CENTAR ZA SOCIJALNU SKRB VUKOVAR (22259)</v>
      </c>
      <c r="E399" s="242" t="s">
        <v>4416</v>
      </c>
      <c r="F399" s="242" t="s">
        <v>497</v>
      </c>
      <c r="G399" s="243">
        <v>2872820</v>
      </c>
      <c r="H399" s="244" t="s">
        <v>4417</v>
      </c>
      <c r="J399" s="233"/>
    </row>
    <row r="400" spans="1:10" ht="15" customHeight="1">
      <c r="A400" s="240">
        <f t="shared" si="12"/>
        <v>397</v>
      </c>
      <c r="B400" s="241">
        <v>6881</v>
      </c>
      <c r="C400" s="242" t="s">
        <v>4418</v>
      </c>
      <c r="D400" s="242" t="str">
        <f t="shared" si="13"/>
        <v>CENTAR ZA SOCIJALNU SKRB ZABOK (6881)</v>
      </c>
      <c r="E400" s="242" t="s">
        <v>4419</v>
      </c>
      <c r="F400" s="242" t="s">
        <v>4420</v>
      </c>
      <c r="G400" s="243">
        <v>2877473</v>
      </c>
      <c r="H400" s="244" t="s">
        <v>4421</v>
      </c>
      <c r="J400" s="233"/>
    </row>
    <row r="401" spans="1:10" ht="15" customHeight="1">
      <c r="A401" s="240">
        <f t="shared" si="12"/>
        <v>398</v>
      </c>
      <c r="B401" s="241">
        <v>6912</v>
      </c>
      <c r="C401" s="242" t="s">
        <v>4422</v>
      </c>
      <c r="D401" s="242" t="str">
        <f t="shared" si="13"/>
        <v>CENTAR ZA SOCIJALNU SKRB ZADAR (6912)</v>
      </c>
      <c r="E401" s="242" t="s">
        <v>3751</v>
      </c>
      <c r="F401" s="242" t="s">
        <v>312</v>
      </c>
      <c r="G401" s="243">
        <v>2884313</v>
      </c>
      <c r="H401" s="244" t="s">
        <v>4423</v>
      </c>
      <c r="J401" s="233"/>
    </row>
    <row r="402" spans="1:10" ht="15" customHeight="1">
      <c r="A402" s="240">
        <f t="shared" si="12"/>
        <v>399</v>
      </c>
      <c r="B402" s="241">
        <v>22550</v>
      </c>
      <c r="C402" s="242" t="s">
        <v>4424</v>
      </c>
      <c r="D402" s="242" t="str">
        <f t="shared" si="13"/>
        <v>CENTAR ZA SOCIJALNU SKRB ZAGREB (22550)</v>
      </c>
      <c r="E402" s="242" t="s">
        <v>4425</v>
      </c>
      <c r="F402" s="242" t="s">
        <v>271</v>
      </c>
      <c r="G402" s="243">
        <v>2874440</v>
      </c>
      <c r="H402" s="244" t="s">
        <v>4426</v>
      </c>
      <c r="J402" s="233"/>
    </row>
    <row r="403" spans="1:10" ht="15" customHeight="1">
      <c r="A403" s="240">
        <f t="shared" si="12"/>
        <v>400</v>
      </c>
      <c r="B403" s="241">
        <v>6929</v>
      </c>
      <c r="C403" s="242" t="s">
        <v>4427</v>
      </c>
      <c r="D403" s="242" t="str">
        <f t="shared" si="13"/>
        <v>CENTAR ZA SOCIJALNU SKRB ZAPREŠIĆ (6929)</v>
      </c>
      <c r="E403" s="242" t="s">
        <v>4428</v>
      </c>
      <c r="F403" s="242" t="s">
        <v>4429</v>
      </c>
      <c r="G403" s="243">
        <v>2873095</v>
      </c>
      <c r="H403" s="244" t="s">
        <v>4430</v>
      </c>
      <c r="J403" s="233"/>
    </row>
    <row r="404" spans="1:10" ht="15" customHeight="1">
      <c r="A404" s="240">
        <f t="shared" si="12"/>
        <v>401</v>
      </c>
      <c r="B404" s="241">
        <v>6945</v>
      </c>
      <c r="C404" s="242" t="s">
        <v>4431</v>
      </c>
      <c r="D404" s="242" t="str">
        <f t="shared" si="13"/>
        <v>CENTAR ZA SOCIJALNU SKRB ZLATAR BISTRICA (6945)</v>
      </c>
      <c r="E404" s="242" t="s">
        <v>4432</v>
      </c>
      <c r="F404" s="242" t="s">
        <v>4433</v>
      </c>
      <c r="G404" s="243">
        <v>2877449</v>
      </c>
      <c r="H404" s="244" t="s">
        <v>4434</v>
      </c>
      <c r="J404" s="233"/>
    </row>
    <row r="405" spans="1:10" ht="15" customHeight="1">
      <c r="A405" s="240">
        <f t="shared" si="12"/>
        <v>402</v>
      </c>
      <c r="B405" s="241">
        <v>6953</v>
      </c>
      <c r="C405" s="242" t="s">
        <v>4435</v>
      </c>
      <c r="D405" s="242" t="str">
        <f t="shared" si="13"/>
        <v>CENTAR ZA SOCIJALNU SKRB ŽUPANJA (6953)</v>
      </c>
      <c r="E405" s="242" t="s">
        <v>4436</v>
      </c>
      <c r="F405" s="242" t="s">
        <v>4437</v>
      </c>
      <c r="G405" s="243">
        <v>2872811</v>
      </c>
      <c r="H405" s="244" t="s">
        <v>4438</v>
      </c>
      <c r="J405" s="233"/>
    </row>
    <row r="406" spans="1:10" ht="15" customHeight="1">
      <c r="A406" s="240">
        <f t="shared" si="12"/>
        <v>403</v>
      </c>
      <c r="B406" s="241">
        <v>7122</v>
      </c>
      <c r="C406" s="242" t="s">
        <v>4439</v>
      </c>
      <c r="D406" s="242" t="str">
        <f t="shared" si="13"/>
        <v>DJEČJI DOM "IVANA BRLIĆ MAŽURANIĆ" LOVRAN (7122)</v>
      </c>
      <c r="E406" s="242" t="s">
        <v>4440</v>
      </c>
      <c r="F406" s="242" t="s">
        <v>3959</v>
      </c>
      <c r="G406" s="243">
        <v>3090353</v>
      </c>
      <c r="H406" s="244" t="s">
        <v>4441</v>
      </c>
      <c r="J406" s="233"/>
    </row>
    <row r="407" spans="1:10" ht="15" customHeight="1">
      <c r="A407" s="240">
        <f t="shared" si="12"/>
        <v>404</v>
      </c>
      <c r="B407" s="241">
        <v>7202</v>
      </c>
      <c r="C407" s="242" t="s">
        <v>4442</v>
      </c>
      <c r="D407" s="242" t="str">
        <f t="shared" si="13"/>
        <v>DJEČJI DOM SV. ANA, VINKOVCI (7202)</v>
      </c>
      <c r="E407" s="242" t="s">
        <v>4443</v>
      </c>
      <c r="F407" s="242" t="s">
        <v>4444</v>
      </c>
      <c r="G407" s="243">
        <v>3367819</v>
      </c>
      <c r="H407" s="244" t="s">
        <v>4445</v>
      </c>
      <c r="J407" s="233"/>
    </row>
    <row r="408" spans="1:10" ht="15" customHeight="1">
      <c r="A408" s="240">
        <f t="shared" si="12"/>
        <v>405</v>
      </c>
      <c r="B408" s="241">
        <v>7171</v>
      </c>
      <c r="C408" s="242" t="s">
        <v>4446</v>
      </c>
      <c r="D408" s="242" t="str">
        <f t="shared" si="13"/>
        <v>DJEČJI DOM VRBINA SISAK (7171)</v>
      </c>
      <c r="E408" s="242" t="s">
        <v>4447</v>
      </c>
      <c r="F408" s="242" t="s">
        <v>1719</v>
      </c>
      <c r="G408" s="243">
        <v>3313964</v>
      </c>
      <c r="H408" s="244" t="s">
        <v>4448</v>
      </c>
      <c r="J408" s="233"/>
    </row>
    <row r="409" spans="1:10" ht="15" customHeight="1">
      <c r="A409" s="240">
        <f t="shared" si="12"/>
        <v>406</v>
      </c>
      <c r="B409" s="241">
        <v>7376</v>
      </c>
      <c r="C409" s="242" t="s">
        <v>4449</v>
      </c>
      <c r="D409" s="242" t="str">
        <f t="shared" si="13"/>
        <v>DNEVNI CENTAR ZA REHABILITACIJU SLAVA RAŠKAJ (7376)</v>
      </c>
      <c r="E409" s="242" t="s">
        <v>4450</v>
      </c>
      <c r="F409" s="242" t="s">
        <v>316</v>
      </c>
      <c r="G409" s="243">
        <v>3321266</v>
      </c>
      <c r="H409" s="244" t="s">
        <v>4451</v>
      </c>
      <c r="J409" s="233"/>
    </row>
    <row r="410" spans="1:10" ht="15" customHeight="1">
      <c r="A410" s="240">
        <f t="shared" si="12"/>
        <v>407</v>
      </c>
      <c r="B410" s="241">
        <v>7665</v>
      </c>
      <c r="C410" s="242" t="s">
        <v>4452</v>
      </c>
      <c r="D410" s="242" t="str">
        <f t="shared" si="13"/>
        <v>DOM ZA ODRASLE OSOBE LOBOR-GRAD (7665)</v>
      </c>
      <c r="E410" s="242" t="s">
        <v>4453</v>
      </c>
      <c r="F410" s="242" t="s">
        <v>4454</v>
      </c>
      <c r="G410" s="243">
        <v>3126889</v>
      </c>
      <c r="H410" s="244" t="s">
        <v>4455</v>
      </c>
      <c r="J410" s="233"/>
    </row>
    <row r="411" spans="1:10" ht="15" customHeight="1">
      <c r="A411" s="240">
        <f t="shared" si="12"/>
        <v>408</v>
      </c>
      <c r="B411" s="241">
        <v>7083</v>
      </c>
      <c r="C411" s="242" t="s">
        <v>4456</v>
      </c>
      <c r="D411" s="242" t="str">
        <f t="shared" si="13"/>
        <v>DOM ZA DJECU I MLAĐE PUNOLJETNE OSOBE MASLINA, DUBROVNIK (7083)</v>
      </c>
      <c r="E411" s="242" t="s">
        <v>4457</v>
      </c>
      <c r="F411" s="242" t="s">
        <v>309</v>
      </c>
      <c r="G411" s="243">
        <v>3304167</v>
      </c>
      <c r="H411" s="244" t="s">
        <v>4458</v>
      </c>
      <c r="J411" s="233"/>
    </row>
    <row r="412" spans="1:10" ht="15" customHeight="1">
      <c r="A412" s="240">
        <f t="shared" si="12"/>
        <v>409</v>
      </c>
      <c r="B412" s="241">
        <v>7198</v>
      </c>
      <c r="C412" s="242" t="s">
        <v>4459</v>
      </c>
      <c r="D412" s="242" t="str">
        <f t="shared" si="13"/>
        <v>DOM ZA DJECU MAESTRAL SPLIT (7198)</v>
      </c>
      <c r="E412" s="242" t="s">
        <v>4460</v>
      </c>
      <c r="F412" s="242" t="s">
        <v>356</v>
      </c>
      <c r="G412" s="243">
        <v>3118606</v>
      </c>
      <c r="H412" s="244" t="s">
        <v>4461</v>
      </c>
      <c r="J412" s="233"/>
    </row>
    <row r="413" spans="1:10" ht="15" customHeight="1">
      <c r="A413" s="240">
        <f t="shared" si="12"/>
        <v>410</v>
      </c>
      <c r="B413" s="241">
        <v>7155</v>
      </c>
      <c r="C413" s="242" t="s">
        <v>4462</v>
      </c>
      <c r="D413" s="242" t="str">
        <f t="shared" si="13"/>
        <v>DOM ZA DJECU ZA MLAĐE I PUNOLJETNE OSOBE PULA (7155)</v>
      </c>
      <c r="E413" s="242" t="s">
        <v>4463</v>
      </c>
      <c r="F413" s="242" t="s">
        <v>302</v>
      </c>
      <c r="G413" s="243">
        <v>3203824</v>
      </c>
      <c r="H413" s="244" t="s">
        <v>4464</v>
      </c>
      <c r="J413" s="233"/>
    </row>
    <row r="414" spans="1:10" ht="15" customHeight="1">
      <c r="A414" s="240">
        <f t="shared" si="12"/>
        <v>411</v>
      </c>
      <c r="B414" s="241">
        <v>7219</v>
      </c>
      <c r="C414" s="242" t="s">
        <v>4465</v>
      </c>
      <c r="D414" s="242" t="str">
        <f t="shared" si="13"/>
        <v>DJEČJI DOM ZAGREB (7219)</v>
      </c>
      <c r="E414" s="242" t="s">
        <v>4466</v>
      </c>
      <c r="F414" s="242" t="s">
        <v>271</v>
      </c>
      <c r="G414" s="243">
        <v>3289745</v>
      </c>
      <c r="H414" s="244" t="s">
        <v>4467</v>
      </c>
      <c r="J414" s="233"/>
    </row>
    <row r="415" spans="1:10" ht="15" customHeight="1">
      <c r="A415" s="240">
        <f t="shared" si="12"/>
        <v>412</v>
      </c>
      <c r="B415" s="241">
        <v>7227</v>
      </c>
      <c r="C415" s="242" t="s">
        <v>4468</v>
      </c>
      <c r="D415" s="242" t="str">
        <f t="shared" si="13"/>
        <v>DOM ZA ODGOJ DJECE BEDEKOVČINA (7227)</v>
      </c>
      <c r="E415" s="242" t="s">
        <v>4469</v>
      </c>
      <c r="F415" s="242" t="s">
        <v>4470</v>
      </c>
      <c r="G415" s="243">
        <v>3016692</v>
      </c>
      <c r="H415" s="244" t="s">
        <v>4471</v>
      </c>
      <c r="J415" s="233"/>
    </row>
    <row r="416" spans="1:10" ht="15" customHeight="1">
      <c r="A416" s="240">
        <f t="shared" si="12"/>
        <v>413</v>
      </c>
      <c r="B416" s="241">
        <v>7251</v>
      </c>
      <c r="C416" s="242" t="s">
        <v>4472</v>
      </c>
      <c r="D416" s="242" t="str">
        <f t="shared" si="13"/>
        <v>DOM ZA ODGOJ DJECE I MLADEŽI KARLOVAC (7251)</v>
      </c>
      <c r="E416" s="242" t="s">
        <v>4473</v>
      </c>
      <c r="F416" s="242" t="s">
        <v>509</v>
      </c>
      <c r="G416" s="243">
        <v>3130576</v>
      </c>
      <c r="H416" s="244" t="s">
        <v>4474</v>
      </c>
      <c r="J416" s="233"/>
    </row>
    <row r="417" spans="1:10" ht="15" customHeight="1">
      <c r="A417" s="240">
        <f t="shared" si="12"/>
        <v>414</v>
      </c>
      <c r="B417" s="241">
        <v>7278</v>
      </c>
      <c r="C417" s="242" t="s">
        <v>4475</v>
      </c>
      <c r="D417" s="242" t="str">
        <f t="shared" si="13"/>
        <v>DOM ZA ODGOJ DJECE I MLADEŽI OSIJEK (7278)</v>
      </c>
      <c r="E417" s="242" t="s">
        <v>4476</v>
      </c>
      <c r="F417" s="242" t="s">
        <v>274</v>
      </c>
      <c r="G417" s="243">
        <v>3014428</v>
      </c>
      <c r="H417" s="244" t="s">
        <v>4477</v>
      </c>
      <c r="J417" s="233"/>
    </row>
    <row r="418" spans="1:10" ht="15" customHeight="1">
      <c r="A418" s="240">
        <f t="shared" si="12"/>
        <v>415</v>
      </c>
      <c r="B418" s="241">
        <v>7286</v>
      </c>
      <c r="C418" s="242" t="s">
        <v>4478</v>
      </c>
      <c r="D418" s="242" t="str">
        <f t="shared" si="13"/>
        <v>DOM ZA ODGOJ DJECE I MLADEŽI PULA (7286)</v>
      </c>
      <c r="E418" s="242" t="s">
        <v>4479</v>
      </c>
      <c r="F418" s="242" t="s">
        <v>302</v>
      </c>
      <c r="G418" s="243">
        <v>3203832</v>
      </c>
      <c r="H418" s="244" t="s">
        <v>4480</v>
      </c>
      <c r="J418" s="233"/>
    </row>
    <row r="419" spans="1:10" ht="15" customHeight="1">
      <c r="A419" s="240">
        <f t="shared" si="12"/>
        <v>416</v>
      </c>
      <c r="B419" s="241">
        <v>7294</v>
      </c>
      <c r="C419" s="242" t="s">
        <v>4481</v>
      </c>
      <c r="D419" s="242" t="str">
        <f t="shared" si="13"/>
        <v>DOM ZA ODGOJ DJECE I MLADEŽI RIJEKA (7294)</v>
      </c>
      <c r="E419" s="242" t="s">
        <v>4482</v>
      </c>
      <c r="F419" s="242" t="s">
        <v>316</v>
      </c>
      <c r="G419" s="243">
        <v>3321282</v>
      </c>
      <c r="H419" s="244" t="s">
        <v>4483</v>
      </c>
      <c r="J419" s="233"/>
    </row>
    <row r="420" spans="1:10" ht="15" customHeight="1">
      <c r="A420" s="240">
        <f t="shared" si="12"/>
        <v>417</v>
      </c>
      <c r="B420" s="241">
        <v>7317</v>
      </c>
      <c r="C420" s="242" t="s">
        <v>4484</v>
      </c>
      <c r="D420" s="242" t="str">
        <f t="shared" si="13"/>
        <v>DOM ZA ODGOJ DJECE I MLADEŽI ZADAR (7317)</v>
      </c>
      <c r="E420" s="242" t="s">
        <v>4485</v>
      </c>
      <c r="F420" s="242" t="s">
        <v>312</v>
      </c>
      <c r="G420" s="243">
        <v>3153037</v>
      </c>
      <c r="H420" s="244" t="s">
        <v>4486</v>
      </c>
      <c r="J420" s="233"/>
    </row>
    <row r="421" spans="1:10" ht="15" customHeight="1">
      <c r="A421" s="240">
        <f t="shared" si="12"/>
        <v>418</v>
      </c>
      <c r="B421" s="241">
        <v>7325</v>
      </c>
      <c r="C421" s="242" t="s">
        <v>4487</v>
      </c>
      <c r="D421" s="242" t="str">
        <f t="shared" si="13"/>
        <v>DOM ZA ODGOJ DJECE I MLADEŽI ZAGREB (7325)</v>
      </c>
      <c r="E421" s="242" t="s">
        <v>4488</v>
      </c>
      <c r="F421" s="242" t="s">
        <v>4489</v>
      </c>
      <c r="G421" s="243">
        <v>3207536</v>
      </c>
      <c r="H421" s="244" t="s">
        <v>4490</v>
      </c>
      <c r="J421" s="233"/>
    </row>
    <row r="422" spans="1:10" ht="15" customHeight="1">
      <c r="A422" s="240">
        <f t="shared" si="12"/>
        <v>419</v>
      </c>
      <c r="B422" s="241">
        <v>22283</v>
      </c>
      <c r="C422" s="242" t="s">
        <v>4491</v>
      </c>
      <c r="D422" s="242" t="str">
        <f t="shared" si="13"/>
        <v>DOM ZA ODRASLE OSOBE BIDRUŽICA (22283)</v>
      </c>
      <c r="E422" s="242" t="s">
        <v>4492</v>
      </c>
      <c r="F422" s="242" t="s">
        <v>4493</v>
      </c>
      <c r="G422" s="243">
        <v>1354248</v>
      </c>
      <c r="H422" s="244" t="s">
        <v>4494</v>
      </c>
      <c r="J422" s="233"/>
    </row>
    <row r="423" spans="1:10" ht="15" customHeight="1">
      <c r="A423" s="240">
        <f t="shared" si="12"/>
        <v>420</v>
      </c>
      <c r="B423" s="241">
        <v>7840</v>
      </c>
      <c r="C423" s="242" t="s">
        <v>4495</v>
      </c>
      <c r="D423" s="242" t="str">
        <f t="shared" si="13"/>
        <v>DOM ZA ODRASLE OSOBE BOROVA (7840)</v>
      </c>
      <c r="E423" s="242" t="s">
        <v>4496</v>
      </c>
      <c r="F423" s="242" t="s">
        <v>4497</v>
      </c>
      <c r="G423" s="243">
        <v>3105407</v>
      </c>
      <c r="H423" s="244" t="s">
        <v>4498</v>
      </c>
      <c r="J423" s="233"/>
    </row>
    <row r="424" spans="1:10" ht="15" customHeight="1">
      <c r="A424" s="240">
        <f t="shared" si="12"/>
        <v>421</v>
      </c>
      <c r="B424" s="241">
        <v>26547</v>
      </c>
      <c r="C424" s="242" t="s">
        <v>4499</v>
      </c>
      <c r="D424" s="242" t="str">
        <f t="shared" si="13"/>
        <v>DOM ZA ODRASLE OSOBE I REHABILITACIJU METKOVIĆ (26547)</v>
      </c>
      <c r="E424" s="242" t="s">
        <v>4288</v>
      </c>
      <c r="F424" s="242" t="s">
        <v>4289</v>
      </c>
      <c r="G424" s="243">
        <v>1831976</v>
      </c>
      <c r="H424" s="244" t="s">
        <v>4500</v>
      </c>
      <c r="J424" s="233"/>
    </row>
    <row r="425" spans="1:10" ht="15" customHeight="1">
      <c r="A425" s="240">
        <f t="shared" si="12"/>
        <v>422</v>
      </c>
      <c r="B425" s="241">
        <v>7673</v>
      </c>
      <c r="C425" s="242" t="s">
        <v>4501</v>
      </c>
      <c r="D425" s="242" t="str">
        <f t="shared" si="13"/>
        <v>DOM ZA ODRASLE OSOBE LJESKOVICA (7673)</v>
      </c>
      <c r="E425" s="242" t="s">
        <v>4502</v>
      </c>
      <c r="F425" s="242" t="s">
        <v>4503</v>
      </c>
      <c r="G425" s="243">
        <v>3346366</v>
      </c>
      <c r="H425" s="244" t="s">
        <v>4504</v>
      </c>
      <c r="J425" s="233"/>
    </row>
    <row r="426" spans="1:10" ht="15" customHeight="1">
      <c r="A426" s="240">
        <f t="shared" si="12"/>
        <v>423</v>
      </c>
      <c r="B426" s="241">
        <v>7729</v>
      </c>
      <c r="C426" s="242" t="s">
        <v>4505</v>
      </c>
      <c r="D426" s="242" t="str">
        <f t="shared" si="13"/>
        <v>DOM ZA ODRASLE OSOBE NUŠTAR (7729)</v>
      </c>
      <c r="E426" s="242" t="s">
        <v>4506</v>
      </c>
      <c r="F426" s="242" t="s">
        <v>4507</v>
      </c>
      <c r="G426" s="243">
        <v>3301451</v>
      </c>
      <c r="H426" s="244" t="s">
        <v>4508</v>
      </c>
      <c r="J426" s="233"/>
    </row>
    <row r="427" spans="1:10" ht="15" customHeight="1">
      <c r="A427" s="240">
        <f t="shared" si="12"/>
        <v>424</v>
      </c>
      <c r="B427" s="241">
        <v>7745</v>
      </c>
      <c r="C427" s="242" t="s">
        <v>4509</v>
      </c>
      <c r="D427" s="242" t="str">
        <f t="shared" si="13"/>
        <v>DOM ZA ODRASLE OSOBE OREHOVICA (7745)</v>
      </c>
      <c r="E427" s="242" t="s">
        <v>4510</v>
      </c>
      <c r="F427" s="242" t="s">
        <v>4511</v>
      </c>
      <c r="G427" s="243">
        <v>3110150</v>
      </c>
      <c r="H427" s="244" t="s">
        <v>4512</v>
      </c>
      <c r="J427" s="233"/>
    </row>
    <row r="428" spans="1:10" ht="15" customHeight="1">
      <c r="A428" s="240">
        <f t="shared" si="12"/>
        <v>425</v>
      </c>
      <c r="B428" s="241">
        <v>23569</v>
      </c>
      <c r="C428" s="242" t="s">
        <v>4513</v>
      </c>
      <c r="D428" s="242" t="str">
        <f t="shared" si="13"/>
        <v>DOM ZA ODRASLE OSOBE TURNIĆ (23569)</v>
      </c>
      <c r="E428" s="242" t="s">
        <v>4514</v>
      </c>
      <c r="F428" s="242" t="s">
        <v>316</v>
      </c>
      <c r="G428" s="243">
        <v>2848317</v>
      </c>
      <c r="H428" s="244" t="s">
        <v>4515</v>
      </c>
      <c r="J428" s="233"/>
    </row>
    <row r="429" spans="1:10" ht="15" customHeight="1">
      <c r="A429" s="240">
        <f t="shared" si="12"/>
        <v>426</v>
      </c>
      <c r="B429" s="241">
        <v>7544</v>
      </c>
      <c r="C429" s="242" t="s">
        <v>4516</v>
      </c>
      <c r="D429" s="242" t="str">
        <f t="shared" si="13"/>
        <v>DOM ZA ODRASLE OSOBE BJELOVAR (7544)</v>
      </c>
      <c r="E429" s="242" t="s">
        <v>4517</v>
      </c>
      <c r="F429" s="242" t="s">
        <v>3649</v>
      </c>
      <c r="G429" s="243">
        <v>3316998</v>
      </c>
      <c r="H429" s="244" t="s">
        <v>4518</v>
      </c>
      <c r="J429" s="233"/>
    </row>
    <row r="430" spans="1:10" ht="15" customHeight="1">
      <c r="A430" s="240">
        <f t="shared" si="12"/>
        <v>427</v>
      </c>
      <c r="B430" s="241">
        <v>7569</v>
      </c>
      <c r="C430" s="242" t="s">
        <v>4519</v>
      </c>
      <c r="D430" s="242" t="str">
        <f t="shared" si="13"/>
        <v>DOM ZA PSIHIČKI BOLESNE ODRASLE OSOBE BLATO (7569)</v>
      </c>
      <c r="E430" s="242" t="s">
        <v>4520</v>
      </c>
      <c r="F430" s="242" t="s">
        <v>4521</v>
      </c>
      <c r="G430" s="243">
        <v>3081192</v>
      </c>
      <c r="H430" s="244" t="s">
        <v>4522</v>
      </c>
      <c r="J430" s="233"/>
    </row>
    <row r="431" spans="1:10" ht="15" customHeight="1">
      <c r="A431" s="240">
        <f t="shared" si="12"/>
        <v>428</v>
      </c>
      <c r="B431" s="241">
        <v>7624</v>
      </c>
      <c r="C431" s="242" t="s">
        <v>4523</v>
      </c>
      <c r="D431" s="242" t="str">
        <f t="shared" si="13"/>
        <v>DOM ZA ODRASLE OSOBE JALŽABET (7624)</v>
      </c>
      <c r="E431" s="242" t="s">
        <v>4524</v>
      </c>
      <c r="F431" s="242" t="s">
        <v>4525</v>
      </c>
      <c r="G431" s="243">
        <v>3006441</v>
      </c>
      <c r="H431" s="244" t="s">
        <v>4526</v>
      </c>
      <c r="J431" s="233"/>
    </row>
    <row r="432" spans="1:10" ht="15" customHeight="1">
      <c r="A432" s="240">
        <f t="shared" si="12"/>
        <v>429</v>
      </c>
      <c r="B432" s="241">
        <v>7690</v>
      </c>
      <c r="C432" s="242" t="s">
        <v>4527</v>
      </c>
      <c r="D432" s="242" t="str">
        <f t="shared" si="13"/>
        <v>DOM ZA PSIHIČKI BOLESNE ODRASLE OSOBE MOTOVUN (7690)</v>
      </c>
      <c r="E432" s="242" t="s">
        <v>4528</v>
      </c>
      <c r="F432" s="242" t="s">
        <v>4529</v>
      </c>
      <c r="G432" s="243">
        <v>3089304</v>
      </c>
      <c r="H432" s="244" t="s">
        <v>4530</v>
      </c>
      <c r="J432" s="233"/>
    </row>
    <row r="433" spans="1:10" ht="15" customHeight="1">
      <c r="A433" s="240">
        <f t="shared" si="12"/>
        <v>430</v>
      </c>
      <c r="B433" s="241">
        <v>7938</v>
      </c>
      <c r="C433" s="242" t="s">
        <v>4531</v>
      </c>
      <c r="D433" s="242" t="str">
        <f t="shared" si="13"/>
        <v>DOM ZA ODRASLE OSOBE SV. FRANE ZADAR (7938)</v>
      </c>
      <c r="E433" s="242" t="s">
        <v>4532</v>
      </c>
      <c r="F433" s="242" t="s">
        <v>312</v>
      </c>
      <c r="G433" s="243">
        <v>3132226</v>
      </c>
      <c r="H433" s="244" t="s">
        <v>4533</v>
      </c>
      <c r="J433" s="233"/>
    </row>
    <row r="434" spans="1:10" ht="15" customHeight="1">
      <c r="A434" s="240">
        <f t="shared" si="12"/>
        <v>431</v>
      </c>
      <c r="B434" s="241">
        <v>7704</v>
      </c>
      <c r="C434" s="242" t="s">
        <v>4534</v>
      </c>
      <c r="D434" s="242" t="str">
        <f t="shared" si="13"/>
        <v>DOM ZA ODRASLE OSOBE "SVETA NEDJELJA" NEDEŠĆINA (7704)</v>
      </c>
      <c r="E434" s="242" t="s">
        <v>4535</v>
      </c>
      <c r="F434" s="242" t="s">
        <v>4536</v>
      </c>
      <c r="G434" s="243">
        <v>3075184</v>
      </c>
      <c r="H434" s="244" t="s">
        <v>4537</v>
      </c>
      <c r="J434" s="233"/>
    </row>
    <row r="435" spans="1:10" ht="15" customHeight="1">
      <c r="A435" s="240">
        <f t="shared" si="12"/>
        <v>432</v>
      </c>
      <c r="B435" s="241">
        <v>7866</v>
      </c>
      <c r="C435" s="242" t="s">
        <v>4538</v>
      </c>
      <c r="D435" s="242" t="str">
        <f t="shared" si="13"/>
        <v>DOM ZA PSIHIČKI BOLESNE ODRASLE OSOBE TROGIR (7866)</v>
      </c>
      <c r="E435" s="242" t="s">
        <v>4539</v>
      </c>
      <c r="F435" s="242" t="s">
        <v>4540</v>
      </c>
      <c r="G435" s="243">
        <v>3039200</v>
      </c>
      <c r="H435" s="244" t="s">
        <v>4541</v>
      </c>
      <c r="J435" s="233"/>
    </row>
    <row r="436" spans="1:10" ht="15" customHeight="1">
      <c r="A436" s="240">
        <f t="shared" si="12"/>
        <v>433</v>
      </c>
      <c r="B436" s="241">
        <v>23657</v>
      </c>
      <c r="C436" s="242" t="s">
        <v>4542</v>
      </c>
      <c r="D436" s="242" t="str">
        <f t="shared" si="13"/>
        <v>DOM ZA ODRASLE OSOBE VILA MARIA (23657)</v>
      </c>
      <c r="E436" s="242" t="s">
        <v>4543</v>
      </c>
      <c r="F436" s="242" t="s">
        <v>302</v>
      </c>
      <c r="G436" s="243">
        <v>1599585</v>
      </c>
      <c r="H436" s="244" t="s">
        <v>4544</v>
      </c>
      <c r="J436" s="233"/>
    </row>
    <row r="437" spans="1:10" ht="15" customHeight="1">
      <c r="A437" s="240">
        <f t="shared" si="12"/>
        <v>434</v>
      </c>
      <c r="B437" s="241">
        <v>8051</v>
      </c>
      <c r="C437" s="242" t="s">
        <v>4545</v>
      </c>
      <c r="D437" s="242" t="str">
        <f t="shared" si="13"/>
        <v>DOM ZA PSIHIČKI BOLESNE ODRASLE OSOBE ZAGREB (8051)</v>
      </c>
      <c r="E437" s="242" t="s">
        <v>4546</v>
      </c>
      <c r="F437" s="242" t="s">
        <v>271</v>
      </c>
      <c r="G437" s="243">
        <v>1354256</v>
      </c>
      <c r="H437" s="244" t="s">
        <v>4547</v>
      </c>
      <c r="J437" s="233"/>
    </row>
    <row r="438" spans="1:10" ht="15" customHeight="1">
      <c r="A438" s="240">
        <f t="shared" si="12"/>
        <v>435</v>
      </c>
      <c r="B438" s="241">
        <v>22322</v>
      </c>
      <c r="C438" s="242" t="s">
        <v>4548</v>
      </c>
      <c r="D438" s="242" t="str">
        <f t="shared" si="13"/>
        <v>DOM ZA ODRASLE OSOBE ZEMUNIK (22322)</v>
      </c>
      <c r="E438" s="242" t="s">
        <v>4549</v>
      </c>
      <c r="F438" s="242" t="s">
        <v>4550</v>
      </c>
      <c r="G438" s="243">
        <v>1364464</v>
      </c>
      <c r="H438" s="244" t="s">
        <v>4551</v>
      </c>
      <c r="J438" s="233"/>
    </row>
    <row r="439" spans="1:10" ht="15" customHeight="1">
      <c r="A439" s="240">
        <f t="shared" si="12"/>
        <v>436</v>
      </c>
      <c r="B439" s="241">
        <v>43327</v>
      </c>
      <c r="C439" s="259" t="s">
        <v>4552</v>
      </c>
      <c r="D439" s="242" t="str">
        <f t="shared" si="13"/>
        <v>DOM ZA STARIJE I TEŠKO BOLESNE ODRASLE OSOBE "MAJKA MARIJA PETKOVIĆ" (43327)</v>
      </c>
      <c r="E439" s="259" t="s">
        <v>4553</v>
      </c>
      <c r="F439" s="259" t="s">
        <v>4521</v>
      </c>
      <c r="G439" s="254" t="s">
        <v>4554</v>
      </c>
      <c r="H439" s="262" t="s">
        <v>4555</v>
      </c>
      <c r="J439" s="233"/>
    </row>
    <row r="440" spans="1:10" ht="15" customHeight="1">
      <c r="A440" s="240">
        <f t="shared" si="12"/>
        <v>437</v>
      </c>
      <c r="B440" s="241">
        <v>46052</v>
      </c>
      <c r="C440" s="242" t="s">
        <v>4556</v>
      </c>
      <c r="D440" s="242" t="str">
        <f t="shared" si="13"/>
        <v>DOM ZA STARIJE OSOBE OKLAJ (46052)</v>
      </c>
      <c r="E440" s="242" t="s">
        <v>4557</v>
      </c>
      <c r="F440" s="242" t="s">
        <v>4558</v>
      </c>
      <c r="G440" s="243">
        <v>1917790</v>
      </c>
      <c r="H440" s="244" t="s">
        <v>4559</v>
      </c>
      <c r="J440" s="233"/>
    </row>
    <row r="441" spans="1:10" ht="15" customHeight="1">
      <c r="A441" s="240">
        <f t="shared" si="12"/>
        <v>438</v>
      </c>
      <c r="B441" s="241">
        <v>7243</v>
      </c>
      <c r="C441" s="242" t="s">
        <v>4560</v>
      </c>
      <c r="D441" s="242" t="str">
        <f t="shared" si="13"/>
        <v>ODGOJNI DOM IVANEC (7243)</v>
      </c>
      <c r="E441" s="242" t="s">
        <v>4561</v>
      </c>
      <c r="F441" s="242" t="s">
        <v>4240</v>
      </c>
      <c r="G441" s="243">
        <v>3126013</v>
      </c>
      <c r="H441" s="244" t="s">
        <v>4562</v>
      </c>
      <c r="J441" s="233"/>
    </row>
    <row r="442" spans="1:10" ht="15" customHeight="1">
      <c r="A442" s="240">
        <f t="shared" si="12"/>
        <v>439</v>
      </c>
      <c r="B442" s="241">
        <v>7260</v>
      </c>
      <c r="C442" s="242" t="s">
        <v>4563</v>
      </c>
      <c r="D442" s="242" t="str">
        <f t="shared" si="13"/>
        <v>ODGOJNI DOM MALI LOŠINJ (7260)</v>
      </c>
      <c r="E442" s="242" t="s">
        <v>4564</v>
      </c>
      <c r="F442" s="242" t="s">
        <v>4169</v>
      </c>
      <c r="G442" s="243">
        <v>3040216</v>
      </c>
      <c r="H442" s="244" t="s">
        <v>4565</v>
      </c>
      <c r="J442" s="233"/>
    </row>
    <row r="443" spans="1:10" s="233" customFormat="1" ht="15" customHeight="1">
      <c r="A443" s="228">
        <f t="shared" si="12"/>
        <v>440</v>
      </c>
      <c r="B443" s="235">
        <v>43214</v>
      </c>
      <c r="C443" s="236" t="s">
        <v>4566</v>
      </c>
      <c r="D443" s="242" t="str">
        <f t="shared" si="13"/>
        <v>MINISTARSTVO TURIZMA I SPORTA (43214)</v>
      </c>
      <c r="E443" s="236" t="s">
        <v>3821</v>
      </c>
      <c r="F443" s="236" t="s">
        <v>271</v>
      </c>
      <c r="G443" s="237">
        <v>2323427</v>
      </c>
      <c r="H443" s="238" t="s">
        <v>4567</v>
      </c>
    </row>
    <row r="444" spans="1:10" ht="15" customHeight="1">
      <c r="A444" s="228">
        <f t="shared" ref="A444:A507" si="14">+A443+1</f>
        <v>441</v>
      </c>
      <c r="B444" s="235" t="s">
        <v>4568</v>
      </c>
      <c r="C444" s="236" t="s">
        <v>4569</v>
      </c>
      <c r="D444" s="242" t="str">
        <f t="shared" si="13"/>
        <v>MINISTARSTVO ZDRAVSTVA (47107)</v>
      </c>
      <c r="E444" s="236" t="s">
        <v>4570</v>
      </c>
      <c r="F444" s="236" t="s">
        <v>271</v>
      </c>
      <c r="G444" s="237">
        <v>2830396</v>
      </c>
      <c r="H444" s="238" t="s">
        <v>4571</v>
      </c>
      <c r="J444" s="233"/>
    </row>
    <row r="445" spans="1:10" ht="15" customHeight="1">
      <c r="A445" s="240">
        <f t="shared" si="14"/>
        <v>442</v>
      </c>
      <c r="B445" s="241">
        <v>26571</v>
      </c>
      <c r="C445" s="242" t="s">
        <v>4572</v>
      </c>
      <c r="D445" s="242" t="str">
        <f t="shared" si="13"/>
        <v>KLINIČKA BOLNICA DUBRAVA (26571)</v>
      </c>
      <c r="E445" s="242" t="s">
        <v>4573</v>
      </c>
      <c r="F445" s="242" t="s">
        <v>271</v>
      </c>
      <c r="G445" s="243">
        <v>3799913</v>
      </c>
      <c r="H445" s="244" t="s">
        <v>4574</v>
      </c>
      <c r="J445" s="233"/>
    </row>
    <row r="446" spans="1:10" ht="15" customHeight="1">
      <c r="A446" s="240">
        <f t="shared" si="14"/>
        <v>443</v>
      </c>
      <c r="B446" s="241">
        <v>26387</v>
      </c>
      <c r="C446" s="242" t="s">
        <v>4575</v>
      </c>
      <c r="D446" s="242" t="str">
        <f t="shared" si="13"/>
        <v>KLINIČKA BOLNICA MERKUR (26387)</v>
      </c>
      <c r="E446" s="242" t="s">
        <v>4576</v>
      </c>
      <c r="F446" s="242" t="s">
        <v>271</v>
      </c>
      <c r="G446" s="243">
        <v>3279057</v>
      </c>
      <c r="H446" s="244" t="s">
        <v>4577</v>
      </c>
      <c r="J446" s="233"/>
    </row>
    <row r="447" spans="1:10" ht="15" customHeight="1">
      <c r="A447" s="240">
        <f t="shared" si="14"/>
        <v>444</v>
      </c>
      <c r="B447" s="241">
        <v>26400</v>
      </c>
      <c r="C447" s="252" t="s">
        <v>4578</v>
      </c>
      <c r="D447" s="242" t="str">
        <f t="shared" si="13"/>
        <v>KLINIČKI BOLNIČKI CENTAR OSIJEK (26400)</v>
      </c>
      <c r="E447" s="242" t="s">
        <v>4579</v>
      </c>
      <c r="F447" s="242" t="s">
        <v>274</v>
      </c>
      <c r="G447" s="243">
        <v>3018822</v>
      </c>
      <c r="H447" s="244" t="s">
        <v>4580</v>
      </c>
      <c r="J447" s="233"/>
    </row>
    <row r="448" spans="1:10" ht="15" customHeight="1">
      <c r="A448" s="240">
        <f t="shared" si="14"/>
        <v>445</v>
      </c>
      <c r="B448" s="241">
        <v>26379</v>
      </c>
      <c r="C448" s="242" t="s">
        <v>4581</v>
      </c>
      <c r="D448" s="242" t="str">
        <f t="shared" si="13"/>
        <v>KLINIČKI BOLNIČKI CENTAR RIJEKA (26379)</v>
      </c>
      <c r="E448" s="242" t="s">
        <v>4582</v>
      </c>
      <c r="F448" s="242" t="s">
        <v>316</v>
      </c>
      <c r="G448" s="243">
        <v>3368041</v>
      </c>
      <c r="H448" s="244" t="s">
        <v>4583</v>
      </c>
      <c r="J448" s="233"/>
    </row>
    <row r="449" spans="1:10" ht="15" customHeight="1">
      <c r="A449" s="240">
        <f t="shared" si="14"/>
        <v>446</v>
      </c>
      <c r="B449" s="241">
        <v>26395</v>
      </c>
      <c r="C449" s="242" t="s">
        <v>4584</v>
      </c>
      <c r="D449" s="242" t="str">
        <f t="shared" si="13"/>
        <v>KLINIČKI BOLNIČKI CENTAR SESTRE MILOSRDNICE (26395)</v>
      </c>
      <c r="E449" s="242" t="s">
        <v>4585</v>
      </c>
      <c r="F449" s="242" t="s">
        <v>271</v>
      </c>
      <c r="G449" s="243">
        <v>3208036</v>
      </c>
      <c r="H449" s="244" t="s">
        <v>4586</v>
      </c>
      <c r="J449" s="233"/>
    </row>
    <row r="450" spans="1:10" ht="15" customHeight="1">
      <c r="A450" s="240">
        <f t="shared" si="14"/>
        <v>447</v>
      </c>
      <c r="B450" s="241">
        <v>26418</v>
      </c>
      <c r="C450" s="252" t="s">
        <v>4587</v>
      </c>
      <c r="D450" s="242" t="str">
        <f t="shared" si="13"/>
        <v>KLINIČKI BOLNIČKI CENTAR SPLIT (26418)</v>
      </c>
      <c r="E450" s="242" t="s">
        <v>4588</v>
      </c>
      <c r="F450" s="242" t="s">
        <v>356</v>
      </c>
      <c r="G450" s="243">
        <v>242870</v>
      </c>
      <c r="H450" s="244" t="s">
        <v>4589</v>
      </c>
      <c r="J450" s="233"/>
    </row>
    <row r="451" spans="1:10" ht="15" customHeight="1">
      <c r="A451" s="240">
        <f t="shared" si="14"/>
        <v>448</v>
      </c>
      <c r="B451" s="241">
        <v>38069</v>
      </c>
      <c r="C451" s="242" t="s">
        <v>4590</v>
      </c>
      <c r="D451" s="242" t="str">
        <f t="shared" si="13"/>
        <v>KLINIČKI BOLNIČKI CENTAR ZAGREB (38069)</v>
      </c>
      <c r="E451" s="242" t="s">
        <v>4591</v>
      </c>
      <c r="F451" s="242" t="s">
        <v>271</v>
      </c>
      <c r="G451" s="243">
        <v>3270777</v>
      </c>
      <c r="H451" s="244" t="s">
        <v>4592</v>
      </c>
      <c r="J451" s="233"/>
    </row>
    <row r="452" spans="1:10" ht="15" customHeight="1">
      <c r="A452" s="240">
        <f t="shared" si="14"/>
        <v>449</v>
      </c>
      <c r="B452" s="241">
        <v>47893</v>
      </c>
      <c r="C452" s="242" t="s">
        <v>4593</v>
      </c>
      <c r="D452" s="242" t="str">
        <f t="shared" ref="D452:D515" si="15">C452&amp;" ("&amp;B452&amp;")"</f>
        <v>KLINIKA ZA DJEČJE BOLESTI ZAGREB (47893)</v>
      </c>
      <c r="E452" s="242" t="s">
        <v>4594</v>
      </c>
      <c r="F452" s="242" t="s">
        <v>271</v>
      </c>
      <c r="G452" s="243">
        <v>2874989</v>
      </c>
      <c r="H452" s="244" t="s">
        <v>4595</v>
      </c>
      <c r="J452" s="233"/>
    </row>
    <row r="453" spans="1:10" ht="15" customHeight="1">
      <c r="A453" s="240">
        <f t="shared" si="14"/>
        <v>450</v>
      </c>
      <c r="B453" s="241">
        <v>26459</v>
      </c>
      <c r="C453" s="242" t="s">
        <v>4596</v>
      </c>
      <c r="D453" s="242" t="str">
        <f t="shared" si="15"/>
        <v>KLINIKA ZA INFEKTIVNE BOLESTI DR. FRAN MIHALJEVIĆ (26459)</v>
      </c>
      <c r="E453" s="242" t="s">
        <v>4597</v>
      </c>
      <c r="F453" s="242" t="s">
        <v>271</v>
      </c>
      <c r="G453" s="243">
        <v>3270793</v>
      </c>
      <c r="H453" s="244" t="s">
        <v>4598</v>
      </c>
      <c r="J453" s="233"/>
    </row>
    <row r="454" spans="1:10" ht="15" customHeight="1">
      <c r="A454" s="240">
        <f t="shared" si="14"/>
        <v>451</v>
      </c>
      <c r="B454" s="241">
        <v>26426</v>
      </c>
      <c r="C454" s="252" t="s">
        <v>4599</v>
      </c>
      <c r="D454" s="242" t="str">
        <f t="shared" si="15"/>
        <v>KLINIKA ZA ORTOPEDIJU LOVRAN (26426)</v>
      </c>
      <c r="E454" s="242" t="s">
        <v>4600</v>
      </c>
      <c r="F454" s="242" t="s">
        <v>3959</v>
      </c>
      <c r="G454" s="243">
        <v>3090302</v>
      </c>
      <c r="H454" s="244" t="s">
        <v>4601</v>
      </c>
      <c r="J454" s="233"/>
    </row>
    <row r="455" spans="1:10" ht="15" customHeight="1">
      <c r="A455" s="240">
        <f t="shared" si="14"/>
        <v>452</v>
      </c>
      <c r="B455" s="241">
        <v>38028</v>
      </c>
      <c r="C455" s="252" t="s">
        <v>4602</v>
      </c>
      <c r="D455" s="242" t="str">
        <f t="shared" si="15"/>
        <v>NACIONALNA MEMORIJALNA BOLNICA VUKOVAR (38028)</v>
      </c>
      <c r="E455" s="259" t="s">
        <v>4603</v>
      </c>
      <c r="F455" s="259" t="s">
        <v>497</v>
      </c>
      <c r="G455" s="254" t="s">
        <v>4604</v>
      </c>
      <c r="H455" s="260">
        <v>54896856295</v>
      </c>
      <c r="J455" s="233"/>
    </row>
    <row r="456" spans="1:10" ht="15" customHeight="1">
      <c r="A456" s="240">
        <f t="shared" si="14"/>
        <v>453</v>
      </c>
      <c r="B456" s="241">
        <v>38655</v>
      </c>
      <c r="C456" s="242" t="s">
        <v>4605</v>
      </c>
      <c r="D456" s="242" t="str">
        <f t="shared" si="15"/>
        <v>DOM ZDRAVLJA MINISTARSTVA UNUTARNJIH POSLOVA REPUBLIKE HRVATSKE (38655)</v>
      </c>
      <c r="E456" s="242" t="s">
        <v>4606</v>
      </c>
      <c r="F456" s="242" t="s">
        <v>271</v>
      </c>
      <c r="G456" s="243">
        <v>3274314</v>
      </c>
      <c r="H456" s="244" t="s">
        <v>4607</v>
      </c>
      <c r="J456" s="233"/>
    </row>
    <row r="457" spans="1:10" ht="15" customHeight="1">
      <c r="A457" s="240">
        <f t="shared" si="14"/>
        <v>454</v>
      </c>
      <c r="B457" s="241">
        <v>44573</v>
      </c>
      <c r="C457" s="242" t="s">
        <v>4608</v>
      </c>
      <c r="D457" s="242" t="str">
        <f t="shared" si="15"/>
        <v>HRVATSKI ZAVOD ZA HITNU MEDICINU (44573)</v>
      </c>
      <c r="E457" s="242" t="s">
        <v>4609</v>
      </c>
      <c r="F457" s="242" t="s">
        <v>271</v>
      </c>
      <c r="G457" s="243">
        <v>2536145</v>
      </c>
      <c r="H457" s="244" t="s">
        <v>4610</v>
      </c>
      <c r="J457" s="233"/>
    </row>
    <row r="458" spans="1:10" ht="15" customHeight="1">
      <c r="A458" s="240">
        <f t="shared" si="14"/>
        <v>455</v>
      </c>
      <c r="B458" s="241">
        <v>26346</v>
      </c>
      <c r="C458" s="242" t="s">
        <v>4611</v>
      </c>
      <c r="D458" s="242" t="str">
        <f t="shared" si="15"/>
        <v>HRVATSKI ZAVOD ZA JAVNO ZDRAVSTVO (26346)</v>
      </c>
      <c r="E458" s="242" t="s">
        <v>4612</v>
      </c>
      <c r="F458" s="242" t="s">
        <v>271</v>
      </c>
      <c r="G458" s="243">
        <v>3270963</v>
      </c>
      <c r="H458" s="244" t="s">
        <v>4613</v>
      </c>
      <c r="J458" s="233"/>
    </row>
    <row r="459" spans="1:10" ht="15" customHeight="1">
      <c r="A459" s="240">
        <f t="shared" si="14"/>
        <v>456</v>
      </c>
      <c r="B459" s="241">
        <v>26354</v>
      </c>
      <c r="C459" s="242" t="s">
        <v>4614</v>
      </c>
      <c r="D459" s="242" t="str">
        <f t="shared" si="15"/>
        <v>HRVATSKI ZAVOD ZA TRANSFUZIJSKU MEDICINU (26354)</v>
      </c>
      <c r="E459" s="242" t="s">
        <v>4615</v>
      </c>
      <c r="F459" s="242" t="s">
        <v>271</v>
      </c>
      <c r="G459" s="243">
        <v>3281973</v>
      </c>
      <c r="H459" s="244" t="s">
        <v>4616</v>
      </c>
      <c r="J459" s="233"/>
    </row>
    <row r="460" spans="1:10" ht="15" customHeight="1">
      <c r="A460" s="240">
        <f t="shared" si="14"/>
        <v>457</v>
      </c>
      <c r="B460" s="241">
        <v>23616</v>
      </c>
      <c r="C460" s="242" t="s">
        <v>4617</v>
      </c>
      <c r="D460" s="242" t="str">
        <f t="shared" si="15"/>
        <v>IMUNOLOŠKI ZAVOD (23616)</v>
      </c>
      <c r="E460" s="242" t="s">
        <v>4618</v>
      </c>
      <c r="F460" s="242" t="s">
        <v>271</v>
      </c>
      <c r="G460" s="245" t="s">
        <v>4619</v>
      </c>
      <c r="H460" s="263" t="s">
        <v>4620</v>
      </c>
      <c r="J460" s="233"/>
    </row>
    <row r="461" spans="1:10" ht="15" customHeight="1">
      <c r="A461" s="228">
        <f t="shared" si="14"/>
        <v>458</v>
      </c>
      <c r="B461" s="235">
        <v>21828</v>
      </c>
      <c r="C461" s="236" t="s">
        <v>4621</v>
      </c>
      <c r="D461" s="242" t="str">
        <f t="shared" si="15"/>
        <v>HRVATSKA AKADEMIJA ZNANOSTI I UMJETNOSTI (21828)</v>
      </c>
      <c r="E461" s="236" t="s">
        <v>4622</v>
      </c>
      <c r="F461" s="236" t="s">
        <v>271</v>
      </c>
      <c r="G461" s="237">
        <v>3205207</v>
      </c>
      <c r="H461" s="238" t="s">
        <v>4623</v>
      </c>
      <c r="J461" s="233"/>
    </row>
    <row r="462" spans="1:10" ht="15" customHeight="1">
      <c r="A462" s="228">
        <f t="shared" si="14"/>
        <v>459</v>
      </c>
      <c r="B462" s="235">
        <v>51441</v>
      </c>
      <c r="C462" s="236" t="s">
        <v>4624</v>
      </c>
      <c r="D462" s="242" t="str">
        <f t="shared" si="15"/>
        <v>MINISTARSTVO PRAVOSUĐA I UPRAVE (51441)</v>
      </c>
      <c r="E462" s="236" t="s">
        <v>4625</v>
      </c>
      <c r="F462" s="236" t="s">
        <v>271</v>
      </c>
      <c r="G462" s="237">
        <v>5287260</v>
      </c>
      <c r="H462" s="238" t="s">
        <v>4626</v>
      </c>
      <c r="I462" s="264"/>
      <c r="J462" s="233"/>
    </row>
    <row r="463" spans="1:10" ht="15" customHeight="1">
      <c r="A463" s="240">
        <f t="shared" si="14"/>
        <v>460</v>
      </c>
      <c r="B463" s="241">
        <v>45978</v>
      </c>
      <c r="C463" s="242" t="s">
        <v>4627</v>
      </c>
      <c r="D463" s="242" t="str">
        <f t="shared" si="15"/>
        <v>PRAVOSUDNA AKADEMIJA (45978)</v>
      </c>
      <c r="E463" s="242" t="s">
        <v>4625</v>
      </c>
      <c r="F463" s="242" t="s">
        <v>271</v>
      </c>
      <c r="G463" s="243" t="s">
        <v>4628</v>
      </c>
      <c r="H463" s="265" t="s">
        <v>4629</v>
      </c>
      <c r="J463" s="233"/>
    </row>
    <row r="464" spans="1:10" ht="15" customHeight="1">
      <c r="A464" s="240">
        <f t="shared" si="14"/>
        <v>461</v>
      </c>
      <c r="B464" s="241">
        <v>47668</v>
      </c>
      <c r="C464" s="242" t="s">
        <v>4630</v>
      </c>
      <c r="D464" s="242" t="str">
        <f t="shared" si="15"/>
        <v>CENTAR ZA DIJAGNOSTIKU U ZAGREBU (47668)</v>
      </c>
      <c r="E464" s="242" t="s">
        <v>4631</v>
      </c>
      <c r="F464" s="242" t="s">
        <v>1770</v>
      </c>
      <c r="G464" s="243" t="s">
        <v>4632</v>
      </c>
      <c r="H464" s="265">
        <v>95770301332</v>
      </c>
      <c r="J464" s="233"/>
    </row>
    <row r="465" spans="1:10" ht="15" customHeight="1">
      <c r="A465" s="240">
        <f t="shared" si="14"/>
        <v>462</v>
      </c>
      <c r="B465" s="241">
        <v>24086</v>
      </c>
      <c r="C465" s="242" t="s">
        <v>4633</v>
      </c>
      <c r="D465" s="242" t="str">
        <f t="shared" si="15"/>
        <v>CENTAR ZA IZOBRAZBU  (24086)</v>
      </c>
      <c r="E465" s="242" t="s">
        <v>4631</v>
      </c>
      <c r="F465" s="242" t="s">
        <v>271</v>
      </c>
      <c r="G465" s="243">
        <v>1740024</v>
      </c>
      <c r="H465" s="244" t="s">
        <v>4634</v>
      </c>
      <c r="J465" s="233"/>
    </row>
    <row r="466" spans="1:10" ht="15" customHeight="1">
      <c r="A466" s="240">
        <f t="shared" si="14"/>
        <v>463</v>
      </c>
      <c r="B466" s="241">
        <v>20727</v>
      </c>
      <c r="C466" s="242" t="s">
        <v>4635</v>
      </c>
      <c r="D466" s="242" t="str">
        <f t="shared" si="15"/>
        <v>KAZNIONICA U GLINI (20727)</v>
      </c>
      <c r="E466" s="242" t="s">
        <v>4636</v>
      </c>
      <c r="F466" s="242" t="s">
        <v>4221</v>
      </c>
      <c r="G466" s="243">
        <v>1149695</v>
      </c>
      <c r="H466" s="244" t="s">
        <v>4637</v>
      </c>
      <c r="J466" s="233"/>
    </row>
    <row r="467" spans="1:10" ht="15" customHeight="1">
      <c r="A467" s="240">
        <f t="shared" si="14"/>
        <v>464</v>
      </c>
      <c r="B467" s="241">
        <v>3164</v>
      </c>
      <c r="C467" s="242" t="s">
        <v>4638</v>
      </c>
      <c r="D467" s="242" t="str">
        <f t="shared" si="15"/>
        <v>KAZNIONICA U LEPOGLAVI (3164)</v>
      </c>
      <c r="E467" s="242" t="s">
        <v>4639</v>
      </c>
      <c r="F467" s="242" t="s">
        <v>4640</v>
      </c>
      <c r="G467" s="243">
        <v>3125971</v>
      </c>
      <c r="H467" s="244" t="s">
        <v>4641</v>
      </c>
      <c r="J467" s="233"/>
    </row>
    <row r="468" spans="1:10" ht="15" customHeight="1">
      <c r="A468" s="240">
        <f t="shared" si="14"/>
        <v>465</v>
      </c>
      <c r="B468" s="241">
        <v>3172</v>
      </c>
      <c r="C468" s="242" t="s">
        <v>4642</v>
      </c>
      <c r="D468" s="242" t="str">
        <f t="shared" si="15"/>
        <v>KAZNIONICA U LIPOVICI - POPOVAČA (3172)</v>
      </c>
      <c r="E468" s="242" t="s">
        <v>4643</v>
      </c>
      <c r="F468" s="242" t="s">
        <v>4644</v>
      </c>
      <c r="G468" s="243">
        <v>3331482</v>
      </c>
      <c r="H468" s="244" t="s">
        <v>4645</v>
      </c>
      <c r="J468" s="233"/>
    </row>
    <row r="469" spans="1:10" ht="15" customHeight="1">
      <c r="A469" s="240">
        <f t="shared" si="14"/>
        <v>466</v>
      </c>
      <c r="B469" s="241">
        <v>50395</v>
      </c>
      <c r="C469" s="242" t="s">
        <v>4646</v>
      </c>
      <c r="D469" s="242" t="str">
        <f t="shared" si="15"/>
        <v>KAZNIONICA U POŽEGI (50395)</v>
      </c>
      <c r="E469" s="242" t="s">
        <v>4647</v>
      </c>
      <c r="F469" s="242" t="s">
        <v>513</v>
      </c>
      <c r="G469" s="243">
        <v>4982495</v>
      </c>
      <c r="H469" s="244" t="s">
        <v>4648</v>
      </c>
      <c r="J469" s="233"/>
    </row>
    <row r="470" spans="1:10" ht="15" customHeight="1">
      <c r="A470" s="240">
        <f t="shared" si="14"/>
        <v>467</v>
      </c>
      <c r="B470" s="241">
        <v>3197</v>
      </c>
      <c r="C470" s="242" t="s">
        <v>4649</v>
      </c>
      <c r="D470" s="242" t="str">
        <f t="shared" si="15"/>
        <v>KAZNIONICA U TUROPOLJU (3197)</v>
      </c>
      <c r="E470" s="242" t="s">
        <v>4650</v>
      </c>
      <c r="F470" s="242" t="s">
        <v>3579</v>
      </c>
      <c r="G470" s="243">
        <v>3230015</v>
      </c>
      <c r="H470" s="244" t="s">
        <v>4651</v>
      </c>
      <c r="J470" s="233"/>
    </row>
    <row r="471" spans="1:10" ht="15" customHeight="1">
      <c r="A471" s="240">
        <f t="shared" si="14"/>
        <v>468</v>
      </c>
      <c r="B471" s="241">
        <v>3201</v>
      </c>
      <c r="C471" s="242" t="s">
        <v>4652</v>
      </c>
      <c r="D471" s="242" t="str">
        <f t="shared" si="15"/>
        <v>KAZNIONICA U VALTURI (3201)</v>
      </c>
      <c r="E471" s="242" t="s">
        <v>4653</v>
      </c>
      <c r="F471" s="242" t="s">
        <v>302</v>
      </c>
      <c r="G471" s="243">
        <v>3221784</v>
      </c>
      <c r="H471" s="244" t="s">
        <v>4654</v>
      </c>
      <c r="J471" s="233"/>
    </row>
    <row r="472" spans="1:10" ht="15" customHeight="1">
      <c r="A472" s="240">
        <f t="shared" si="14"/>
        <v>469</v>
      </c>
      <c r="B472" s="241">
        <v>3156</v>
      </c>
      <c r="C472" s="242" t="s">
        <v>4655</v>
      </c>
      <c r="D472" s="242" t="str">
        <f t="shared" si="15"/>
        <v>ODGOJNI ZAVOD TUROPOLJE (3156)</v>
      </c>
      <c r="E472" s="242" t="s">
        <v>4656</v>
      </c>
      <c r="F472" s="242" t="s">
        <v>3579</v>
      </c>
      <c r="G472" s="243">
        <v>3126498</v>
      </c>
      <c r="H472" s="244" t="s">
        <v>4657</v>
      </c>
      <c r="J472" s="233"/>
    </row>
    <row r="473" spans="1:10" ht="15" customHeight="1">
      <c r="A473" s="240">
        <f t="shared" si="14"/>
        <v>470</v>
      </c>
      <c r="B473" s="241">
        <v>46614</v>
      </c>
      <c r="C473" s="242" t="s">
        <v>4658</v>
      </c>
      <c r="D473" s="242" t="str">
        <f t="shared" si="15"/>
        <v>ODGOJNI ZAVOD U POŽEGI (46614)</v>
      </c>
      <c r="E473" s="242" t="s">
        <v>4647</v>
      </c>
      <c r="F473" s="242" t="s">
        <v>513</v>
      </c>
      <c r="G473" s="243">
        <v>3342719</v>
      </c>
      <c r="H473" s="244" t="s">
        <v>4659</v>
      </c>
      <c r="J473" s="233"/>
    </row>
    <row r="474" spans="1:10" ht="15" customHeight="1">
      <c r="A474" s="240">
        <f t="shared" si="14"/>
        <v>471</v>
      </c>
      <c r="B474" s="241">
        <v>3210</v>
      </c>
      <c r="C474" s="242" t="s">
        <v>4660</v>
      </c>
      <c r="D474" s="242" t="str">
        <f t="shared" si="15"/>
        <v>ZATVOR U BJELOVARU (3210)</v>
      </c>
      <c r="E474" s="242" t="s">
        <v>4661</v>
      </c>
      <c r="F474" s="242" t="s">
        <v>3649</v>
      </c>
      <c r="G474" s="243">
        <v>3331369</v>
      </c>
      <c r="H474" s="244" t="s">
        <v>4662</v>
      </c>
      <c r="J474" s="233"/>
    </row>
    <row r="475" spans="1:10" ht="15" customHeight="1">
      <c r="A475" s="240">
        <f t="shared" si="14"/>
        <v>472</v>
      </c>
      <c r="B475" s="241">
        <v>3228</v>
      </c>
      <c r="C475" s="242" t="s">
        <v>4663</v>
      </c>
      <c r="D475" s="242" t="str">
        <f t="shared" si="15"/>
        <v>ZATVOR U DUBROVNIKU  (3228)</v>
      </c>
      <c r="E475" s="242" t="s">
        <v>4664</v>
      </c>
      <c r="F475" s="242" t="s">
        <v>309</v>
      </c>
      <c r="G475" s="243">
        <v>3312062</v>
      </c>
      <c r="H475" s="244" t="s">
        <v>4665</v>
      </c>
      <c r="J475" s="233"/>
    </row>
    <row r="476" spans="1:10" s="239" customFormat="1" ht="15" customHeight="1">
      <c r="A476" s="240">
        <f t="shared" si="14"/>
        <v>473</v>
      </c>
      <c r="B476" s="241">
        <v>3236</v>
      </c>
      <c r="C476" s="242" t="s">
        <v>4666</v>
      </c>
      <c r="D476" s="242" t="str">
        <f t="shared" si="15"/>
        <v>ZATVOR U GOSPIĆU (3236)</v>
      </c>
      <c r="E476" s="242" t="s">
        <v>4667</v>
      </c>
      <c r="F476" s="242" t="s">
        <v>505</v>
      </c>
      <c r="G476" s="243">
        <v>3345971</v>
      </c>
      <c r="H476" s="244" t="s">
        <v>4668</v>
      </c>
      <c r="J476" s="233"/>
    </row>
    <row r="477" spans="1:10" ht="15" customHeight="1">
      <c r="A477" s="240">
        <f t="shared" si="14"/>
        <v>474</v>
      </c>
      <c r="B477" s="241">
        <v>3244</v>
      </c>
      <c r="C477" s="242" t="s">
        <v>4669</v>
      </c>
      <c r="D477" s="242" t="str">
        <f t="shared" si="15"/>
        <v>ZATVOR U KARLOVCU (3244)</v>
      </c>
      <c r="E477" s="242" t="s">
        <v>4670</v>
      </c>
      <c r="F477" s="242" t="s">
        <v>509</v>
      </c>
      <c r="G477" s="243">
        <v>3141667</v>
      </c>
      <c r="H477" s="244" t="s">
        <v>4671</v>
      </c>
      <c r="J477" s="233"/>
    </row>
    <row r="478" spans="1:10" ht="15" customHeight="1">
      <c r="A478" s="240">
        <f t="shared" si="14"/>
        <v>475</v>
      </c>
      <c r="B478" s="241">
        <v>3252</v>
      </c>
      <c r="C478" s="242" t="s">
        <v>4672</v>
      </c>
      <c r="D478" s="242" t="str">
        <f t="shared" si="15"/>
        <v>ZATVOR U OSIJEKU (3252)</v>
      </c>
      <c r="E478" s="242" t="s">
        <v>4673</v>
      </c>
      <c r="F478" s="242" t="s">
        <v>274</v>
      </c>
      <c r="G478" s="243">
        <v>3055264</v>
      </c>
      <c r="H478" s="244" t="s">
        <v>4674</v>
      </c>
      <c r="J478" s="233"/>
    </row>
    <row r="479" spans="1:10" ht="15" customHeight="1">
      <c r="A479" s="240">
        <f t="shared" si="14"/>
        <v>476</v>
      </c>
      <c r="B479" s="241">
        <v>50400</v>
      </c>
      <c r="C479" s="242" t="s">
        <v>4675</v>
      </c>
      <c r="D479" s="242" t="str">
        <f t="shared" si="15"/>
        <v>ZATVOR U POŽEGI (50400)</v>
      </c>
      <c r="E479" s="242" t="s">
        <v>4676</v>
      </c>
      <c r="F479" s="242" t="s">
        <v>513</v>
      </c>
      <c r="G479" s="243">
        <v>4982533</v>
      </c>
      <c r="H479" s="244" t="s">
        <v>4677</v>
      </c>
      <c r="J479" s="233"/>
    </row>
    <row r="480" spans="1:10" ht="15" customHeight="1">
      <c r="A480" s="240">
        <f t="shared" si="14"/>
        <v>477</v>
      </c>
      <c r="B480" s="241">
        <v>3277</v>
      </c>
      <c r="C480" s="242" t="s">
        <v>4678</v>
      </c>
      <c r="D480" s="242" t="str">
        <f t="shared" si="15"/>
        <v>ZATVOR U PULI (3277)</v>
      </c>
      <c r="E480" s="242" t="s">
        <v>4679</v>
      </c>
      <c r="F480" s="242" t="s">
        <v>302</v>
      </c>
      <c r="G480" s="243">
        <v>3227693</v>
      </c>
      <c r="H480" s="244" t="s">
        <v>4680</v>
      </c>
      <c r="J480" s="233"/>
    </row>
    <row r="481" spans="1:10" ht="15" customHeight="1">
      <c r="A481" s="240">
        <f t="shared" si="14"/>
        <v>478</v>
      </c>
      <c r="B481" s="241">
        <v>3285</v>
      </c>
      <c r="C481" s="242" t="s">
        <v>4681</v>
      </c>
      <c r="D481" s="242" t="str">
        <f t="shared" si="15"/>
        <v>ZATVOR U RIJECI (3285)</v>
      </c>
      <c r="E481" s="242" t="s">
        <v>4682</v>
      </c>
      <c r="F481" s="242" t="s">
        <v>316</v>
      </c>
      <c r="G481" s="243">
        <v>3341640</v>
      </c>
      <c r="H481" s="244" t="s">
        <v>4683</v>
      </c>
      <c r="J481" s="233"/>
    </row>
    <row r="482" spans="1:10" ht="15" customHeight="1">
      <c r="A482" s="240">
        <f t="shared" si="14"/>
        <v>479</v>
      </c>
      <c r="B482" s="241">
        <v>3293</v>
      </c>
      <c r="C482" s="242" t="s">
        <v>4684</v>
      </c>
      <c r="D482" s="242" t="str">
        <f t="shared" si="15"/>
        <v>ZATVOR U SISKU (3293)</v>
      </c>
      <c r="E482" s="242" t="s">
        <v>4685</v>
      </c>
      <c r="F482" s="242" t="s">
        <v>1719</v>
      </c>
      <c r="G482" s="243">
        <v>3314707</v>
      </c>
      <c r="H482" s="244" t="s">
        <v>4686</v>
      </c>
      <c r="J482" s="233"/>
    </row>
    <row r="483" spans="1:10" ht="15" customHeight="1">
      <c r="A483" s="240">
        <f t="shared" si="14"/>
        <v>480</v>
      </c>
      <c r="B483" s="241">
        <v>3308</v>
      </c>
      <c r="C483" s="242" t="s">
        <v>4687</v>
      </c>
      <c r="D483" s="242" t="str">
        <f t="shared" si="15"/>
        <v>ZATVOR U SPLITU (3308)</v>
      </c>
      <c r="E483" s="242" t="s">
        <v>4688</v>
      </c>
      <c r="F483" s="242" t="s">
        <v>356</v>
      </c>
      <c r="G483" s="243">
        <v>3148262</v>
      </c>
      <c r="H483" s="244" t="s">
        <v>4689</v>
      </c>
      <c r="J483" s="233"/>
    </row>
    <row r="484" spans="1:10" ht="15" customHeight="1">
      <c r="A484" s="240">
        <f t="shared" si="14"/>
        <v>481</v>
      </c>
      <c r="B484" s="241">
        <v>3316</v>
      </c>
      <c r="C484" s="242" t="s">
        <v>4690</v>
      </c>
      <c r="D484" s="242" t="str">
        <f t="shared" si="15"/>
        <v>ZATVOR U ŠIBENIKU (3316)</v>
      </c>
      <c r="E484" s="242" t="s">
        <v>4691</v>
      </c>
      <c r="F484" s="242" t="s">
        <v>520</v>
      </c>
      <c r="G484" s="243">
        <v>3060870</v>
      </c>
      <c r="H484" s="244" t="s">
        <v>4692</v>
      </c>
      <c r="J484" s="233"/>
    </row>
    <row r="485" spans="1:10" ht="15" customHeight="1">
      <c r="A485" s="240">
        <f t="shared" si="14"/>
        <v>482</v>
      </c>
      <c r="B485" s="241">
        <v>3324</v>
      </c>
      <c r="C485" s="242" t="s">
        <v>4693</v>
      </c>
      <c r="D485" s="242" t="str">
        <f t="shared" si="15"/>
        <v>ZATVOR U VARAŽDINU (3324)</v>
      </c>
      <c r="E485" s="242" t="s">
        <v>4694</v>
      </c>
      <c r="F485" s="242" t="s">
        <v>441</v>
      </c>
      <c r="G485" s="243">
        <v>3048560</v>
      </c>
      <c r="H485" s="244" t="s">
        <v>4695</v>
      </c>
      <c r="J485" s="233"/>
    </row>
    <row r="486" spans="1:10" ht="15" customHeight="1">
      <c r="A486" s="240">
        <f t="shared" si="14"/>
        <v>483</v>
      </c>
      <c r="B486" s="241">
        <v>3332</v>
      </c>
      <c r="C486" s="242" t="s">
        <v>4696</v>
      </c>
      <c r="D486" s="242" t="str">
        <f t="shared" si="15"/>
        <v>ZATVOR U ZADRU (3332)</v>
      </c>
      <c r="E486" s="242" t="s">
        <v>4697</v>
      </c>
      <c r="F486" s="242" t="s">
        <v>312</v>
      </c>
      <c r="G486" s="243">
        <v>3159973</v>
      </c>
      <c r="H486" s="244" t="s">
        <v>4698</v>
      </c>
      <c r="J486" s="233"/>
    </row>
    <row r="487" spans="1:10" ht="15" customHeight="1">
      <c r="A487" s="240">
        <f t="shared" si="14"/>
        <v>484</v>
      </c>
      <c r="B487" s="241">
        <v>3349</v>
      </c>
      <c r="C487" s="242" t="s">
        <v>4699</v>
      </c>
      <c r="D487" s="242" t="str">
        <f t="shared" si="15"/>
        <v>ZATVOR U ZAGREBU (3349)</v>
      </c>
      <c r="E487" s="242" t="s">
        <v>4631</v>
      </c>
      <c r="F487" s="242" t="s">
        <v>271</v>
      </c>
      <c r="G487" s="243">
        <v>3226476</v>
      </c>
      <c r="H487" s="244" t="s">
        <v>4700</v>
      </c>
      <c r="J487" s="233"/>
    </row>
    <row r="488" spans="1:10" ht="15" customHeight="1">
      <c r="A488" s="240">
        <f t="shared" si="14"/>
        <v>485</v>
      </c>
      <c r="B488" s="241">
        <v>3148</v>
      </c>
      <c r="C488" s="242" t="s">
        <v>4701</v>
      </c>
      <c r="D488" s="242" t="str">
        <f t="shared" si="15"/>
        <v>ZATVORSKA BOLNICA U ZAGREBU (3148)</v>
      </c>
      <c r="E488" s="242" t="s">
        <v>4702</v>
      </c>
      <c r="F488" s="242" t="s">
        <v>271</v>
      </c>
      <c r="G488" s="243">
        <v>3283089</v>
      </c>
      <c r="H488" s="244" t="s">
        <v>4703</v>
      </c>
      <c r="J488" s="233"/>
    </row>
    <row r="489" spans="1:10" ht="15" customHeight="1">
      <c r="A489" s="240">
        <f t="shared" si="14"/>
        <v>486</v>
      </c>
      <c r="B489" s="241">
        <v>3357</v>
      </c>
      <c r="C489" s="242" t="s">
        <v>4704</v>
      </c>
      <c r="D489" s="242" t="str">
        <f t="shared" si="15"/>
        <v>VRHOVNI SUD REPUBLIKE HRVATSKE (3357)</v>
      </c>
      <c r="E489" s="242" t="s">
        <v>4705</v>
      </c>
      <c r="F489" s="242" t="s">
        <v>271</v>
      </c>
      <c r="G489" s="243">
        <v>3206050</v>
      </c>
      <c r="H489" s="244" t="s">
        <v>4706</v>
      </c>
      <c r="J489" s="233"/>
    </row>
    <row r="490" spans="1:10" ht="15" customHeight="1">
      <c r="A490" s="240">
        <f t="shared" si="14"/>
        <v>487</v>
      </c>
      <c r="B490" s="241">
        <v>3582</v>
      </c>
      <c r="C490" s="242" t="s">
        <v>4707</v>
      </c>
      <c r="D490" s="242" t="str">
        <f t="shared" si="15"/>
        <v>VISOKI TRGOVAČKI SUD REPUBLIKE HRVATSKE (3582)</v>
      </c>
      <c r="E490" s="242" t="s">
        <v>4708</v>
      </c>
      <c r="F490" s="242" t="s">
        <v>271</v>
      </c>
      <c r="G490" s="243">
        <v>3271064</v>
      </c>
      <c r="H490" s="244" t="s">
        <v>4709</v>
      </c>
      <c r="J490" s="233"/>
    </row>
    <row r="491" spans="1:10" ht="15" customHeight="1">
      <c r="A491" s="240">
        <f t="shared" si="14"/>
        <v>488</v>
      </c>
      <c r="B491" s="241">
        <v>20639</v>
      </c>
      <c r="C491" s="242" t="s">
        <v>4710</v>
      </c>
      <c r="D491" s="242" t="str">
        <f t="shared" si="15"/>
        <v>VISOKI UPRAVNI SUD REPUBLIKE HRVATSKE (20639)</v>
      </c>
      <c r="E491" s="242" t="s">
        <v>4711</v>
      </c>
      <c r="F491" s="242" t="s">
        <v>271</v>
      </c>
      <c r="G491" s="243">
        <v>3232719</v>
      </c>
      <c r="H491" s="244" t="s">
        <v>4712</v>
      </c>
      <c r="J491" s="233"/>
    </row>
    <row r="492" spans="1:10" ht="15" customHeight="1">
      <c r="A492" s="240">
        <f t="shared" si="14"/>
        <v>489</v>
      </c>
      <c r="B492" s="241">
        <v>47140</v>
      </c>
      <c r="C492" s="242" t="s">
        <v>4713</v>
      </c>
      <c r="D492" s="242" t="str">
        <f t="shared" si="15"/>
        <v>UPRAVNI SUD U OSIJEKU (47140)</v>
      </c>
      <c r="E492" s="242" t="s">
        <v>4714</v>
      </c>
      <c r="F492" s="242" t="s">
        <v>274</v>
      </c>
      <c r="G492" s="243">
        <v>2790416</v>
      </c>
      <c r="H492" s="244" t="s">
        <v>4715</v>
      </c>
      <c r="J492" s="233"/>
    </row>
    <row r="493" spans="1:10" ht="15" customHeight="1">
      <c r="A493" s="240">
        <f t="shared" si="14"/>
        <v>490</v>
      </c>
      <c r="B493" s="241">
        <v>47158</v>
      </c>
      <c r="C493" s="242" t="s">
        <v>4716</v>
      </c>
      <c r="D493" s="242" t="str">
        <f t="shared" si="15"/>
        <v>UPRAVNI SUD U RIJECI (47158)</v>
      </c>
      <c r="E493" s="242" t="s">
        <v>4717</v>
      </c>
      <c r="F493" s="242" t="s">
        <v>316</v>
      </c>
      <c r="G493" s="243">
        <v>2790424</v>
      </c>
      <c r="H493" s="244" t="s">
        <v>4718</v>
      </c>
      <c r="J493" s="233"/>
    </row>
    <row r="494" spans="1:10" ht="15" customHeight="1">
      <c r="A494" s="240">
        <f t="shared" si="14"/>
        <v>491</v>
      </c>
      <c r="B494" s="241">
        <v>47203</v>
      </c>
      <c r="C494" s="242" t="s">
        <v>4719</v>
      </c>
      <c r="D494" s="242" t="str">
        <f t="shared" si="15"/>
        <v>UPRAVNI SUD U SPLITU (47203)</v>
      </c>
      <c r="E494" s="242" t="s">
        <v>4720</v>
      </c>
      <c r="F494" s="242" t="s">
        <v>356</v>
      </c>
      <c r="G494" s="243">
        <v>2790432</v>
      </c>
      <c r="H494" s="244" t="s">
        <v>4721</v>
      </c>
      <c r="J494" s="233"/>
    </row>
    <row r="495" spans="1:10" ht="15" customHeight="1">
      <c r="A495" s="240">
        <f t="shared" si="14"/>
        <v>492</v>
      </c>
      <c r="B495" s="241">
        <v>47199</v>
      </c>
      <c r="C495" s="242" t="s">
        <v>4722</v>
      </c>
      <c r="D495" s="242" t="str">
        <f t="shared" si="15"/>
        <v>UPRAVNI SUD U ZAGREBU (47199)</v>
      </c>
      <c r="E495" s="242" t="s">
        <v>4723</v>
      </c>
      <c r="F495" s="242" t="s">
        <v>271</v>
      </c>
      <c r="G495" s="243">
        <v>2790467</v>
      </c>
      <c r="H495" s="244" t="s">
        <v>4724</v>
      </c>
      <c r="J495" s="233"/>
    </row>
    <row r="496" spans="1:10" ht="15" customHeight="1">
      <c r="A496" s="240">
        <f t="shared" si="14"/>
        <v>493</v>
      </c>
      <c r="B496" s="241">
        <v>3365</v>
      </c>
      <c r="C496" s="242" t="s">
        <v>4725</v>
      </c>
      <c r="D496" s="242" t="str">
        <f t="shared" si="15"/>
        <v>DRŽAVNO ODVJETNIŠTVO REPUBLIKE HRVATSKE (3365)</v>
      </c>
      <c r="E496" s="242" t="s">
        <v>4726</v>
      </c>
      <c r="F496" s="242" t="s">
        <v>271</v>
      </c>
      <c r="G496" s="243">
        <v>3277151</v>
      </c>
      <c r="H496" s="244" t="s">
        <v>4727</v>
      </c>
      <c r="J496" s="233"/>
    </row>
    <row r="497" spans="1:10" ht="15" customHeight="1">
      <c r="A497" s="240">
        <f t="shared" si="14"/>
        <v>494</v>
      </c>
      <c r="B497" s="241">
        <v>47287</v>
      </c>
      <c r="C497" s="242" t="s">
        <v>4728</v>
      </c>
      <c r="D497" s="242" t="str">
        <f t="shared" si="15"/>
        <v>DRŽAVNO ODVJETNIČKO VIJEĆE (47287)</v>
      </c>
      <c r="E497" s="242" t="s">
        <v>4625</v>
      </c>
      <c r="F497" s="242" t="s">
        <v>271</v>
      </c>
      <c r="G497" s="243">
        <v>2797712</v>
      </c>
      <c r="H497" s="244" t="s">
        <v>4729</v>
      </c>
      <c r="J497" s="233"/>
    </row>
    <row r="498" spans="1:10" ht="15" customHeight="1">
      <c r="A498" s="240">
        <f t="shared" si="14"/>
        <v>495</v>
      </c>
      <c r="B498" s="241">
        <v>47295</v>
      </c>
      <c r="C498" s="242" t="s">
        <v>4730</v>
      </c>
      <c r="D498" s="242" t="str">
        <f t="shared" si="15"/>
        <v>DRŽAVNO SUDBENO VIJEĆE (47295)</v>
      </c>
      <c r="E498" s="242" t="s">
        <v>4731</v>
      </c>
      <c r="F498" s="242" t="s">
        <v>271</v>
      </c>
      <c r="G498" s="243">
        <v>2747987</v>
      </c>
      <c r="H498" s="244" t="s">
        <v>4732</v>
      </c>
      <c r="J498" s="233"/>
    </row>
    <row r="499" spans="1:10" ht="15" customHeight="1">
      <c r="A499" s="240">
        <f t="shared" si="14"/>
        <v>496</v>
      </c>
      <c r="B499" s="241">
        <v>3381</v>
      </c>
      <c r="C499" s="242" t="s">
        <v>4733</v>
      </c>
      <c r="D499" s="242" t="str">
        <f t="shared" si="15"/>
        <v>VISOKI PREKRŠAJNII SUD REPUBLIKE HRVATSKE (3381)</v>
      </c>
      <c r="E499" s="242" t="s">
        <v>4734</v>
      </c>
      <c r="F499" s="242" t="s">
        <v>271</v>
      </c>
      <c r="G499" s="243">
        <v>3206068</v>
      </c>
      <c r="H499" s="244" t="s">
        <v>4735</v>
      </c>
      <c r="J499" s="233"/>
    </row>
    <row r="500" spans="1:10" ht="15" customHeight="1">
      <c r="A500" s="240">
        <f t="shared" si="14"/>
        <v>497</v>
      </c>
      <c r="B500" s="241">
        <v>50928</v>
      </c>
      <c r="C500" s="242" t="s">
        <v>4736</v>
      </c>
      <c r="D500" s="242" t="str">
        <f t="shared" si="15"/>
        <v>VISOKI KAZNENI SUD REPUBLIKE HRVATSKE (50928)</v>
      </c>
      <c r="E500" s="242" t="s">
        <v>4737</v>
      </c>
      <c r="F500" s="242" t="s">
        <v>271</v>
      </c>
      <c r="G500" s="243">
        <v>5090890</v>
      </c>
      <c r="H500" s="244" t="s">
        <v>4738</v>
      </c>
      <c r="J500" s="233"/>
    </row>
    <row r="501" spans="1:10" ht="15" customHeight="1">
      <c r="A501" s="240">
        <f t="shared" si="14"/>
        <v>498</v>
      </c>
      <c r="B501" s="241">
        <v>20743</v>
      </c>
      <c r="C501" s="242" t="s">
        <v>4739</v>
      </c>
      <c r="D501" s="242" t="str">
        <f t="shared" si="15"/>
        <v>ŽUPANIJSKI SUD U BJELOVARU (20743)</v>
      </c>
      <c r="E501" s="242" t="s">
        <v>4740</v>
      </c>
      <c r="F501" s="242" t="s">
        <v>3649</v>
      </c>
      <c r="G501" s="243">
        <v>3308677</v>
      </c>
      <c r="H501" s="244" t="s">
        <v>4741</v>
      </c>
      <c r="J501" s="233"/>
    </row>
    <row r="502" spans="1:10" ht="15" customHeight="1">
      <c r="A502" s="240">
        <f t="shared" si="14"/>
        <v>499</v>
      </c>
      <c r="B502" s="241">
        <v>3390</v>
      </c>
      <c r="C502" s="242" t="s">
        <v>4742</v>
      </c>
      <c r="D502" s="242" t="str">
        <f t="shared" si="15"/>
        <v>ŽUPANIJSKI SUD U DUBROVNIKU (3390)</v>
      </c>
      <c r="E502" s="242" t="s">
        <v>4743</v>
      </c>
      <c r="F502" s="242" t="s">
        <v>309</v>
      </c>
      <c r="G502" s="243">
        <v>3304680</v>
      </c>
      <c r="H502" s="244" t="s">
        <v>4744</v>
      </c>
      <c r="J502" s="233"/>
    </row>
    <row r="503" spans="1:10" ht="15" customHeight="1">
      <c r="A503" s="240">
        <f t="shared" si="14"/>
        <v>500</v>
      </c>
      <c r="B503" s="241">
        <v>3412</v>
      </c>
      <c r="C503" s="242" t="s">
        <v>4745</v>
      </c>
      <c r="D503" s="242" t="str">
        <f t="shared" si="15"/>
        <v>ŽUPANIJSKI SUD U KARLOVCU (3412)</v>
      </c>
      <c r="E503" s="242" t="s">
        <v>4746</v>
      </c>
      <c r="F503" s="242" t="s">
        <v>509</v>
      </c>
      <c r="G503" s="243">
        <v>3123502</v>
      </c>
      <c r="H503" s="244" t="s">
        <v>4747</v>
      </c>
      <c r="J503" s="233"/>
    </row>
    <row r="504" spans="1:10" ht="15" customHeight="1">
      <c r="A504" s="240">
        <f t="shared" si="14"/>
        <v>501</v>
      </c>
      <c r="B504" s="241">
        <v>3429</v>
      </c>
      <c r="C504" s="242" t="s">
        <v>4748</v>
      </c>
      <c r="D504" s="242" t="str">
        <f t="shared" si="15"/>
        <v>ŽUPANIJSKI SUD U OSIJEKU (3429)</v>
      </c>
      <c r="E504" s="242" t="s">
        <v>4749</v>
      </c>
      <c r="F504" s="242" t="s">
        <v>274</v>
      </c>
      <c r="G504" s="243">
        <v>3014819</v>
      </c>
      <c r="H504" s="244" t="s">
        <v>4750</v>
      </c>
      <c r="J504" s="233"/>
    </row>
    <row r="505" spans="1:10" ht="15" customHeight="1">
      <c r="A505" s="240">
        <f t="shared" si="14"/>
        <v>502</v>
      </c>
      <c r="B505" s="241">
        <v>3445</v>
      </c>
      <c r="C505" s="242" t="s">
        <v>4751</v>
      </c>
      <c r="D505" s="242" t="str">
        <f t="shared" si="15"/>
        <v>ŽUPANIJSKI SUD U PULI - POLA (3445)</v>
      </c>
      <c r="E505" s="242" t="s">
        <v>4752</v>
      </c>
      <c r="F505" s="242" t="s">
        <v>4753</v>
      </c>
      <c r="G505" s="243">
        <v>3204138</v>
      </c>
      <c r="H505" s="244" t="s">
        <v>4754</v>
      </c>
      <c r="J505" s="233"/>
    </row>
    <row r="506" spans="1:10" ht="15" customHeight="1">
      <c r="A506" s="240">
        <f t="shared" si="14"/>
        <v>503</v>
      </c>
      <c r="B506" s="241">
        <v>3453</v>
      </c>
      <c r="C506" s="242" t="s">
        <v>4755</v>
      </c>
      <c r="D506" s="242" t="str">
        <f t="shared" si="15"/>
        <v>ŽUPANIJSKI SUD U RIJECI (3453)</v>
      </c>
      <c r="E506" s="242" t="s">
        <v>4756</v>
      </c>
      <c r="F506" s="242" t="s">
        <v>316</v>
      </c>
      <c r="G506" s="243">
        <v>3321401</v>
      </c>
      <c r="H506" s="244" t="s">
        <v>4757</v>
      </c>
      <c r="J506" s="233"/>
    </row>
    <row r="507" spans="1:10" ht="15" customHeight="1">
      <c r="A507" s="240">
        <f t="shared" si="14"/>
        <v>504</v>
      </c>
      <c r="B507" s="241">
        <v>3461</v>
      </c>
      <c r="C507" s="242" t="s">
        <v>4758</v>
      </c>
      <c r="D507" s="242" t="str">
        <f t="shared" si="15"/>
        <v>ŽUPANIJSKI SUD U SISKU (3461)</v>
      </c>
      <c r="E507" s="242" t="s">
        <v>4759</v>
      </c>
      <c r="F507" s="242" t="s">
        <v>1719</v>
      </c>
      <c r="G507" s="243">
        <v>3314731</v>
      </c>
      <c r="H507" s="244" t="s">
        <v>4760</v>
      </c>
      <c r="J507" s="233"/>
    </row>
    <row r="508" spans="1:10" ht="15" customHeight="1">
      <c r="A508" s="240">
        <f t="shared" ref="A508:A571" si="16">+A507+1</f>
        <v>505</v>
      </c>
      <c r="B508" s="241">
        <v>20778</v>
      </c>
      <c r="C508" s="242" t="s">
        <v>4761</v>
      </c>
      <c r="D508" s="242" t="str">
        <f t="shared" si="15"/>
        <v>ŽUPANIJSKI SUD U SLAVONSKOM BRODU (20778)</v>
      </c>
      <c r="E508" s="242" t="s">
        <v>4762</v>
      </c>
      <c r="F508" s="242" t="s">
        <v>1764</v>
      </c>
      <c r="G508" s="243">
        <v>1228226</v>
      </c>
      <c r="H508" s="244" t="s">
        <v>4763</v>
      </c>
      <c r="J508" s="233"/>
    </row>
    <row r="509" spans="1:10" ht="15" customHeight="1">
      <c r="A509" s="240">
        <f t="shared" si="16"/>
        <v>506</v>
      </c>
      <c r="B509" s="241">
        <v>3470</v>
      </c>
      <c r="C509" s="242" t="s">
        <v>4764</v>
      </c>
      <c r="D509" s="242" t="str">
        <f t="shared" si="15"/>
        <v>ŽUPANIJSKI SUD U SPLITU (3470)</v>
      </c>
      <c r="E509" s="242" t="s">
        <v>4765</v>
      </c>
      <c r="F509" s="242" t="s">
        <v>356</v>
      </c>
      <c r="G509" s="243">
        <v>3118673</v>
      </c>
      <c r="H509" s="244" t="s">
        <v>4766</v>
      </c>
      <c r="J509" s="233"/>
    </row>
    <row r="510" spans="1:10" ht="15" customHeight="1">
      <c r="A510" s="240">
        <f t="shared" si="16"/>
        <v>507</v>
      </c>
      <c r="B510" s="241">
        <v>20786</v>
      </c>
      <c r="C510" s="242" t="s">
        <v>4767</v>
      </c>
      <c r="D510" s="242" t="str">
        <f t="shared" si="15"/>
        <v>ŽUPANIJSKI SUD U ŠIBENIKU (20786)</v>
      </c>
      <c r="E510" s="242" t="s">
        <v>4768</v>
      </c>
      <c r="F510" s="242" t="s">
        <v>520</v>
      </c>
      <c r="G510" s="243">
        <v>3019799</v>
      </c>
      <c r="H510" s="244" t="s">
        <v>4769</v>
      </c>
      <c r="J510" s="233"/>
    </row>
    <row r="511" spans="1:10" ht="15" customHeight="1">
      <c r="A511" s="240">
        <f t="shared" si="16"/>
        <v>508</v>
      </c>
      <c r="B511" s="241">
        <v>3488</v>
      </c>
      <c r="C511" s="242" t="s">
        <v>4770</v>
      </c>
      <c r="D511" s="242" t="str">
        <f t="shared" si="15"/>
        <v>ŽUPANIJSKI SUD U VARAŽDINU (3488)</v>
      </c>
      <c r="E511" s="242" t="s">
        <v>4384</v>
      </c>
      <c r="F511" s="242" t="s">
        <v>441</v>
      </c>
      <c r="G511" s="243">
        <v>3006719</v>
      </c>
      <c r="H511" s="244" t="s">
        <v>4771</v>
      </c>
      <c r="J511" s="233"/>
    </row>
    <row r="512" spans="1:10" ht="15" customHeight="1">
      <c r="A512" s="240">
        <f t="shared" si="16"/>
        <v>509</v>
      </c>
      <c r="B512" s="241">
        <v>23421</v>
      </c>
      <c r="C512" s="242" t="s">
        <v>4772</v>
      </c>
      <c r="D512" s="242" t="str">
        <f t="shared" si="15"/>
        <v>ŽUPANIJSKI SUD U VELIKOJ GORICI (23421)</v>
      </c>
      <c r="E512" s="242" t="s">
        <v>4773</v>
      </c>
      <c r="F512" s="242" t="s">
        <v>3579</v>
      </c>
      <c r="G512" s="243">
        <v>1476351</v>
      </c>
      <c r="H512" s="244" t="s">
        <v>4774</v>
      </c>
      <c r="J512" s="233"/>
    </row>
    <row r="513" spans="1:10" ht="15" customHeight="1">
      <c r="A513" s="240">
        <f t="shared" si="16"/>
        <v>510</v>
      </c>
      <c r="B513" s="241">
        <v>20809</v>
      </c>
      <c r="C513" s="242" t="s">
        <v>4775</v>
      </c>
      <c r="D513" s="242" t="str">
        <f t="shared" si="15"/>
        <v>ŽUPANIJSKI SUD U VUKOVARU (20809)</v>
      </c>
      <c r="E513" s="242" t="s">
        <v>4776</v>
      </c>
      <c r="F513" s="242" t="s">
        <v>497</v>
      </c>
      <c r="G513" s="243">
        <v>1210696</v>
      </c>
      <c r="H513" s="244" t="s">
        <v>4777</v>
      </c>
      <c r="J513" s="233"/>
    </row>
    <row r="514" spans="1:10" ht="15" customHeight="1">
      <c r="A514" s="240">
        <f t="shared" si="16"/>
        <v>511</v>
      </c>
      <c r="B514" s="241">
        <v>3496</v>
      </c>
      <c r="C514" s="242" t="s">
        <v>4778</v>
      </c>
      <c r="D514" s="242" t="str">
        <f t="shared" si="15"/>
        <v>ŽUPANIJSKI SUD U ZADRU (3496)</v>
      </c>
      <c r="E514" s="242" t="s">
        <v>4779</v>
      </c>
      <c r="F514" s="242" t="s">
        <v>312</v>
      </c>
      <c r="G514" s="243">
        <v>3142434</v>
      </c>
      <c r="H514" s="244" t="s">
        <v>4780</v>
      </c>
      <c r="J514" s="233"/>
    </row>
    <row r="515" spans="1:10" ht="15" customHeight="1">
      <c r="A515" s="240">
        <f t="shared" si="16"/>
        <v>512</v>
      </c>
      <c r="B515" s="241">
        <v>3507</v>
      </c>
      <c r="C515" s="242" t="s">
        <v>4781</v>
      </c>
      <c r="D515" s="242" t="str">
        <f t="shared" si="15"/>
        <v>ŽUPANIJSKI SUD U ZAGREBU (3507)</v>
      </c>
      <c r="E515" s="242" t="s">
        <v>4737</v>
      </c>
      <c r="F515" s="242" t="s">
        <v>271</v>
      </c>
      <c r="G515" s="243">
        <v>3206076</v>
      </c>
      <c r="H515" s="244" t="s">
        <v>4782</v>
      </c>
      <c r="J515" s="233"/>
    </row>
    <row r="516" spans="1:10" ht="15" customHeight="1">
      <c r="A516" s="240">
        <f t="shared" si="16"/>
        <v>513</v>
      </c>
      <c r="B516" s="241">
        <v>3515</v>
      </c>
      <c r="C516" s="242" t="s">
        <v>4783</v>
      </c>
      <c r="D516" s="242" t="str">
        <f t="shared" ref="D516:D568" si="17">C516&amp;" ("&amp;B516&amp;")"</f>
        <v>TRGOVAČKI SUD U BJELOVARU (3515)</v>
      </c>
      <c r="E516" s="242" t="s">
        <v>4784</v>
      </c>
      <c r="F516" s="242" t="s">
        <v>3649</v>
      </c>
      <c r="G516" s="243">
        <v>3333299</v>
      </c>
      <c r="H516" s="244" t="s">
        <v>4785</v>
      </c>
      <c r="J516" s="233"/>
    </row>
    <row r="517" spans="1:10" ht="15" customHeight="1">
      <c r="A517" s="240">
        <f t="shared" si="16"/>
        <v>514</v>
      </c>
      <c r="B517" s="241">
        <v>50598</v>
      </c>
      <c r="C517" s="242" t="s">
        <v>4786</v>
      </c>
      <c r="D517" s="242" t="str">
        <f t="shared" si="17"/>
        <v>TRGOVAČKI SUD U DUBROVNIKU (50598)</v>
      </c>
      <c r="E517" s="242" t="s">
        <v>4787</v>
      </c>
      <c r="F517" s="242" t="s">
        <v>309</v>
      </c>
      <c r="G517" s="245" t="s">
        <v>4788</v>
      </c>
      <c r="H517" s="244" t="s">
        <v>4789</v>
      </c>
      <c r="J517" s="233"/>
    </row>
    <row r="518" spans="1:10" ht="15" customHeight="1">
      <c r="A518" s="240">
        <f t="shared" si="16"/>
        <v>515</v>
      </c>
      <c r="B518" s="241">
        <v>3531</v>
      </c>
      <c r="C518" s="242" t="s">
        <v>4790</v>
      </c>
      <c r="D518" s="242" t="str">
        <f t="shared" si="17"/>
        <v>TRGOVAČKI SUD U OSIJEKU (3531)</v>
      </c>
      <c r="E518" s="242" t="s">
        <v>4791</v>
      </c>
      <c r="F518" s="242" t="s">
        <v>274</v>
      </c>
      <c r="G518" s="243">
        <v>3014797</v>
      </c>
      <c r="H518" s="244" t="s">
        <v>4792</v>
      </c>
      <c r="J518" s="233"/>
    </row>
    <row r="519" spans="1:10" ht="15" customHeight="1">
      <c r="A519" s="240">
        <f t="shared" si="16"/>
        <v>516</v>
      </c>
      <c r="B519" s="241">
        <v>48752</v>
      </c>
      <c r="C519" s="242" t="s">
        <v>4793</v>
      </c>
      <c r="D519" s="242" t="str">
        <f t="shared" si="17"/>
        <v>TRGOVAČKI SUD U PAZINU (48752)</v>
      </c>
      <c r="E519" s="242" t="s">
        <v>4794</v>
      </c>
      <c r="F519" s="242" t="s">
        <v>3665</v>
      </c>
      <c r="G519" s="243">
        <v>4344677</v>
      </c>
      <c r="H519" s="244" t="s">
        <v>4795</v>
      </c>
      <c r="J519" s="233"/>
    </row>
    <row r="520" spans="1:10" ht="15" customHeight="1">
      <c r="A520" s="240">
        <f t="shared" si="16"/>
        <v>517</v>
      </c>
      <c r="B520" s="241">
        <v>3540</v>
      </c>
      <c r="C520" s="242" t="s">
        <v>4796</v>
      </c>
      <c r="D520" s="242" t="str">
        <f t="shared" si="17"/>
        <v>TRGOVAČKI SUD U RIJECI (3540)</v>
      </c>
      <c r="E520" s="242" t="s">
        <v>4797</v>
      </c>
      <c r="F520" s="242" t="s">
        <v>316</v>
      </c>
      <c r="G520" s="243">
        <v>3321410</v>
      </c>
      <c r="H520" s="244" t="s">
        <v>4798</v>
      </c>
      <c r="J520" s="233"/>
    </row>
    <row r="521" spans="1:10" ht="15" customHeight="1">
      <c r="A521" s="240">
        <f t="shared" si="16"/>
        <v>518</v>
      </c>
      <c r="B521" s="241">
        <v>3566</v>
      </c>
      <c r="C521" s="242" t="s">
        <v>4799</v>
      </c>
      <c r="D521" s="242" t="str">
        <f t="shared" si="17"/>
        <v>TRGOVAČKI SUD U SPLITU (3566)</v>
      </c>
      <c r="E521" s="242" t="s">
        <v>4800</v>
      </c>
      <c r="F521" s="242" t="s">
        <v>356</v>
      </c>
      <c r="G521" s="243">
        <v>3119505</v>
      </c>
      <c r="H521" s="244" t="s">
        <v>4801</v>
      </c>
      <c r="J521" s="233"/>
    </row>
    <row r="522" spans="1:10" ht="15" customHeight="1">
      <c r="A522" s="240">
        <f t="shared" si="16"/>
        <v>519</v>
      </c>
      <c r="B522" s="241">
        <v>3574</v>
      </c>
      <c r="C522" s="242" t="s">
        <v>4802</v>
      </c>
      <c r="D522" s="242" t="str">
        <f t="shared" si="17"/>
        <v>TRGOVAČKI SUD U VARAŽDINU (3574)</v>
      </c>
      <c r="E522" s="242" t="s">
        <v>4384</v>
      </c>
      <c r="F522" s="242" t="s">
        <v>4803</v>
      </c>
      <c r="G522" s="243">
        <v>3365042</v>
      </c>
      <c r="H522" s="244" t="s">
        <v>4804</v>
      </c>
      <c r="J522" s="233"/>
    </row>
    <row r="523" spans="1:10" ht="15" customHeight="1">
      <c r="A523" s="240">
        <f t="shared" si="16"/>
        <v>520</v>
      </c>
      <c r="B523" s="241">
        <v>23405</v>
      </c>
      <c r="C523" s="242" t="s">
        <v>4805</v>
      </c>
      <c r="D523" s="242" t="str">
        <f t="shared" si="17"/>
        <v>TRGOVAČKI SUD U ZADRU (23405)</v>
      </c>
      <c r="E523" s="242" t="s">
        <v>4806</v>
      </c>
      <c r="F523" s="242" t="s">
        <v>312</v>
      </c>
      <c r="G523" s="243">
        <v>1476793</v>
      </c>
      <c r="H523" s="244" t="s">
        <v>4807</v>
      </c>
      <c r="J523" s="233"/>
    </row>
    <row r="524" spans="1:10" ht="15" customHeight="1">
      <c r="A524" s="240">
        <f t="shared" si="16"/>
        <v>521</v>
      </c>
      <c r="B524" s="241">
        <v>20735</v>
      </c>
      <c r="C524" s="242" t="s">
        <v>4808</v>
      </c>
      <c r="D524" s="242" t="str">
        <f t="shared" si="17"/>
        <v>TRGOVAČKI SUD U ZAGREBU (20735)</v>
      </c>
      <c r="E524" s="242" t="s">
        <v>4809</v>
      </c>
      <c r="F524" s="242" t="s">
        <v>271</v>
      </c>
      <c r="G524" s="243">
        <v>3206092</v>
      </c>
      <c r="H524" s="244" t="s">
        <v>4810</v>
      </c>
      <c r="J524" s="233"/>
    </row>
    <row r="525" spans="1:10" ht="15" customHeight="1">
      <c r="A525" s="240">
        <f t="shared" si="16"/>
        <v>522</v>
      </c>
      <c r="B525" s="241">
        <v>20647</v>
      </c>
      <c r="C525" s="242" t="s">
        <v>4811</v>
      </c>
      <c r="D525" s="242" t="str">
        <f t="shared" si="17"/>
        <v>ŽUPANIJSKO DRŽAVNO ODVJETNIŠTVO U BJELOVARU (20647)</v>
      </c>
      <c r="E525" s="242" t="s">
        <v>4812</v>
      </c>
      <c r="F525" s="242" t="s">
        <v>3649</v>
      </c>
      <c r="G525" s="243">
        <v>3308685</v>
      </c>
      <c r="H525" s="244" t="s">
        <v>4813</v>
      </c>
      <c r="J525" s="233"/>
    </row>
    <row r="526" spans="1:10" ht="15" customHeight="1">
      <c r="A526" s="240">
        <f t="shared" si="16"/>
        <v>523</v>
      </c>
      <c r="B526" s="241">
        <v>3599</v>
      </c>
      <c r="C526" s="242" t="s">
        <v>4814</v>
      </c>
      <c r="D526" s="242" t="str">
        <f t="shared" si="17"/>
        <v>ŽUPANIJSKO DRŽAVNO ODVJETNIŠTVO U DUBROVNIKU (3599)</v>
      </c>
      <c r="E526" s="242" t="s">
        <v>4787</v>
      </c>
      <c r="F526" s="242" t="s">
        <v>309</v>
      </c>
      <c r="G526" s="243">
        <v>3304698</v>
      </c>
      <c r="H526" s="244" t="s">
        <v>4815</v>
      </c>
      <c r="J526" s="233"/>
    </row>
    <row r="527" spans="1:10" ht="15" customHeight="1">
      <c r="A527" s="240">
        <f t="shared" si="16"/>
        <v>524</v>
      </c>
      <c r="B527" s="241">
        <v>3611</v>
      </c>
      <c r="C527" s="242" t="s">
        <v>4816</v>
      </c>
      <c r="D527" s="242" t="str">
        <f t="shared" si="17"/>
        <v>ŽUPANIJSKO DRŽAVNO ODVJETNIŠTVO U KARLOVCU (3611)</v>
      </c>
      <c r="E527" s="242" t="s">
        <v>4746</v>
      </c>
      <c r="F527" s="242" t="s">
        <v>509</v>
      </c>
      <c r="G527" s="243">
        <v>3123545</v>
      </c>
      <c r="H527" s="244" t="s">
        <v>4817</v>
      </c>
      <c r="J527" s="233"/>
    </row>
    <row r="528" spans="1:10" ht="15" customHeight="1">
      <c r="A528" s="240">
        <f t="shared" si="16"/>
        <v>525</v>
      </c>
      <c r="B528" s="241">
        <v>3620</v>
      </c>
      <c r="C528" s="242" t="s">
        <v>4818</v>
      </c>
      <c r="D528" s="242" t="str">
        <f t="shared" si="17"/>
        <v>ŽUPANIJSKO DRŽAVNO ODVJETNIŠTVO U OSIJEKU (3620)</v>
      </c>
      <c r="E528" s="242" t="s">
        <v>4819</v>
      </c>
      <c r="F528" s="242" t="s">
        <v>274</v>
      </c>
      <c r="G528" s="243">
        <v>3014835</v>
      </c>
      <c r="H528" s="244" t="s">
        <v>4820</v>
      </c>
      <c r="J528" s="233"/>
    </row>
    <row r="529" spans="1:10" ht="15" customHeight="1">
      <c r="A529" s="240">
        <f t="shared" si="16"/>
        <v>526</v>
      </c>
      <c r="B529" s="241">
        <v>3646</v>
      </c>
      <c r="C529" s="242" t="s">
        <v>4821</v>
      </c>
      <c r="D529" s="242" t="str">
        <f t="shared" si="17"/>
        <v>ŽUPANIJSKO DRŽAVNO ODVJETNIŠTVO U PULI - POLA (3646)</v>
      </c>
      <c r="E529" s="242" t="s">
        <v>4822</v>
      </c>
      <c r="F529" s="242" t="s">
        <v>302</v>
      </c>
      <c r="G529" s="243">
        <v>3204154</v>
      </c>
      <c r="H529" s="244" t="s">
        <v>4823</v>
      </c>
      <c r="J529" s="233"/>
    </row>
    <row r="530" spans="1:10" ht="15" customHeight="1">
      <c r="A530" s="240">
        <f t="shared" si="16"/>
        <v>527</v>
      </c>
      <c r="B530" s="241">
        <v>3654</v>
      </c>
      <c r="C530" s="242" t="s">
        <v>4824</v>
      </c>
      <c r="D530" s="242" t="str">
        <f t="shared" si="17"/>
        <v>ŽUPANIJSKO DRŽAVNO ODVJETNIŠTVO U RIJECI (3654)</v>
      </c>
      <c r="E530" s="242" t="s">
        <v>4825</v>
      </c>
      <c r="F530" s="242" t="s">
        <v>316</v>
      </c>
      <c r="G530" s="243">
        <v>3332101</v>
      </c>
      <c r="H530" s="244" t="s">
        <v>4826</v>
      </c>
      <c r="J530" s="233"/>
    </row>
    <row r="531" spans="1:10" ht="15" customHeight="1">
      <c r="A531" s="240">
        <f t="shared" si="16"/>
        <v>528</v>
      </c>
      <c r="B531" s="241">
        <v>3662</v>
      </c>
      <c r="C531" s="242" t="s">
        <v>4827</v>
      </c>
      <c r="D531" s="242" t="str">
        <f t="shared" si="17"/>
        <v>ŽUPANIJSKO DRŽAVNO ODVJETNIŠTVO U SISKU (3662)</v>
      </c>
      <c r="E531" s="242" t="s">
        <v>4828</v>
      </c>
      <c r="F531" s="242" t="s">
        <v>1719</v>
      </c>
      <c r="G531" s="243">
        <v>3314758</v>
      </c>
      <c r="H531" s="244" t="s">
        <v>4829</v>
      </c>
      <c r="J531" s="233"/>
    </row>
    <row r="532" spans="1:10" ht="15" customHeight="1">
      <c r="A532" s="240">
        <f t="shared" si="16"/>
        <v>529</v>
      </c>
      <c r="B532" s="241">
        <v>23456</v>
      </c>
      <c r="C532" s="242" t="s">
        <v>4830</v>
      </c>
      <c r="D532" s="242" t="str">
        <f t="shared" si="17"/>
        <v>ŽUPANIJSKO DRŽAVNO ODVJETNIŠTVO U SLAVONSKOM BRODU (23456)</v>
      </c>
      <c r="E532" s="242" t="s">
        <v>4831</v>
      </c>
      <c r="F532" s="242" t="s">
        <v>1764</v>
      </c>
      <c r="G532" s="243">
        <v>1490141</v>
      </c>
      <c r="H532" s="244" t="s">
        <v>4832</v>
      </c>
      <c r="J532" s="233"/>
    </row>
    <row r="533" spans="1:10" ht="15" customHeight="1">
      <c r="A533" s="240">
        <f t="shared" si="16"/>
        <v>530</v>
      </c>
      <c r="B533" s="241">
        <v>3679</v>
      </c>
      <c r="C533" s="242" t="s">
        <v>4833</v>
      </c>
      <c r="D533" s="242" t="str">
        <f t="shared" si="17"/>
        <v>ŽUPANIJSKO DRŽAVNO ODVJETNIŠTVO U SPLITU (3679)</v>
      </c>
      <c r="E533" s="242" t="s">
        <v>4834</v>
      </c>
      <c r="F533" s="242" t="s">
        <v>356</v>
      </c>
      <c r="G533" s="243">
        <v>3118681</v>
      </c>
      <c r="H533" s="244" t="s">
        <v>4835</v>
      </c>
      <c r="J533" s="233"/>
    </row>
    <row r="534" spans="1:10" ht="15" customHeight="1">
      <c r="A534" s="240">
        <f t="shared" si="16"/>
        <v>531</v>
      </c>
      <c r="B534" s="241">
        <v>3687</v>
      </c>
      <c r="C534" s="242" t="s">
        <v>4836</v>
      </c>
      <c r="D534" s="242" t="str">
        <f t="shared" si="17"/>
        <v>ŽUPANIJSKO DRŽAVNO ODVJETNIŠTVO U ŠIBENIKU (3687)</v>
      </c>
      <c r="E534" s="242" t="s">
        <v>4768</v>
      </c>
      <c r="F534" s="242" t="s">
        <v>520</v>
      </c>
      <c r="G534" s="243">
        <v>3023508</v>
      </c>
      <c r="H534" s="244" t="s">
        <v>4837</v>
      </c>
      <c r="J534" s="233"/>
    </row>
    <row r="535" spans="1:10" ht="15" customHeight="1">
      <c r="A535" s="240">
        <f t="shared" si="16"/>
        <v>532</v>
      </c>
      <c r="B535" s="241">
        <v>3695</v>
      </c>
      <c r="C535" s="242" t="s">
        <v>4838</v>
      </c>
      <c r="D535" s="242" t="str">
        <f t="shared" si="17"/>
        <v>ŽUPANIJSKO DRŽAVNO ODVJETNIŠTVO U VARAŽDINU (3695)</v>
      </c>
      <c r="E535" s="242" t="s">
        <v>4384</v>
      </c>
      <c r="F535" s="242" t="s">
        <v>441</v>
      </c>
      <c r="G535" s="243">
        <v>3006743</v>
      </c>
      <c r="H535" s="244" t="s">
        <v>4839</v>
      </c>
      <c r="J535" s="233"/>
    </row>
    <row r="536" spans="1:10" ht="15" customHeight="1">
      <c r="A536" s="240">
        <f t="shared" si="16"/>
        <v>533</v>
      </c>
      <c r="B536" s="241">
        <v>23807</v>
      </c>
      <c r="C536" s="242" t="s">
        <v>4840</v>
      </c>
      <c r="D536" s="242" t="str">
        <f t="shared" si="17"/>
        <v>ŽUPANIJSKO DRŽAVNO ODVJETNIŠTVO U VELIKOJ GORICI (23807)</v>
      </c>
      <c r="E536" s="242" t="s">
        <v>4841</v>
      </c>
      <c r="F536" s="242" t="s">
        <v>3579</v>
      </c>
      <c r="G536" s="243">
        <v>1693646</v>
      </c>
      <c r="H536" s="244" t="s">
        <v>4842</v>
      </c>
      <c r="J536" s="233"/>
    </row>
    <row r="537" spans="1:10" ht="15" customHeight="1">
      <c r="A537" s="240">
        <f t="shared" si="16"/>
        <v>534</v>
      </c>
      <c r="B537" s="241">
        <v>21949</v>
      </c>
      <c r="C537" s="242" t="s">
        <v>4843</v>
      </c>
      <c r="D537" s="242" t="str">
        <f t="shared" si="17"/>
        <v>ŽUPANIJSKO DRŽAVNO ODVJETNIŠTVO U VUKOVARU (21949)</v>
      </c>
      <c r="E537" s="242" t="s">
        <v>4844</v>
      </c>
      <c r="F537" s="242" t="s">
        <v>497</v>
      </c>
      <c r="G537" s="243">
        <v>1312278</v>
      </c>
      <c r="H537" s="244" t="s">
        <v>4845</v>
      </c>
      <c r="J537" s="233"/>
    </row>
    <row r="538" spans="1:10" ht="15" customHeight="1">
      <c r="A538" s="240">
        <f t="shared" si="16"/>
        <v>535</v>
      </c>
      <c r="B538" s="241">
        <v>3700</v>
      </c>
      <c r="C538" s="242" t="s">
        <v>4846</v>
      </c>
      <c r="D538" s="242" t="str">
        <f t="shared" si="17"/>
        <v>ŽUPANIJSKO DRŽAVNO ODVJETNIŠTVO U ZADRU (3700)</v>
      </c>
      <c r="E538" s="242" t="s">
        <v>4779</v>
      </c>
      <c r="F538" s="242" t="s">
        <v>312</v>
      </c>
      <c r="G538" s="243">
        <v>3142469</v>
      </c>
      <c r="H538" s="244" t="s">
        <v>4847</v>
      </c>
      <c r="J538" s="233"/>
    </row>
    <row r="539" spans="1:10" ht="15" customHeight="1">
      <c r="A539" s="240">
        <f t="shared" si="16"/>
        <v>536</v>
      </c>
      <c r="B539" s="241">
        <v>3718</v>
      </c>
      <c r="C539" s="242" t="s">
        <v>4848</v>
      </c>
      <c r="D539" s="242" t="str">
        <f t="shared" si="17"/>
        <v>ŽUPANIJSKO DRŽAVNO ODVJETNIŠTVO U ZAGREBU (3718)</v>
      </c>
      <c r="E539" s="242" t="s">
        <v>4849</v>
      </c>
      <c r="F539" s="242" t="s">
        <v>271</v>
      </c>
      <c r="G539" s="243">
        <v>3277143</v>
      </c>
      <c r="H539" s="244" t="s">
        <v>4850</v>
      </c>
      <c r="J539" s="233"/>
    </row>
    <row r="540" spans="1:10" ht="15" customHeight="1">
      <c r="A540" s="240">
        <f t="shared" si="16"/>
        <v>537</v>
      </c>
      <c r="B540" s="241">
        <v>42910</v>
      </c>
      <c r="C540" s="242" t="s">
        <v>4851</v>
      </c>
      <c r="D540" s="242" t="str">
        <f t="shared" si="17"/>
        <v>OPĆINSKI GRAĐANSKI SUD U ZAGREBU (42910)</v>
      </c>
      <c r="E540" s="242" t="s">
        <v>4852</v>
      </c>
      <c r="F540" s="242" t="s">
        <v>271</v>
      </c>
      <c r="G540" s="243">
        <v>2279215</v>
      </c>
      <c r="H540" s="244" t="s">
        <v>4853</v>
      </c>
      <c r="J540" s="233"/>
    </row>
    <row r="541" spans="1:10" ht="15" customHeight="1">
      <c r="A541" s="240">
        <f t="shared" si="16"/>
        <v>538</v>
      </c>
      <c r="B541" s="241">
        <v>42928</v>
      </c>
      <c r="C541" s="242" t="s">
        <v>4854</v>
      </c>
      <c r="D541" s="242" t="str">
        <f t="shared" si="17"/>
        <v>OPĆINSKI KAZNENI SUD U ZAGREBU (42928)</v>
      </c>
      <c r="E541" s="242" t="s">
        <v>4855</v>
      </c>
      <c r="F541" s="242" t="s">
        <v>271</v>
      </c>
      <c r="G541" s="243">
        <v>2279223</v>
      </c>
      <c r="H541" s="244" t="s">
        <v>4856</v>
      </c>
      <c r="J541" s="233"/>
    </row>
    <row r="542" spans="1:10" ht="15" customHeight="1">
      <c r="A542" s="240">
        <f t="shared" si="16"/>
        <v>539</v>
      </c>
      <c r="B542" s="241">
        <v>20622</v>
      </c>
      <c r="C542" s="242" t="s">
        <v>4857</v>
      </c>
      <c r="D542" s="242" t="str">
        <f t="shared" si="17"/>
        <v>OPĆINSKI PREKRŠAJNI SUD U SPLITU (20622)</v>
      </c>
      <c r="E542" s="242" t="s">
        <v>4858</v>
      </c>
      <c r="F542" s="242" t="s">
        <v>356</v>
      </c>
      <c r="G542" s="243">
        <v>3133800</v>
      </c>
      <c r="H542" s="244" t="s">
        <v>4859</v>
      </c>
      <c r="J542" s="233"/>
    </row>
    <row r="543" spans="1:10" ht="15" customHeight="1">
      <c r="A543" s="240">
        <f t="shared" si="16"/>
        <v>540</v>
      </c>
      <c r="B543" s="241">
        <v>20454</v>
      </c>
      <c r="C543" s="242" t="s">
        <v>4860</v>
      </c>
      <c r="D543" s="242" t="str">
        <f t="shared" si="17"/>
        <v>OPĆINSKI PREKRŠAJNI SUD U ZAGREBU (20454)</v>
      </c>
      <c r="E543" s="242" t="s">
        <v>4861</v>
      </c>
      <c r="F543" s="242" t="s">
        <v>271</v>
      </c>
      <c r="G543" s="243">
        <v>3206041</v>
      </c>
      <c r="H543" s="244" t="s">
        <v>4862</v>
      </c>
      <c r="J543" s="233"/>
    </row>
    <row r="544" spans="1:10" s="233" customFormat="1" ht="15" customHeight="1">
      <c r="A544" s="240">
        <f t="shared" si="16"/>
        <v>541</v>
      </c>
      <c r="B544" s="241">
        <v>46841</v>
      </c>
      <c r="C544" s="242" t="s">
        <v>4863</v>
      </c>
      <c r="D544" s="242" t="str">
        <f t="shared" si="17"/>
        <v>OPĆINSKI RADNI SUD U ZAGREBU (46841)</v>
      </c>
      <c r="E544" s="242" t="s">
        <v>4852</v>
      </c>
      <c r="F544" s="242" t="s">
        <v>271</v>
      </c>
      <c r="G544" s="243">
        <v>2808285</v>
      </c>
      <c r="H544" s="244" t="s">
        <v>4864</v>
      </c>
    </row>
    <row r="545" spans="1:10" ht="15" customHeight="1">
      <c r="A545" s="240">
        <f t="shared" si="16"/>
        <v>542</v>
      </c>
      <c r="B545" s="241">
        <v>3742</v>
      </c>
      <c r="C545" s="242" t="s">
        <v>4865</v>
      </c>
      <c r="D545" s="242" t="str">
        <f t="shared" si="17"/>
        <v>OPĆINSKI SUD U BJELOVARU (3742)</v>
      </c>
      <c r="E545" s="242" t="s">
        <v>4866</v>
      </c>
      <c r="F545" s="242" t="s">
        <v>3649</v>
      </c>
      <c r="G545" s="243">
        <v>3317072</v>
      </c>
      <c r="H545" s="244" t="s">
        <v>4867</v>
      </c>
      <c r="J545" s="233"/>
    </row>
    <row r="546" spans="1:10" ht="15" customHeight="1">
      <c r="A546" s="240">
        <f t="shared" si="16"/>
        <v>543</v>
      </c>
      <c r="B546" s="241">
        <v>50514</v>
      </c>
      <c r="C546" s="242" t="s">
        <v>4868</v>
      </c>
      <c r="D546" s="242" t="str">
        <f t="shared" si="17"/>
        <v>OPĆINSKI SUD U CRIKVENICI (50514)</v>
      </c>
      <c r="E546" s="242" t="s">
        <v>4869</v>
      </c>
      <c r="F546" s="242" t="s">
        <v>4073</v>
      </c>
      <c r="G546" s="245" t="s">
        <v>4870</v>
      </c>
      <c r="H546" s="244" t="s">
        <v>4871</v>
      </c>
      <c r="J546" s="233"/>
    </row>
    <row r="547" spans="1:10" ht="15" customHeight="1">
      <c r="A547" s="240">
        <f t="shared" si="16"/>
        <v>544</v>
      </c>
      <c r="B547" s="241">
        <v>3783</v>
      </c>
      <c r="C547" s="242" t="s">
        <v>4872</v>
      </c>
      <c r="D547" s="242" t="str">
        <f t="shared" si="17"/>
        <v>OPĆINSKI SUD U ČAKOVCU (3783)</v>
      </c>
      <c r="E547" s="242" t="s">
        <v>4873</v>
      </c>
      <c r="F547" s="242" t="s">
        <v>490</v>
      </c>
      <c r="G547" s="243">
        <v>3110761</v>
      </c>
      <c r="H547" s="244" t="s">
        <v>4874</v>
      </c>
      <c r="J547" s="233"/>
    </row>
    <row r="548" spans="1:10" ht="15" customHeight="1">
      <c r="A548" s="240">
        <f t="shared" si="16"/>
        <v>545</v>
      </c>
      <c r="B548" s="241">
        <v>3847</v>
      </c>
      <c r="C548" s="242" t="s">
        <v>4875</v>
      </c>
      <c r="D548" s="242" t="str">
        <f t="shared" si="17"/>
        <v>OPĆINSKI SUD U DUBROVNIKU (3847)</v>
      </c>
      <c r="E548" s="242" t="s">
        <v>4787</v>
      </c>
      <c r="F548" s="242" t="s">
        <v>309</v>
      </c>
      <c r="G548" s="243">
        <v>3304671</v>
      </c>
      <c r="H548" s="244" t="s">
        <v>4876</v>
      </c>
      <c r="J548" s="233"/>
    </row>
    <row r="549" spans="1:10" ht="15" customHeight="1">
      <c r="A549" s="240">
        <f t="shared" si="16"/>
        <v>546</v>
      </c>
      <c r="B549" s="241">
        <v>50522</v>
      </c>
      <c r="C549" s="242" t="s">
        <v>4877</v>
      </c>
      <c r="D549" s="242" t="str">
        <f t="shared" si="17"/>
        <v>OPĆINSKI SUD U ĐAKOVU (50522)</v>
      </c>
      <c r="E549" s="242" t="s">
        <v>4878</v>
      </c>
      <c r="F549" s="242" t="s">
        <v>295</v>
      </c>
      <c r="G549" s="245" t="s">
        <v>4879</v>
      </c>
      <c r="H549" s="244" t="s">
        <v>4880</v>
      </c>
      <c r="J549" s="233"/>
    </row>
    <row r="550" spans="1:10" ht="15" customHeight="1">
      <c r="A550" s="240">
        <f t="shared" si="16"/>
        <v>547</v>
      </c>
      <c r="B550" s="241">
        <v>3919</v>
      </c>
      <c r="C550" s="242" t="s">
        <v>4881</v>
      </c>
      <c r="D550" s="242" t="str">
        <f t="shared" si="17"/>
        <v>OPĆINSKI SUD U GOSPIĆU (3919)</v>
      </c>
      <c r="E550" s="242" t="s">
        <v>4882</v>
      </c>
      <c r="F550" s="242" t="s">
        <v>505</v>
      </c>
      <c r="G550" s="243">
        <v>3315886</v>
      </c>
      <c r="H550" s="244" t="s">
        <v>4883</v>
      </c>
      <c r="J550" s="233"/>
    </row>
    <row r="551" spans="1:10" ht="15" customHeight="1">
      <c r="A551" s="240">
        <f t="shared" si="16"/>
        <v>548</v>
      </c>
      <c r="B551" s="241">
        <v>20892</v>
      </c>
      <c r="C551" s="242" t="s">
        <v>4884</v>
      </c>
      <c r="D551" s="242" t="str">
        <f t="shared" si="17"/>
        <v>OPĆINSKI SUD U KARLOVCU (20892)</v>
      </c>
      <c r="E551" s="242" t="s">
        <v>4746</v>
      </c>
      <c r="F551" s="242" t="s">
        <v>509</v>
      </c>
      <c r="G551" s="243">
        <v>3123499</v>
      </c>
      <c r="H551" s="244" t="s">
        <v>4885</v>
      </c>
      <c r="J551" s="233"/>
    </row>
    <row r="552" spans="1:10" ht="15" customHeight="1">
      <c r="A552" s="240">
        <f t="shared" si="16"/>
        <v>549</v>
      </c>
      <c r="B552" s="241">
        <v>3994</v>
      </c>
      <c r="C552" s="242" t="s">
        <v>4886</v>
      </c>
      <c r="D552" s="242" t="str">
        <f t="shared" si="17"/>
        <v>OPĆINSKI SUD U KOPRIVNICI (3994)</v>
      </c>
      <c r="E552" s="242" t="s">
        <v>4887</v>
      </c>
      <c r="F552" s="242" t="s">
        <v>305</v>
      </c>
      <c r="G552" s="243">
        <v>3010805</v>
      </c>
      <c r="H552" s="244" t="s">
        <v>4888</v>
      </c>
      <c r="J552" s="233"/>
    </row>
    <row r="553" spans="1:10" ht="15" customHeight="1">
      <c r="A553" s="240">
        <f t="shared" si="16"/>
        <v>550</v>
      </c>
      <c r="B553" s="241">
        <v>50539</v>
      </c>
      <c r="C553" s="242" t="s">
        <v>4889</v>
      </c>
      <c r="D553" s="242" t="str">
        <f t="shared" si="17"/>
        <v>OPĆINSKI SUD U KUTINI (50539)</v>
      </c>
      <c r="E553" s="242" t="s">
        <v>4890</v>
      </c>
      <c r="F553" s="242" t="s">
        <v>4274</v>
      </c>
      <c r="G553" s="245" t="s">
        <v>4891</v>
      </c>
      <c r="H553" s="244" t="s">
        <v>4892</v>
      </c>
      <c r="J553" s="233"/>
    </row>
    <row r="554" spans="1:10" ht="15" customHeight="1">
      <c r="A554" s="240">
        <f t="shared" si="16"/>
        <v>551</v>
      </c>
      <c r="B554" s="241">
        <v>50547</v>
      </c>
      <c r="C554" s="242" t="s">
        <v>4893</v>
      </c>
      <c r="D554" s="242" t="str">
        <f t="shared" si="17"/>
        <v>OPĆINSKI SUD U MAKARSKOJ (50547)</v>
      </c>
      <c r="E554" s="242" t="s">
        <v>4894</v>
      </c>
      <c r="F554" s="242" t="s">
        <v>3932</v>
      </c>
      <c r="G554" s="245" t="s">
        <v>4895</v>
      </c>
      <c r="H554" s="244" t="s">
        <v>4896</v>
      </c>
      <c r="J554" s="233"/>
    </row>
    <row r="555" spans="1:10" ht="15" customHeight="1">
      <c r="A555" s="240">
        <f t="shared" si="16"/>
        <v>552</v>
      </c>
      <c r="B555" s="241">
        <v>50555</v>
      </c>
      <c r="C555" s="242" t="s">
        <v>4897</v>
      </c>
      <c r="D555" s="242" t="str">
        <f t="shared" si="17"/>
        <v>OPĆINSKI SUD U METKOVIĆU (50555)</v>
      </c>
      <c r="E555" s="242" t="s">
        <v>4898</v>
      </c>
      <c r="F555" s="242" t="s">
        <v>4289</v>
      </c>
      <c r="G555" s="245" t="s">
        <v>4899</v>
      </c>
      <c r="H555" s="244" t="s">
        <v>4900</v>
      </c>
      <c r="J555" s="233"/>
    </row>
    <row r="556" spans="1:10" ht="15" customHeight="1">
      <c r="A556" s="240">
        <f t="shared" si="16"/>
        <v>553</v>
      </c>
      <c r="B556" s="241">
        <v>48769</v>
      </c>
      <c r="C556" s="242" t="s">
        <v>4901</v>
      </c>
      <c r="D556" s="242" t="str">
        <f t="shared" si="17"/>
        <v>OPĆINSKI SUD U NOVOM ZAGREBU (48769)</v>
      </c>
      <c r="E556" s="242" t="s">
        <v>4902</v>
      </c>
      <c r="F556" s="242" t="s">
        <v>271</v>
      </c>
      <c r="G556" s="243">
        <v>4341872</v>
      </c>
      <c r="H556" s="244" t="s">
        <v>4903</v>
      </c>
      <c r="J556" s="233"/>
    </row>
    <row r="557" spans="1:10" ht="15" customHeight="1">
      <c r="A557" s="240">
        <f t="shared" si="16"/>
        <v>554</v>
      </c>
      <c r="B557" s="241">
        <v>4132</v>
      </c>
      <c r="C557" s="242" t="s">
        <v>4904</v>
      </c>
      <c r="D557" s="242" t="str">
        <f t="shared" si="17"/>
        <v>OPĆINSKI SUD U OSIJEKU (4132)</v>
      </c>
      <c r="E557" s="242" t="s">
        <v>4905</v>
      </c>
      <c r="F557" s="242" t="s">
        <v>274</v>
      </c>
      <c r="G557" s="243">
        <v>3014789</v>
      </c>
      <c r="H557" s="244" t="s">
        <v>4906</v>
      </c>
      <c r="J557" s="233"/>
    </row>
    <row r="558" spans="1:10" ht="15" customHeight="1">
      <c r="A558" s="240">
        <f t="shared" si="16"/>
        <v>555</v>
      </c>
      <c r="B558" s="241">
        <v>50563</v>
      </c>
      <c r="C558" s="242" t="s">
        <v>4907</v>
      </c>
      <c r="D558" s="242" t="str">
        <f t="shared" si="17"/>
        <v>OPĆINSKI SUD U PAZINU (50563)</v>
      </c>
      <c r="E558" s="242" t="s">
        <v>4908</v>
      </c>
      <c r="F558" s="242" t="s">
        <v>3665</v>
      </c>
      <c r="G558" s="245" t="s">
        <v>4909</v>
      </c>
      <c r="H558" s="244" t="s">
        <v>4910</v>
      </c>
      <c r="J558" s="233"/>
    </row>
    <row r="559" spans="1:10" ht="15" customHeight="1">
      <c r="A559" s="240">
        <f t="shared" si="16"/>
        <v>556</v>
      </c>
      <c r="B559" s="241">
        <v>4212</v>
      </c>
      <c r="C559" s="242" t="s">
        <v>4911</v>
      </c>
      <c r="D559" s="242" t="str">
        <f t="shared" si="17"/>
        <v>OPĆINSKI SUD U POŽEGI (4212)</v>
      </c>
      <c r="E559" s="242" t="s">
        <v>4912</v>
      </c>
      <c r="F559" s="242" t="s">
        <v>513</v>
      </c>
      <c r="G559" s="243">
        <v>3310302</v>
      </c>
      <c r="H559" s="244" t="s">
        <v>4913</v>
      </c>
      <c r="J559" s="233"/>
    </row>
    <row r="560" spans="1:10" ht="15" customHeight="1">
      <c r="A560" s="240">
        <f t="shared" si="16"/>
        <v>557</v>
      </c>
      <c r="B560" s="241">
        <v>4237</v>
      </c>
      <c r="C560" s="242" t="s">
        <v>4914</v>
      </c>
      <c r="D560" s="242" t="str">
        <f t="shared" si="17"/>
        <v>OPĆINSKI SUD U PULI - POLA (4237)</v>
      </c>
      <c r="E560" s="242" t="s">
        <v>4915</v>
      </c>
      <c r="F560" s="242" t="s">
        <v>302</v>
      </c>
      <c r="G560" s="243">
        <v>3204120</v>
      </c>
      <c r="H560" s="244" t="s">
        <v>4916</v>
      </c>
      <c r="J560" s="233"/>
    </row>
    <row r="561" spans="1:10" ht="15" customHeight="1">
      <c r="A561" s="240">
        <f t="shared" si="16"/>
        <v>558</v>
      </c>
      <c r="B561" s="241">
        <v>4253</v>
      </c>
      <c r="C561" s="242" t="s">
        <v>4917</v>
      </c>
      <c r="D561" s="242" t="str">
        <f t="shared" si="17"/>
        <v>OPĆINSKI SUD U RIJECI (4253)</v>
      </c>
      <c r="E561" s="242" t="s">
        <v>4756</v>
      </c>
      <c r="F561" s="242" t="s">
        <v>316</v>
      </c>
      <c r="G561" s="243">
        <v>3321428</v>
      </c>
      <c r="H561" s="244" t="s">
        <v>4918</v>
      </c>
      <c r="J561" s="233"/>
    </row>
    <row r="562" spans="1:10" ht="15" customHeight="1">
      <c r="A562" s="240">
        <f t="shared" si="16"/>
        <v>559</v>
      </c>
      <c r="B562" s="241">
        <v>50571</v>
      </c>
      <c r="C562" s="242" t="s">
        <v>4919</v>
      </c>
      <c r="D562" s="242" t="str">
        <f t="shared" si="17"/>
        <v>OPĆINSKI SUD U SESVETAMA (50571)</v>
      </c>
      <c r="E562" s="242" t="s">
        <v>4920</v>
      </c>
      <c r="F562" s="242" t="s">
        <v>4921</v>
      </c>
      <c r="G562" s="245" t="s">
        <v>4922</v>
      </c>
      <c r="H562" s="244" t="s">
        <v>4923</v>
      </c>
      <c r="J562" s="233"/>
    </row>
    <row r="563" spans="1:10" ht="15" customHeight="1">
      <c r="A563" s="240">
        <f t="shared" si="16"/>
        <v>560</v>
      </c>
      <c r="B563" s="241">
        <v>4307</v>
      </c>
      <c r="C563" s="242" t="s">
        <v>4924</v>
      </c>
      <c r="D563" s="242" t="str">
        <f t="shared" si="17"/>
        <v>OPĆINSKI SUD U SISKU (4307)</v>
      </c>
      <c r="E563" s="242" t="s">
        <v>4759</v>
      </c>
      <c r="F563" s="242" t="s">
        <v>1719</v>
      </c>
      <c r="G563" s="243">
        <v>3314723</v>
      </c>
      <c r="H563" s="244" t="s">
        <v>4925</v>
      </c>
      <c r="J563" s="233"/>
    </row>
    <row r="564" spans="1:10" ht="15" customHeight="1">
      <c r="A564" s="240">
        <f t="shared" si="16"/>
        <v>561</v>
      </c>
      <c r="B564" s="241">
        <v>4323</v>
      </c>
      <c r="C564" s="242" t="s">
        <v>4926</v>
      </c>
      <c r="D564" s="242" t="str">
        <f t="shared" si="17"/>
        <v>OPĆINSKI SUD U SLAVONSKOM BRODU (4323)</v>
      </c>
      <c r="E564" s="242" t="s">
        <v>4927</v>
      </c>
      <c r="F564" s="242" t="s">
        <v>1764</v>
      </c>
      <c r="G564" s="243">
        <v>3071456</v>
      </c>
      <c r="H564" s="244" t="s">
        <v>4928</v>
      </c>
      <c r="J564" s="233"/>
    </row>
    <row r="565" spans="1:10" ht="15" customHeight="1">
      <c r="A565" s="240">
        <f t="shared" si="16"/>
        <v>562</v>
      </c>
      <c r="B565" s="241">
        <v>21004</v>
      </c>
      <c r="C565" s="242" t="s">
        <v>4929</v>
      </c>
      <c r="D565" s="242" t="str">
        <f t="shared" si="17"/>
        <v>OPĆINSKI SUD U SPLITU (21004)</v>
      </c>
      <c r="E565" s="242" t="s">
        <v>4930</v>
      </c>
      <c r="F565" s="242" t="s">
        <v>356</v>
      </c>
      <c r="G565" s="243">
        <v>3118665</v>
      </c>
      <c r="H565" s="244" t="s">
        <v>4931</v>
      </c>
      <c r="J565" s="233"/>
    </row>
    <row r="566" spans="1:10" ht="15" customHeight="1">
      <c r="A566" s="240">
        <f t="shared" si="16"/>
        <v>563</v>
      </c>
      <c r="B566" s="241">
        <v>4340</v>
      </c>
      <c r="C566" s="242" t="s">
        <v>4932</v>
      </c>
      <c r="D566" s="242" t="str">
        <f t="shared" si="17"/>
        <v>OPĆINSKI SUD U ŠIBENIKU (4340)</v>
      </c>
      <c r="E566" s="242" t="s">
        <v>4768</v>
      </c>
      <c r="F566" s="242" t="s">
        <v>520</v>
      </c>
      <c r="G566" s="243">
        <v>3019772</v>
      </c>
      <c r="H566" s="244" t="s">
        <v>4933</v>
      </c>
      <c r="J566" s="233"/>
    </row>
    <row r="567" spans="1:10" ht="15" customHeight="1">
      <c r="A567" s="240">
        <f t="shared" si="16"/>
        <v>564</v>
      </c>
      <c r="B567" s="241">
        <v>4366</v>
      </c>
      <c r="C567" s="242" t="s">
        <v>4934</v>
      </c>
      <c r="D567" s="242" t="str">
        <f t="shared" si="17"/>
        <v>OPĆINSKI SUD U VARAŽDINU (4366)</v>
      </c>
      <c r="E567" s="242" t="s">
        <v>4384</v>
      </c>
      <c r="F567" s="242" t="s">
        <v>441</v>
      </c>
      <c r="G567" s="243">
        <v>3006697</v>
      </c>
      <c r="H567" s="244" t="s">
        <v>4935</v>
      </c>
      <c r="J567" s="233"/>
    </row>
    <row r="568" spans="1:10" ht="15" customHeight="1">
      <c r="A568" s="240">
        <f t="shared" si="16"/>
        <v>565</v>
      </c>
      <c r="B568" s="241">
        <v>4374</v>
      </c>
      <c r="C568" s="242" t="s">
        <v>4936</v>
      </c>
      <c r="D568" s="242" t="str">
        <f t="shared" si="17"/>
        <v>OPĆINSKI SUD U VELIKOJ GORICI (4374)</v>
      </c>
      <c r="E568" s="242" t="s">
        <v>4937</v>
      </c>
      <c r="F568" s="242" t="s">
        <v>3579</v>
      </c>
      <c r="G568" s="243">
        <v>3216365</v>
      </c>
      <c r="H568" s="244" t="s">
        <v>4938</v>
      </c>
      <c r="J568" s="233"/>
    </row>
    <row r="569" spans="1:10" ht="15" customHeight="1">
      <c r="A569" s="240">
        <f t="shared" si="16"/>
        <v>566</v>
      </c>
      <c r="B569" s="241">
        <v>50580</v>
      </c>
      <c r="C569" s="242" t="s">
        <v>4939</v>
      </c>
      <c r="D569" s="242" t="str">
        <f>C569&amp;" ("&amp;B569&amp;")"</f>
        <v>OPĆINSKI SUD U VINKOVCIMA (50580)</v>
      </c>
      <c r="E569" s="242" t="s">
        <v>4940</v>
      </c>
      <c r="F569" s="242" t="s">
        <v>4444</v>
      </c>
      <c r="G569" s="245" t="s">
        <v>4941</v>
      </c>
      <c r="H569" s="244" t="s">
        <v>4942</v>
      </c>
      <c r="J569" s="233"/>
    </row>
    <row r="570" spans="1:10" ht="15" customHeight="1">
      <c r="A570" s="240">
        <f t="shared" si="16"/>
        <v>567</v>
      </c>
      <c r="B570" s="241">
        <v>4399</v>
      </c>
      <c r="C570" s="242" t="s">
        <v>4943</v>
      </c>
      <c r="D570" s="242" t="str">
        <f t="shared" ref="D570:D614" si="18">C570&amp;" ("&amp;B570&amp;")"</f>
        <v>OPĆINSKI SUD U VIROVITICI (4399)</v>
      </c>
      <c r="E570" s="242" t="s">
        <v>4944</v>
      </c>
      <c r="F570" s="242" t="s">
        <v>523</v>
      </c>
      <c r="G570" s="243">
        <v>3106071</v>
      </c>
      <c r="H570" s="244" t="s">
        <v>4945</v>
      </c>
      <c r="J570" s="233"/>
    </row>
    <row r="571" spans="1:10" ht="15" customHeight="1">
      <c r="A571" s="240">
        <f t="shared" si="16"/>
        <v>568</v>
      </c>
      <c r="B571" s="241">
        <v>4420</v>
      </c>
      <c r="C571" s="242" t="s">
        <v>4946</v>
      </c>
      <c r="D571" s="242" t="str">
        <f t="shared" si="18"/>
        <v>OPĆINSKI SUD U VUKOVARU (4420)</v>
      </c>
      <c r="E571" s="242" t="s">
        <v>4947</v>
      </c>
      <c r="F571" s="242" t="s">
        <v>497</v>
      </c>
      <c r="G571" s="243">
        <v>3008886</v>
      </c>
      <c r="H571" s="244" t="s">
        <v>4948</v>
      </c>
      <c r="J571" s="233"/>
    </row>
    <row r="572" spans="1:10" ht="15" customHeight="1">
      <c r="A572" s="240">
        <f t="shared" ref="A572:A614" si="19">+A571+1</f>
        <v>569</v>
      </c>
      <c r="B572" s="241">
        <v>4446</v>
      </c>
      <c r="C572" s="242" t="s">
        <v>4949</v>
      </c>
      <c r="D572" s="242" t="str">
        <f t="shared" si="18"/>
        <v>OPĆINSKI SUD U ZADRU (4446)</v>
      </c>
      <c r="E572" s="242" t="s">
        <v>4779</v>
      </c>
      <c r="F572" s="242" t="s">
        <v>312</v>
      </c>
      <c r="G572" s="243">
        <v>3142442</v>
      </c>
      <c r="H572" s="244" t="s">
        <v>4950</v>
      </c>
      <c r="J572" s="233"/>
    </row>
    <row r="573" spans="1:10" ht="15" customHeight="1">
      <c r="A573" s="240">
        <f t="shared" si="19"/>
        <v>570</v>
      </c>
      <c r="B573" s="241">
        <v>4462</v>
      </c>
      <c r="C573" s="242" t="s">
        <v>4951</v>
      </c>
      <c r="D573" s="242" t="str">
        <f t="shared" si="18"/>
        <v>OPĆINSKI SUD U ZLATARU (4462)</v>
      </c>
      <c r="E573" s="242" t="s">
        <v>4952</v>
      </c>
      <c r="F573" s="242" t="s">
        <v>4953</v>
      </c>
      <c r="G573" s="243">
        <v>3100952</v>
      </c>
      <c r="H573" s="244" t="s">
        <v>4954</v>
      </c>
      <c r="J573" s="233"/>
    </row>
    <row r="574" spans="1:10" ht="15" customHeight="1">
      <c r="A574" s="240">
        <f t="shared" si="19"/>
        <v>571</v>
      </c>
      <c r="B574" s="241">
        <v>4500</v>
      </c>
      <c r="C574" s="242" t="s">
        <v>4955</v>
      </c>
      <c r="D574" s="242" t="str">
        <f t="shared" si="18"/>
        <v>OPĆINSKO DRŽAVNO ODVJETNIŠTVO U BJELOVARU (4500)</v>
      </c>
      <c r="E574" s="242" t="s">
        <v>4740</v>
      </c>
      <c r="F574" s="242" t="s">
        <v>3649</v>
      </c>
      <c r="G574" s="243">
        <v>3308693</v>
      </c>
      <c r="H574" s="244" t="s">
        <v>4956</v>
      </c>
      <c r="J574" s="233"/>
    </row>
    <row r="575" spans="1:10" ht="15" customHeight="1">
      <c r="A575" s="240">
        <f t="shared" si="19"/>
        <v>572</v>
      </c>
      <c r="B575" s="241">
        <v>4526</v>
      </c>
      <c r="C575" s="242" t="s">
        <v>4957</v>
      </c>
      <c r="D575" s="242" t="str">
        <f t="shared" si="18"/>
        <v>OPĆINSKO DRŽAVNO ODVJETNIŠTVO U ČAKOVCU (4526)</v>
      </c>
      <c r="E575" s="242" t="s">
        <v>4873</v>
      </c>
      <c r="F575" s="242" t="s">
        <v>490</v>
      </c>
      <c r="G575" s="243">
        <v>3110770</v>
      </c>
      <c r="H575" s="244" t="s">
        <v>4958</v>
      </c>
      <c r="J575" s="233"/>
    </row>
    <row r="576" spans="1:10" ht="15" customHeight="1">
      <c r="A576" s="240">
        <f t="shared" si="19"/>
        <v>573</v>
      </c>
      <c r="B576" s="241">
        <v>4567</v>
      </c>
      <c r="C576" s="242" t="s">
        <v>4959</v>
      </c>
      <c r="D576" s="242" t="str">
        <f t="shared" si="18"/>
        <v>OPĆINSKO DRŽAVNO ODVJETNIŠTVO U DUBROVNIKU (4567)</v>
      </c>
      <c r="E576" s="242" t="s">
        <v>4787</v>
      </c>
      <c r="F576" s="242" t="s">
        <v>309</v>
      </c>
      <c r="G576" s="243">
        <v>3364968</v>
      </c>
      <c r="H576" s="244" t="s">
        <v>4960</v>
      </c>
      <c r="J576" s="233"/>
    </row>
    <row r="577" spans="1:10" ht="15" customHeight="1">
      <c r="A577" s="240">
        <f t="shared" si="19"/>
        <v>574</v>
      </c>
      <c r="B577" s="241">
        <v>4606</v>
      </c>
      <c r="C577" s="242" t="s">
        <v>4961</v>
      </c>
      <c r="D577" s="242" t="str">
        <f t="shared" si="18"/>
        <v>OPĆINSKO DRŽAVNO ODVJETNIŠTVO U GOSPIĆU (4606)</v>
      </c>
      <c r="E577" s="242" t="s">
        <v>4882</v>
      </c>
      <c r="F577" s="242" t="s">
        <v>505</v>
      </c>
      <c r="G577" s="243">
        <v>3315908</v>
      </c>
      <c r="H577" s="244" t="s">
        <v>4962</v>
      </c>
      <c r="J577" s="233"/>
    </row>
    <row r="578" spans="1:10" ht="15" customHeight="1">
      <c r="A578" s="240">
        <f t="shared" si="19"/>
        <v>575</v>
      </c>
      <c r="B578" s="241">
        <v>20270</v>
      </c>
      <c r="C578" s="242" t="s">
        <v>4963</v>
      </c>
      <c r="D578" s="242" t="str">
        <f t="shared" si="18"/>
        <v>OPĆINSKO DRŽAVNO ODVJETNIŠTVO U KARLOVCU (20270)</v>
      </c>
      <c r="E578" s="242" t="s">
        <v>4746</v>
      </c>
      <c r="F578" s="242" t="s">
        <v>509</v>
      </c>
      <c r="G578" s="243">
        <v>3123537</v>
      </c>
      <c r="H578" s="244" t="s">
        <v>4964</v>
      </c>
      <c r="J578" s="233"/>
    </row>
    <row r="579" spans="1:10" ht="15" customHeight="1">
      <c r="A579" s="240">
        <f t="shared" si="19"/>
        <v>576</v>
      </c>
      <c r="B579" s="241">
        <v>4655</v>
      </c>
      <c r="C579" s="242" t="s">
        <v>4965</v>
      </c>
      <c r="D579" s="242" t="str">
        <f t="shared" si="18"/>
        <v>OPĆINSKO DRŽAVNO ODVJETNIŠTVO U KOPRIVNICI (4655)</v>
      </c>
      <c r="E579" s="242" t="s">
        <v>4966</v>
      </c>
      <c r="F579" s="242" t="s">
        <v>305</v>
      </c>
      <c r="G579" s="243">
        <v>3010813</v>
      </c>
      <c r="H579" s="244" t="s">
        <v>4967</v>
      </c>
      <c r="J579" s="233"/>
    </row>
    <row r="580" spans="1:10" ht="15" customHeight="1">
      <c r="A580" s="240">
        <f t="shared" si="19"/>
        <v>577</v>
      </c>
      <c r="B580" s="241">
        <v>50483</v>
      </c>
      <c r="C580" s="242" t="s">
        <v>4968</v>
      </c>
      <c r="D580" s="242" t="str">
        <f t="shared" si="18"/>
        <v>OPĆINSKO DRŽAVNO ODVJETNIŠTVO U METKOVIĆU (50483)</v>
      </c>
      <c r="E580" s="242" t="s">
        <v>4898</v>
      </c>
      <c r="F580" s="242" t="s">
        <v>4289</v>
      </c>
      <c r="G580" s="245" t="s">
        <v>4969</v>
      </c>
      <c r="H580" s="244" t="s">
        <v>4970</v>
      </c>
      <c r="J580" s="233"/>
    </row>
    <row r="581" spans="1:10" ht="15" customHeight="1">
      <c r="A581" s="240">
        <f t="shared" si="19"/>
        <v>578</v>
      </c>
      <c r="B581" s="241">
        <v>48785</v>
      </c>
      <c r="C581" s="242" t="s">
        <v>4971</v>
      </c>
      <c r="D581" s="242" t="str">
        <f t="shared" si="18"/>
        <v>OPĆINSKO DRŽAVNO ODVJETNIŠTVO U NOVOM ZAGREBU (48785)</v>
      </c>
      <c r="E581" s="242" t="s">
        <v>4902</v>
      </c>
      <c r="F581" s="242" t="s">
        <v>271</v>
      </c>
      <c r="G581" s="243">
        <v>4355784</v>
      </c>
      <c r="H581" s="244" t="s">
        <v>4972</v>
      </c>
      <c r="J581" s="233"/>
    </row>
    <row r="582" spans="1:10" ht="15" customHeight="1">
      <c r="A582" s="240">
        <f t="shared" si="19"/>
        <v>579</v>
      </c>
      <c r="B582" s="241">
        <v>4760</v>
      </c>
      <c r="C582" s="242" t="s">
        <v>4973</v>
      </c>
      <c r="D582" s="242" t="str">
        <f t="shared" si="18"/>
        <v>OPĆINSKO DRŽAVNO ODVJETNIŠTVO U OSIJEKU (4760)</v>
      </c>
      <c r="E582" s="242" t="s">
        <v>4974</v>
      </c>
      <c r="F582" s="242" t="s">
        <v>274</v>
      </c>
      <c r="G582" s="243">
        <v>3014827</v>
      </c>
      <c r="H582" s="244" t="s">
        <v>4975</v>
      </c>
      <c r="J582" s="233"/>
    </row>
    <row r="583" spans="1:10" ht="15" customHeight="1">
      <c r="A583" s="240">
        <f t="shared" si="19"/>
        <v>580</v>
      </c>
      <c r="B583" s="241">
        <v>50491</v>
      </c>
      <c r="C583" s="242" t="s">
        <v>4976</v>
      </c>
      <c r="D583" s="242" t="str">
        <f t="shared" si="18"/>
        <v>OPĆINSKO DRŽAVNO ODVJETNIŠTVO U PAZINU (50491)</v>
      </c>
      <c r="E583" s="242" t="s">
        <v>4977</v>
      </c>
      <c r="F583" s="242" t="s">
        <v>3665</v>
      </c>
      <c r="G583" s="245" t="s">
        <v>4978</v>
      </c>
      <c r="H583" s="263" t="s">
        <v>4979</v>
      </c>
      <c r="J583" s="233"/>
    </row>
    <row r="584" spans="1:10" ht="15" customHeight="1">
      <c r="A584" s="240">
        <f t="shared" si="19"/>
        <v>581</v>
      </c>
      <c r="B584" s="241">
        <v>4809</v>
      </c>
      <c r="C584" s="242" t="s">
        <v>4980</v>
      </c>
      <c r="D584" s="242" t="str">
        <f t="shared" si="18"/>
        <v>OPĆINSKO DRŽAVNO ODVJETNIŠTVO U POŽEGI (4809)</v>
      </c>
      <c r="E584" s="242" t="s">
        <v>4912</v>
      </c>
      <c r="F584" s="242" t="s">
        <v>513</v>
      </c>
      <c r="G584" s="243">
        <v>3310744</v>
      </c>
      <c r="H584" s="244" t="s">
        <v>4981</v>
      </c>
      <c r="J584" s="233"/>
    </row>
    <row r="585" spans="1:10" ht="15" customHeight="1">
      <c r="A585" s="240">
        <f t="shared" si="19"/>
        <v>582</v>
      </c>
      <c r="B585" s="241">
        <v>4817</v>
      </c>
      <c r="C585" s="242" t="s">
        <v>4982</v>
      </c>
      <c r="D585" s="242" t="str">
        <f t="shared" si="18"/>
        <v>OPĆINSKO DRŽAVNO ODVJETNIŠTVO U PULI - POLA (4817)</v>
      </c>
      <c r="E585" s="242" t="s">
        <v>4822</v>
      </c>
      <c r="F585" s="242" t="s">
        <v>302</v>
      </c>
      <c r="G585" s="243">
        <v>3204146</v>
      </c>
      <c r="H585" s="244" t="s">
        <v>4983</v>
      </c>
      <c r="J585" s="233"/>
    </row>
    <row r="586" spans="1:10" ht="15" customHeight="1">
      <c r="A586" s="240">
        <f t="shared" si="19"/>
        <v>583</v>
      </c>
      <c r="B586" s="241">
        <v>4825</v>
      </c>
      <c r="C586" s="242" t="s">
        <v>4984</v>
      </c>
      <c r="D586" s="242" t="str">
        <f t="shared" si="18"/>
        <v>OPĆINSKO DRŽAVNO ODVJETNIŠTVO U RIJECI (4825)</v>
      </c>
      <c r="E586" s="242" t="s">
        <v>4985</v>
      </c>
      <c r="F586" s="242" t="s">
        <v>316</v>
      </c>
      <c r="G586" s="243">
        <v>3321436</v>
      </c>
      <c r="H586" s="244" t="s">
        <v>4986</v>
      </c>
      <c r="J586" s="233"/>
    </row>
    <row r="587" spans="1:10" ht="15" customHeight="1">
      <c r="A587" s="240">
        <f t="shared" si="19"/>
        <v>584</v>
      </c>
      <c r="B587" s="241">
        <v>4868</v>
      </c>
      <c r="C587" s="242" t="s">
        <v>4987</v>
      </c>
      <c r="D587" s="242" t="str">
        <f t="shared" si="18"/>
        <v>OPĆINSKO DRŽAVNO ODVJETNIŠTVO U SISKU (4868)</v>
      </c>
      <c r="E587" s="242" t="s">
        <v>4828</v>
      </c>
      <c r="F587" s="242" t="s">
        <v>1719</v>
      </c>
      <c r="G587" s="243">
        <v>3314740</v>
      </c>
      <c r="H587" s="244" t="s">
        <v>4988</v>
      </c>
      <c r="J587" s="233"/>
    </row>
    <row r="588" spans="1:10" ht="15" customHeight="1">
      <c r="A588" s="240">
        <f t="shared" si="19"/>
        <v>585</v>
      </c>
      <c r="B588" s="241">
        <v>4876</v>
      </c>
      <c r="C588" s="242" t="s">
        <v>4989</v>
      </c>
      <c r="D588" s="242" t="str">
        <f t="shared" si="18"/>
        <v>OPĆINSKO DRŽAVNO ODVJETNIŠTVO U SLAVONSKOM BRODU (4876)</v>
      </c>
      <c r="E588" s="242" t="s">
        <v>4990</v>
      </c>
      <c r="F588" s="242" t="s">
        <v>1764</v>
      </c>
      <c r="G588" s="243">
        <v>3071472</v>
      </c>
      <c r="H588" s="244" t="s">
        <v>4991</v>
      </c>
      <c r="J588" s="233"/>
    </row>
    <row r="589" spans="1:10" ht="15" customHeight="1">
      <c r="A589" s="240">
        <f t="shared" si="19"/>
        <v>586</v>
      </c>
      <c r="B589" s="241">
        <v>4884</v>
      </c>
      <c r="C589" s="242" t="s">
        <v>4992</v>
      </c>
      <c r="D589" s="242" t="str">
        <f t="shared" si="18"/>
        <v>OPĆINSKO DRŽAVNO ODVJETNIŠTVO U SPLITU (4884)</v>
      </c>
      <c r="E589" s="242" t="s">
        <v>4993</v>
      </c>
      <c r="F589" s="242" t="s">
        <v>356</v>
      </c>
      <c r="G589" s="243">
        <v>3161242</v>
      </c>
      <c r="H589" s="244" t="s">
        <v>4994</v>
      </c>
      <c r="J589" s="233"/>
    </row>
    <row r="590" spans="1:10" ht="15" customHeight="1">
      <c r="A590" s="240">
        <f t="shared" si="19"/>
        <v>587</v>
      </c>
      <c r="B590" s="241">
        <v>4892</v>
      </c>
      <c r="C590" s="242" t="s">
        <v>4995</v>
      </c>
      <c r="D590" s="242" t="str">
        <f t="shared" si="18"/>
        <v>OPĆINSKO DRŽAVNO ODVJETNIŠTVO U ŠIBENIKU (4892)</v>
      </c>
      <c r="E590" s="242" t="s">
        <v>4996</v>
      </c>
      <c r="F590" s="242" t="s">
        <v>520</v>
      </c>
      <c r="G590" s="243">
        <v>3019829</v>
      </c>
      <c r="H590" s="244" t="s">
        <v>4997</v>
      </c>
      <c r="J590" s="233"/>
    </row>
    <row r="591" spans="1:10" ht="15" customHeight="1">
      <c r="A591" s="240">
        <f t="shared" si="19"/>
        <v>588</v>
      </c>
      <c r="B591" s="241">
        <v>4913</v>
      </c>
      <c r="C591" s="242" t="s">
        <v>4998</v>
      </c>
      <c r="D591" s="242" t="str">
        <f t="shared" si="18"/>
        <v>OPĆINSKO DRŽAVNO ODVJETNIŠTVO U VARAŽDINU (4913)</v>
      </c>
      <c r="E591" s="242" t="s">
        <v>4999</v>
      </c>
      <c r="F591" s="242" t="s">
        <v>4803</v>
      </c>
      <c r="G591" s="243">
        <v>3006735</v>
      </c>
      <c r="H591" s="244" t="s">
        <v>5000</v>
      </c>
      <c r="J591" s="233"/>
    </row>
    <row r="592" spans="1:10" ht="15" customHeight="1">
      <c r="A592" s="240">
        <f t="shared" si="19"/>
        <v>589</v>
      </c>
      <c r="B592" s="241">
        <v>4921</v>
      </c>
      <c r="C592" s="242" t="s">
        <v>5001</v>
      </c>
      <c r="D592" s="242" t="str">
        <f t="shared" si="18"/>
        <v>OPĆINSKO DRŽAVNO ODVJETNIŠTVO U VELIKOJ GORICI (4921)</v>
      </c>
      <c r="E592" s="242" t="s">
        <v>4937</v>
      </c>
      <c r="F592" s="242" t="s">
        <v>3579</v>
      </c>
      <c r="G592" s="243">
        <v>3216373</v>
      </c>
      <c r="H592" s="244" t="s">
        <v>5002</v>
      </c>
      <c r="J592" s="233"/>
    </row>
    <row r="593" spans="1:10" ht="15" customHeight="1">
      <c r="A593" s="240">
        <f t="shared" si="19"/>
        <v>590</v>
      </c>
      <c r="B593" s="241">
        <v>50506</v>
      </c>
      <c r="C593" s="242" t="s">
        <v>5003</v>
      </c>
      <c r="D593" s="242" t="str">
        <f t="shared" si="18"/>
        <v>OPĆINSKO DRŽAVNO ODVJETNIŠTVO U VINKOVCIMA (50506)</v>
      </c>
      <c r="E593" s="242" t="s">
        <v>4878</v>
      </c>
      <c r="F593" s="242" t="s">
        <v>4444</v>
      </c>
      <c r="G593" s="245" t="s">
        <v>5004</v>
      </c>
      <c r="H593" s="244" t="s">
        <v>5005</v>
      </c>
      <c r="J593" s="233"/>
    </row>
    <row r="594" spans="1:10" ht="15" customHeight="1">
      <c r="A594" s="240">
        <f t="shared" si="19"/>
        <v>591</v>
      </c>
      <c r="B594" s="241">
        <v>4948</v>
      </c>
      <c r="C594" s="242" t="s">
        <v>5006</v>
      </c>
      <c r="D594" s="242" t="str">
        <f t="shared" si="18"/>
        <v>OPĆINSKO DRŽAVNO ODVJETNIŠTVO U VIROVITICI (4948)</v>
      </c>
      <c r="E594" s="242" t="s">
        <v>5007</v>
      </c>
      <c r="F594" s="242" t="s">
        <v>523</v>
      </c>
      <c r="G594" s="243">
        <v>3149625</v>
      </c>
      <c r="H594" s="244" t="s">
        <v>5008</v>
      </c>
      <c r="J594" s="233"/>
    </row>
    <row r="595" spans="1:10" ht="15" customHeight="1">
      <c r="A595" s="240">
        <f t="shared" si="19"/>
        <v>592</v>
      </c>
      <c r="B595" s="241">
        <v>4956</v>
      </c>
      <c r="C595" s="242" t="s">
        <v>5009</v>
      </c>
      <c r="D595" s="242" t="str">
        <f t="shared" si="18"/>
        <v>OPĆINSKO DRŽAVNO ODVJETNIŠTVO U VUKOVARU (4956)</v>
      </c>
      <c r="E595" s="242" t="s">
        <v>4844</v>
      </c>
      <c r="F595" s="242" t="s">
        <v>497</v>
      </c>
      <c r="G595" s="243">
        <v>3008894</v>
      </c>
      <c r="H595" s="244" t="s">
        <v>5010</v>
      </c>
      <c r="J595" s="233"/>
    </row>
    <row r="596" spans="1:10" ht="15" customHeight="1">
      <c r="A596" s="240">
        <f t="shared" si="19"/>
        <v>593</v>
      </c>
      <c r="B596" s="241">
        <v>4972</v>
      </c>
      <c r="C596" s="242" t="s">
        <v>5011</v>
      </c>
      <c r="D596" s="242" t="str">
        <f t="shared" si="18"/>
        <v>OPĆINSKO DRŽAVNO ODVJETNIŠTVO U ZADRU (4972)</v>
      </c>
      <c r="E596" s="242" t="s">
        <v>5012</v>
      </c>
      <c r="F596" s="242" t="s">
        <v>312</v>
      </c>
      <c r="G596" s="243">
        <v>3174786</v>
      </c>
      <c r="H596" s="244" t="s">
        <v>5013</v>
      </c>
      <c r="J596" s="233"/>
    </row>
    <row r="597" spans="1:10" ht="15" customHeight="1">
      <c r="A597" s="240">
        <f t="shared" si="19"/>
        <v>594</v>
      </c>
      <c r="B597" s="241">
        <v>4989</v>
      </c>
      <c r="C597" s="242" t="s">
        <v>5014</v>
      </c>
      <c r="D597" s="242" t="str">
        <f t="shared" si="18"/>
        <v>OPĆINSKO KAZNENO DRŽAVNO ODVJETNIŠTVO U ZAGREBU (4989)</v>
      </c>
      <c r="E597" s="242" t="s">
        <v>5015</v>
      </c>
      <c r="F597" s="242" t="s">
        <v>271</v>
      </c>
      <c r="G597" s="243">
        <v>3277135</v>
      </c>
      <c r="H597" s="244" t="s">
        <v>5016</v>
      </c>
      <c r="J597" s="233"/>
    </row>
    <row r="598" spans="1:10" ht="15" customHeight="1">
      <c r="A598" s="240">
        <f t="shared" si="19"/>
        <v>595</v>
      </c>
      <c r="B598" s="241">
        <v>4997</v>
      </c>
      <c r="C598" s="242" t="s">
        <v>5017</v>
      </c>
      <c r="D598" s="242" t="str">
        <f t="shared" si="18"/>
        <v>OPĆINSKO DRŽAVNO ODVJETNIŠTVO U ZLATARU (4997)</v>
      </c>
      <c r="E598" s="242" t="s">
        <v>4952</v>
      </c>
      <c r="F598" s="242" t="s">
        <v>4953</v>
      </c>
      <c r="G598" s="243">
        <v>3433811</v>
      </c>
      <c r="H598" s="244" t="s">
        <v>5018</v>
      </c>
      <c r="J598" s="233"/>
    </row>
    <row r="599" spans="1:10" ht="15" customHeight="1">
      <c r="A599" s="240">
        <f t="shared" si="19"/>
        <v>596</v>
      </c>
      <c r="B599" s="241">
        <v>52356</v>
      </c>
      <c r="C599" s="242" t="s">
        <v>5019</v>
      </c>
      <c r="D599" s="242" t="str">
        <f t="shared" si="18"/>
        <v>OPĆINSKO GRAĐANSKO DRŽAVNO ODVJETNIŠTVO U ZAGREBU (52356)</v>
      </c>
      <c r="E599" s="242" t="s">
        <v>5020</v>
      </c>
      <c r="F599" s="242" t="s">
        <v>271</v>
      </c>
      <c r="G599" s="243">
        <v>5545471</v>
      </c>
      <c r="H599" s="244" t="s">
        <v>5021</v>
      </c>
      <c r="J599" s="233"/>
    </row>
    <row r="600" spans="1:10" ht="15" customHeight="1">
      <c r="A600" s="240">
        <f t="shared" si="19"/>
        <v>597</v>
      </c>
      <c r="B600" s="241">
        <v>23649</v>
      </c>
      <c r="C600" s="242" t="s">
        <v>5022</v>
      </c>
      <c r="D600" s="242" t="str">
        <f t="shared" si="18"/>
        <v>DRŽAVNO ODVJETNIŠTVO URED ZA SUZBIJANJE KORUPCIJE I ORGANIZIRANOG KRIMINALITETA  (23649)</v>
      </c>
      <c r="E600" s="242" t="s">
        <v>5023</v>
      </c>
      <c r="F600" s="242" t="s">
        <v>271</v>
      </c>
      <c r="G600" s="243">
        <v>1597965</v>
      </c>
      <c r="H600" s="244" t="s">
        <v>5024</v>
      </c>
      <c r="J600" s="233"/>
    </row>
    <row r="601" spans="1:10" ht="15" customHeight="1">
      <c r="A601" s="240">
        <f t="shared" si="19"/>
        <v>598</v>
      </c>
      <c r="B601" s="241">
        <v>46420</v>
      </c>
      <c r="C601" s="266" t="s">
        <v>5025</v>
      </c>
      <c r="D601" s="242" t="str">
        <f t="shared" si="18"/>
        <v>DRŽAVNA ŠKOLA ZA JAVNU UPRAVU (46420)</v>
      </c>
      <c r="E601" s="242" t="s">
        <v>5026</v>
      </c>
      <c r="F601" s="242" t="s">
        <v>271</v>
      </c>
      <c r="G601" s="243">
        <v>2720736</v>
      </c>
      <c r="H601" s="244" t="s">
        <v>5027</v>
      </c>
      <c r="J601" s="233"/>
    </row>
    <row r="602" spans="1:10" ht="15" customHeight="1">
      <c r="A602" s="228">
        <f t="shared" si="19"/>
        <v>599</v>
      </c>
      <c r="B602" s="235">
        <v>6040</v>
      </c>
      <c r="C602" s="236" t="s">
        <v>5028</v>
      </c>
      <c r="D602" s="242" t="str">
        <f t="shared" si="18"/>
        <v>URED PUČKOG PRAVOBRANITELJA (6040)</v>
      </c>
      <c r="E602" s="236" t="s">
        <v>5029</v>
      </c>
      <c r="F602" s="236" t="s">
        <v>271</v>
      </c>
      <c r="G602" s="237">
        <v>515655</v>
      </c>
      <c r="H602" s="238" t="s">
        <v>5030</v>
      </c>
      <c r="J602" s="233"/>
    </row>
    <row r="603" spans="1:10" ht="15" customHeight="1">
      <c r="A603" s="228">
        <f t="shared" si="19"/>
        <v>600</v>
      </c>
      <c r="B603" s="235">
        <v>24027</v>
      </c>
      <c r="C603" s="236" t="s">
        <v>5031</v>
      </c>
      <c r="D603" s="242" t="str">
        <f t="shared" si="18"/>
        <v>PRAVOBRANITELJ ZA DJECU (24027)</v>
      </c>
      <c r="E603" s="236" t="s">
        <v>5032</v>
      </c>
      <c r="F603" s="236" t="s">
        <v>271</v>
      </c>
      <c r="G603" s="237">
        <v>1748068</v>
      </c>
      <c r="H603" s="238" t="s">
        <v>5033</v>
      </c>
      <c r="J603" s="233"/>
    </row>
    <row r="604" spans="1:10" ht="15" customHeight="1">
      <c r="A604" s="228">
        <f t="shared" si="19"/>
        <v>601</v>
      </c>
      <c r="B604" s="235">
        <v>24060</v>
      </c>
      <c r="C604" s="236" t="s">
        <v>5034</v>
      </c>
      <c r="D604" s="242" t="str">
        <f t="shared" si="18"/>
        <v>PRAVOBRANITELJ/ICA ZA RAVNOPRAVNOST SPOLOVA (24060)</v>
      </c>
      <c r="E604" s="236" t="s">
        <v>5035</v>
      </c>
      <c r="F604" s="236" t="s">
        <v>271</v>
      </c>
      <c r="G604" s="237">
        <v>1768832</v>
      </c>
      <c r="H604" s="238" t="s">
        <v>5036</v>
      </c>
      <c r="J604" s="233"/>
    </row>
    <row r="605" spans="1:10" ht="15" customHeight="1">
      <c r="A605" s="228">
        <f t="shared" si="19"/>
        <v>602</v>
      </c>
      <c r="B605" s="235">
        <v>43564</v>
      </c>
      <c r="C605" s="236" t="s">
        <v>5037</v>
      </c>
      <c r="D605" s="242" t="str">
        <f t="shared" si="18"/>
        <v>PRAVOBRANITELJICA ZA OSOBE S INVALIDITETOM (43564)</v>
      </c>
      <c r="E605" s="236" t="s">
        <v>5038</v>
      </c>
      <c r="F605" s="236" t="s">
        <v>271</v>
      </c>
      <c r="G605" s="237">
        <v>2397161</v>
      </c>
      <c r="H605" s="238" t="s">
        <v>5039</v>
      </c>
      <c r="J605" s="233"/>
    </row>
    <row r="606" spans="1:10" ht="15" customHeight="1">
      <c r="A606" s="228">
        <f t="shared" si="19"/>
        <v>603</v>
      </c>
      <c r="B606" s="235">
        <v>6099</v>
      </c>
      <c r="C606" s="236" t="s">
        <v>5040</v>
      </c>
      <c r="D606" s="242" t="str">
        <f t="shared" si="18"/>
        <v>DRŽAVNI ZAVOD ZA STATISTIKU (6099)</v>
      </c>
      <c r="E606" s="236" t="s">
        <v>5041</v>
      </c>
      <c r="F606" s="236" t="s">
        <v>271</v>
      </c>
      <c r="G606" s="237">
        <v>3220338</v>
      </c>
      <c r="H606" s="238" t="s">
        <v>5042</v>
      </c>
      <c r="J606" s="233"/>
    </row>
    <row r="607" spans="1:10" ht="15" customHeight="1">
      <c r="A607" s="228">
        <f t="shared" si="19"/>
        <v>604</v>
      </c>
      <c r="B607" s="235">
        <v>6138</v>
      </c>
      <c r="C607" s="236" t="s">
        <v>5043</v>
      </c>
      <c r="D607" s="242" t="str">
        <f t="shared" si="18"/>
        <v>DRŽAVNI URED ZA REVIZIJU (6138)</v>
      </c>
      <c r="E607" s="236" t="s">
        <v>5044</v>
      </c>
      <c r="F607" s="236" t="s">
        <v>271</v>
      </c>
      <c r="G607" s="237">
        <v>687979</v>
      </c>
      <c r="H607" s="238" t="s">
        <v>5045</v>
      </c>
      <c r="J607" s="233"/>
    </row>
    <row r="608" spans="1:10" ht="15" customHeight="1">
      <c r="A608" s="228">
        <f t="shared" si="19"/>
        <v>605</v>
      </c>
      <c r="B608" s="235">
        <v>24094</v>
      </c>
      <c r="C608" s="236" t="s">
        <v>5046</v>
      </c>
      <c r="D608" s="242" t="str">
        <f t="shared" si="18"/>
        <v>DRŽAVNA KOMISIJA ZA KONTROLU POSTUPAKA JAVNE NABAVE (24094)</v>
      </c>
      <c r="E608" s="236" t="s">
        <v>5047</v>
      </c>
      <c r="F608" s="236" t="s">
        <v>271</v>
      </c>
      <c r="G608" s="237">
        <v>1777831</v>
      </c>
      <c r="H608" s="238" t="s">
        <v>5048</v>
      </c>
      <c r="J608" s="233"/>
    </row>
    <row r="609" spans="1:10" ht="15" customHeight="1">
      <c r="A609" s="228">
        <f t="shared" si="19"/>
        <v>606</v>
      </c>
      <c r="B609" s="235">
        <v>50709</v>
      </c>
      <c r="C609" s="236" t="s">
        <v>5049</v>
      </c>
      <c r="D609" s="242" t="str">
        <f t="shared" si="18"/>
        <v>DRŽAVNI INSPEKTORAT (50709)</v>
      </c>
      <c r="E609" s="236" t="s">
        <v>5050</v>
      </c>
      <c r="F609" s="236" t="s">
        <v>271</v>
      </c>
      <c r="G609" s="237">
        <v>5068711</v>
      </c>
      <c r="H609" s="238" t="s">
        <v>5051</v>
      </c>
      <c r="J609" s="233"/>
    </row>
    <row r="610" spans="1:10" ht="15" customHeight="1">
      <c r="A610" s="228">
        <f t="shared" si="19"/>
        <v>607</v>
      </c>
      <c r="B610" s="235">
        <v>23987</v>
      </c>
      <c r="C610" s="236" t="s">
        <v>5052</v>
      </c>
      <c r="D610" s="242" t="str">
        <f t="shared" si="18"/>
        <v>URED VIJEĆA ZA NACIONALNU SIGURNOST (23987)</v>
      </c>
      <c r="E610" s="236" t="s">
        <v>5053</v>
      </c>
      <c r="F610" s="236" t="s">
        <v>271</v>
      </c>
      <c r="G610" s="237">
        <v>1730100</v>
      </c>
      <c r="H610" s="238" t="s">
        <v>5054</v>
      </c>
      <c r="J610" s="233"/>
    </row>
    <row r="611" spans="1:10" ht="15" customHeight="1">
      <c r="A611" s="228">
        <f t="shared" si="19"/>
        <v>608</v>
      </c>
      <c r="B611" s="235">
        <v>42750</v>
      </c>
      <c r="C611" s="236" t="s">
        <v>5055</v>
      </c>
      <c r="D611" s="242" t="str">
        <f t="shared" si="18"/>
        <v>OPERATIVNO-TEHNIČKI CENTAR ZA NADZOR TELEKOMUNIKACIJA (42750)</v>
      </c>
      <c r="E611" s="236" t="s">
        <v>5056</v>
      </c>
      <c r="F611" s="236" t="s">
        <v>271</v>
      </c>
      <c r="G611" s="237">
        <v>2255308</v>
      </c>
      <c r="H611" s="238" t="s">
        <v>5057</v>
      </c>
      <c r="J611" s="233"/>
    </row>
    <row r="612" spans="1:10" ht="15" customHeight="1">
      <c r="A612" s="228">
        <f t="shared" si="19"/>
        <v>609</v>
      </c>
      <c r="B612" s="235">
        <v>42768</v>
      </c>
      <c r="C612" s="236" t="s">
        <v>5058</v>
      </c>
      <c r="D612" s="242" t="str">
        <f t="shared" si="18"/>
        <v>ZAVOD ZA SIGURNOST INFORMACIJSKIH SUSTAVA (42768)</v>
      </c>
      <c r="E612" s="236" t="s">
        <v>5059</v>
      </c>
      <c r="F612" s="236" t="s">
        <v>271</v>
      </c>
      <c r="G612" s="237">
        <v>2255294</v>
      </c>
      <c r="H612" s="238" t="s">
        <v>5060</v>
      </c>
      <c r="J612" s="233"/>
    </row>
    <row r="613" spans="1:10" ht="15" customHeight="1">
      <c r="A613" s="228">
        <f t="shared" si="19"/>
        <v>610</v>
      </c>
      <c r="B613" s="235">
        <v>25860</v>
      </c>
      <c r="C613" s="236" t="s">
        <v>5061</v>
      </c>
      <c r="D613" s="242" t="str">
        <f t="shared" si="18"/>
        <v>AGENCIJA ZA ZAŠTITU OSOBNIH PODATAKA (25860)</v>
      </c>
      <c r="E613" s="236" t="s">
        <v>5062</v>
      </c>
      <c r="F613" s="236" t="s">
        <v>271</v>
      </c>
      <c r="G613" s="237">
        <v>1837907</v>
      </c>
      <c r="H613" s="238" t="s">
        <v>5063</v>
      </c>
      <c r="J613" s="233"/>
    </row>
    <row r="614" spans="1:10" ht="15" customHeight="1" thickBot="1">
      <c r="A614" s="228">
        <f t="shared" si="19"/>
        <v>611</v>
      </c>
      <c r="B614" s="235">
        <v>48226</v>
      </c>
      <c r="C614" s="267" t="s">
        <v>5064</v>
      </c>
      <c r="D614" s="242" t="str">
        <f t="shared" si="18"/>
        <v>POVJERENIK ZA INFORMIRANJE (48226)</v>
      </c>
      <c r="E614" s="267" t="s">
        <v>5065</v>
      </c>
      <c r="F614" s="267" t="s">
        <v>271</v>
      </c>
      <c r="G614" s="268">
        <v>4126904</v>
      </c>
      <c r="H614" s="269">
        <v>68011638990</v>
      </c>
      <c r="J614" s="233"/>
    </row>
    <row r="615" spans="1:10" ht="29.25" customHeight="1" thickTop="1">
      <c r="A615" s="401" t="s">
        <v>5066</v>
      </c>
      <c r="B615" s="401"/>
      <c r="C615" s="401"/>
      <c r="D615" s="401"/>
      <c r="E615" s="401"/>
      <c r="F615" s="401"/>
      <c r="G615" s="401"/>
      <c r="H615" s="401"/>
    </row>
    <row r="616" spans="1:10" ht="15" customHeight="1">
      <c r="B616" s="271"/>
      <c r="H616" s="273"/>
    </row>
    <row r="617" spans="1:10" ht="15" customHeight="1">
      <c r="B617" s="271"/>
      <c r="H617" s="273"/>
    </row>
    <row r="618" spans="1:10" ht="15" customHeight="1">
      <c r="B618" s="271"/>
      <c r="H618" s="273"/>
    </row>
    <row r="619" spans="1:10" ht="15" customHeight="1">
      <c r="B619" s="271"/>
      <c r="H619" s="273"/>
    </row>
    <row r="620" spans="1:10" ht="15" customHeight="1">
      <c r="B620" s="271"/>
      <c r="H620" s="273"/>
    </row>
    <row r="621" spans="1:10" ht="15" customHeight="1">
      <c r="A621" s="218"/>
      <c r="B621" s="271"/>
      <c r="H621" s="273"/>
    </row>
    <row r="622" spans="1:10" ht="15" customHeight="1">
      <c r="A622" s="218"/>
      <c r="B622" s="271"/>
      <c r="H622" s="273"/>
    </row>
    <row r="623" spans="1:10" ht="15" customHeight="1">
      <c r="A623" s="218"/>
      <c r="B623" s="271"/>
      <c r="H623" s="273"/>
    </row>
    <row r="624" spans="1:10" ht="15" customHeight="1">
      <c r="A624" s="218"/>
      <c r="B624" s="271"/>
      <c r="H624" s="273"/>
    </row>
    <row r="625" spans="1:8" ht="15" customHeight="1">
      <c r="A625" s="218"/>
      <c r="B625" s="271"/>
      <c r="H625" s="273"/>
    </row>
    <row r="626" spans="1:8" ht="15" customHeight="1">
      <c r="A626" s="218"/>
      <c r="B626" s="271"/>
      <c r="H626" s="273"/>
    </row>
    <row r="627" spans="1:8" ht="15" customHeight="1">
      <c r="A627" s="218"/>
      <c r="B627" s="271"/>
      <c r="H627" s="273"/>
    </row>
    <row r="628" spans="1:8" ht="15" customHeight="1">
      <c r="A628" s="218"/>
      <c r="B628" s="271"/>
      <c r="H628" s="273"/>
    </row>
    <row r="629" spans="1:8" ht="15" customHeight="1">
      <c r="A629" s="218"/>
      <c r="B629" s="271"/>
      <c r="H629" s="273"/>
    </row>
    <row r="630" spans="1:8" ht="15" customHeight="1">
      <c r="A630" s="218"/>
      <c r="B630" s="271"/>
      <c r="H630" s="273"/>
    </row>
    <row r="631" spans="1:8" ht="15" customHeight="1">
      <c r="A631" s="218"/>
      <c r="B631" s="271"/>
      <c r="H631" s="273"/>
    </row>
    <row r="632" spans="1:8" ht="15" customHeight="1">
      <c r="A632" s="218"/>
      <c r="B632" s="271"/>
      <c r="H632" s="273"/>
    </row>
    <row r="633" spans="1:8" ht="15" customHeight="1">
      <c r="A633" s="218"/>
      <c r="B633" s="271"/>
      <c r="H633" s="273"/>
    </row>
    <row r="634" spans="1:8" ht="15" customHeight="1">
      <c r="A634" s="218"/>
      <c r="B634" s="271"/>
      <c r="H634" s="273"/>
    </row>
    <row r="635" spans="1:8" ht="15" customHeight="1">
      <c r="A635" s="218"/>
      <c r="B635" s="271"/>
      <c r="H635" s="273"/>
    </row>
    <row r="636" spans="1:8" ht="15" customHeight="1">
      <c r="A636" s="218"/>
      <c r="B636" s="271"/>
      <c r="H636" s="273"/>
    </row>
    <row r="637" spans="1:8" ht="15" customHeight="1">
      <c r="A637" s="218"/>
      <c r="B637" s="271"/>
      <c r="H637" s="273"/>
    </row>
    <row r="638" spans="1:8" ht="15" customHeight="1">
      <c r="A638" s="218"/>
      <c r="B638" s="271"/>
      <c r="H638" s="273"/>
    </row>
    <row r="639" spans="1:8" ht="15" customHeight="1">
      <c r="A639" s="218"/>
      <c r="B639" s="271"/>
      <c r="H639" s="273"/>
    </row>
    <row r="640" spans="1:8" ht="15" customHeight="1">
      <c r="A640" s="218"/>
      <c r="B640" s="271"/>
      <c r="H640" s="273"/>
    </row>
    <row r="641" spans="1:8" ht="15" customHeight="1">
      <c r="A641" s="218"/>
      <c r="B641" s="271"/>
      <c r="H641" s="273"/>
    </row>
    <row r="642" spans="1:8" ht="15" customHeight="1">
      <c r="A642" s="218"/>
      <c r="B642" s="271"/>
      <c r="H642" s="273"/>
    </row>
    <row r="643" spans="1:8" ht="15" customHeight="1">
      <c r="A643" s="218"/>
      <c r="B643" s="271"/>
      <c r="H643" s="273"/>
    </row>
    <row r="644" spans="1:8" ht="15" customHeight="1">
      <c r="A644" s="218"/>
      <c r="B644" s="271"/>
      <c r="H644" s="273"/>
    </row>
    <row r="645" spans="1:8" ht="15" customHeight="1">
      <c r="A645" s="218"/>
      <c r="B645" s="271"/>
      <c r="H645" s="273"/>
    </row>
    <row r="646" spans="1:8" ht="15" customHeight="1">
      <c r="A646" s="218"/>
      <c r="B646" s="271"/>
      <c r="H646" s="273"/>
    </row>
    <row r="647" spans="1:8" ht="15" customHeight="1">
      <c r="A647" s="218"/>
      <c r="B647" s="271"/>
      <c r="H647" s="273"/>
    </row>
    <row r="648" spans="1:8" ht="15" customHeight="1">
      <c r="A648" s="218"/>
      <c r="B648" s="271"/>
      <c r="H648" s="273"/>
    </row>
    <row r="649" spans="1:8" ht="15" customHeight="1">
      <c r="A649" s="218"/>
      <c r="B649" s="271"/>
      <c r="H649" s="273"/>
    </row>
    <row r="650" spans="1:8" ht="15" customHeight="1">
      <c r="A650" s="218"/>
      <c r="B650" s="271"/>
      <c r="H650" s="273"/>
    </row>
    <row r="651" spans="1:8" ht="15" customHeight="1">
      <c r="A651" s="218"/>
      <c r="B651" s="271"/>
      <c r="H651" s="273"/>
    </row>
    <row r="652" spans="1:8" ht="15" customHeight="1">
      <c r="A652" s="218"/>
      <c r="B652" s="271"/>
      <c r="H652" s="273"/>
    </row>
    <row r="653" spans="1:8" ht="15" customHeight="1">
      <c r="A653" s="218"/>
      <c r="B653" s="271"/>
      <c r="H653" s="273"/>
    </row>
    <row r="654" spans="1:8" ht="15" customHeight="1">
      <c r="A654" s="218"/>
      <c r="B654" s="271"/>
      <c r="H654" s="273"/>
    </row>
    <row r="655" spans="1:8" ht="15" customHeight="1">
      <c r="A655" s="218"/>
      <c r="B655" s="271"/>
      <c r="H655" s="273"/>
    </row>
    <row r="656" spans="1:8" ht="15" customHeight="1">
      <c r="A656" s="218"/>
      <c r="B656" s="271"/>
      <c r="H656" s="273"/>
    </row>
    <row r="657" spans="1:8" ht="15" customHeight="1">
      <c r="A657" s="218"/>
      <c r="B657" s="271"/>
      <c r="H657" s="273"/>
    </row>
    <row r="658" spans="1:8" ht="15" customHeight="1">
      <c r="A658" s="218"/>
      <c r="B658" s="271"/>
      <c r="H658" s="273"/>
    </row>
    <row r="659" spans="1:8" ht="15" customHeight="1">
      <c r="A659" s="218"/>
      <c r="B659" s="271"/>
      <c r="H659" s="273"/>
    </row>
    <row r="660" spans="1:8" ht="15" customHeight="1">
      <c r="A660" s="218"/>
      <c r="B660" s="271"/>
      <c r="H660" s="273"/>
    </row>
    <row r="661" spans="1:8" ht="15" customHeight="1">
      <c r="A661" s="218"/>
      <c r="B661" s="271"/>
      <c r="H661" s="273"/>
    </row>
    <row r="662" spans="1:8" ht="15" customHeight="1">
      <c r="A662" s="218"/>
      <c r="B662" s="271"/>
      <c r="H662" s="273"/>
    </row>
    <row r="663" spans="1:8" ht="15" customHeight="1">
      <c r="A663" s="218"/>
      <c r="B663" s="271"/>
      <c r="H663" s="273"/>
    </row>
    <row r="664" spans="1:8" ht="15" customHeight="1">
      <c r="A664" s="218"/>
      <c r="B664" s="271"/>
      <c r="H664" s="273"/>
    </row>
    <row r="665" spans="1:8" ht="15" customHeight="1">
      <c r="A665" s="218"/>
      <c r="B665" s="271"/>
      <c r="H665" s="273"/>
    </row>
    <row r="666" spans="1:8" ht="15" customHeight="1">
      <c r="A666" s="218"/>
      <c r="B666" s="271"/>
      <c r="H666" s="273"/>
    </row>
    <row r="667" spans="1:8" ht="15" customHeight="1">
      <c r="A667" s="218"/>
      <c r="B667" s="271"/>
      <c r="H667" s="273"/>
    </row>
    <row r="668" spans="1:8" ht="15" customHeight="1">
      <c r="A668" s="218"/>
      <c r="B668" s="271"/>
      <c r="H668" s="273"/>
    </row>
    <row r="669" spans="1:8" ht="15" customHeight="1">
      <c r="A669" s="218"/>
      <c r="B669" s="271"/>
      <c r="H669" s="273"/>
    </row>
    <row r="670" spans="1:8" ht="15" customHeight="1">
      <c r="A670" s="218"/>
      <c r="B670" s="271"/>
      <c r="H670" s="273"/>
    </row>
    <row r="671" spans="1:8" ht="15" customHeight="1">
      <c r="A671" s="218"/>
      <c r="B671" s="271"/>
      <c r="H671" s="273"/>
    </row>
    <row r="672" spans="1:8" ht="15" customHeight="1">
      <c r="A672" s="218"/>
      <c r="B672" s="271"/>
      <c r="H672" s="273"/>
    </row>
    <row r="673" spans="1:8" ht="15" customHeight="1">
      <c r="A673" s="218"/>
      <c r="B673" s="271"/>
      <c r="H673" s="273"/>
    </row>
    <row r="674" spans="1:8" ht="15" customHeight="1">
      <c r="A674" s="218"/>
      <c r="B674" s="271"/>
      <c r="H674" s="273"/>
    </row>
    <row r="675" spans="1:8" ht="15" customHeight="1">
      <c r="A675" s="218"/>
      <c r="B675" s="271"/>
      <c r="H675" s="273"/>
    </row>
    <row r="676" spans="1:8" ht="15" customHeight="1">
      <c r="A676" s="218"/>
      <c r="B676" s="271"/>
      <c r="H676" s="273"/>
    </row>
    <row r="677" spans="1:8" ht="15" customHeight="1">
      <c r="A677" s="218"/>
      <c r="B677" s="271"/>
      <c r="H677" s="273"/>
    </row>
    <row r="678" spans="1:8" ht="15" customHeight="1">
      <c r="A678" s="218"/>
      <c r="B678" s="271"/>
      <c r="H678" s="273"/>
    </row>
    <row r="679" spans="1:8" ht="15" customHeight="1">
      <c r="A679" s="218"/>
      <c r="B679" s="271"/>
      <c r="H679" s="273"/>
    </row>
    <row r="680" spans="1:8" ht="15" customHeight="1">
      <c r="A680" s="218"/>
      <c r="B680" s="271"/>
      <c r="H680" s="273"/>
    </row>
    <row r="681" spans="1:8" ht="15" customHeight="1">
      <c r="A681" s="218"/>
      <c r="B681" s="271"/>
      <c r="H681" s="273"/>
    </row>
    <row r="682" spans="1:8" ht="15" customHeight="1">
      <c r="A682" s="218"/>
      <c r="B682" s="271"/>
      <c r="H682" s="273"/>
    </row>
    <row r="683" spans="1:8" ht="15" customHeight="1">
      <c r="A683" s="218"/>
      <c r="B683" s="271"/>
      <c r="H683" s="273"/>
    </row>
    <row r="684" spans="1:8" ht="15" customHeight="1">
      <c r="A684" s="218"/>
      <c r="B684" s="271"/>
      <c r="H684" s="273"/>
    </row>
    <row r="685" spans="1:8" ht="15" customHeight="1">
      <c r="B685" s="271"/>
      <c r="H685" s="273"/>
    </row>
    <row r="686" spans="1:8" s="233" customFormat="1" ht="15" customHeight="1">
      <c r="A686" s="270"/>
      <c r="B686" s="271"/>
      <c r="C686" s="271"/>
      <c r="D686" s="271"/>
      <c r="E686" s="271"/>
      <c r="F686" s="272"/>
      <c r="G686" s="271"/>
      <c r="H686" s="273"/>
    </row>
    <row r="687" spans="1:8" s="233" customFormat="1" ht="15" customHeight="1">
      <c r="A687" s="270"/>
      <c r="B687" s="271"/>
      <c r="C687" s="271"/>
      <c r="D687" s="271"/>
      <c r="E687" s="271"/>
      <c r="F687" s="272"/>
      <c r="G687" s="271"/>
      <c r="H687" s="274"/>
    </row>
    <row r="688" spans="1:8" s="233" customFormat="1" ht="15" customHeight="1">
      <c r="A688" s="270"/>
      <c r="B688" s="271"/>
      <c r="C688" s="271"/>
      <c r="D688" s="271"/>
      <c r="E688" s="271"/>
      <c r="F688" s="272"/>
      <c r="G688" s="271"/>
      <c r="H688" s="274"/>
    </row>
    <row r="689" spans="1:8" s="233" customFormat="1" ht="15" customHeight="1">
      <c r="A689" s="270"/>
      <c r="B689" s="271"/>
      <c r="C689" s="271"/>
      <c r="D689" s="271"/>
      <c r="E689" s="271"/>
      <c r="F689" s="272"/>
      <c r="G689" s="271"/>
      <c r="H689" s="274"/>
    </row>
    <row r="690" spans="1:8" s="233" customFormat="1" ht="15" customHeight="1">
      <c r="A690" s="270"/>
      <c r="B690" s="271"/>
      <c r="C690" s="271"/>
      <c r="D690" s="271"/>
      <c r="E690" s="271"/>
      <c r="F690" s="272"/>
      <c r="G690" s="271"/>
      <c r="H690" s="274"/>
    </row>
    <row r="691" spans="1:8" s="233" customFormat="1" ht="15" customHeight="1">
      <c r="A691" s="270"/>
      <c r="B691" s="271"/>
      <c r="C691" s="271"/>
      <c r="D691" s="271"/>
      <c r="E691" s="271"/>
      <c r="F691" s="272"/>
      <c r="G691" s="271"/>
      <c r="H691" s="274"/>
    </row>
    <row r="692" spans="1:8" s="233" customFormat="1" ht="15" customHeight="1">
      <c r="A692" s="270"/>
      <c r="B692" s="271"/>
      <c r="C692" s="271"/>
      <c r="D692" s="271"/>
      <c r="E692" s="271"/>
      <c r="F692" s="272"/>
      <c r="G692" s="271"/>
      <c r="H692" s="274"/>
    </row>
    <row r="693" spans="1:8" s="233" customFormat="1" ht="15" customHeight="1">
      <c r="A693" s="270"/>
      <c r="B693" s="271"/>
      <c r="C693" s="271"/>
      <c r="D693" s="271"/>
      <c r="E693" s="271"/>
      <c r="F693" s="272"/>
      <c r="G693" s="271"/>
      <c r="H693" s="274"/>
    </row>
    <row r="694" spans="1:8" s="233" customFormat="1" ht="15" customHeight="1">
      <c r="A694" s="270"/>
      <c r="B694" s="271"/>
      <c r="C694" s="271"/>
      <c r="D694" s="271"/>
      <c r="E694" s="271"/>
      <c r="F694" s="272"/>
      <c r="G694" s="271"/>
      <c r="H694" s="274"/>
    </row>
    <row r="695" spans="1:8" s="233" customFormat="1" ht="15" customHeight="1">
      <c r="A695" s="270"/>
      <c r="B695" s="271"/>
      <c r="C695" s="271"/>
      <c r="D695" s="271"/>
      <c r="E695" s="271"/>
      <c r="F695" s="272"/>
      <c r="G695" s="271"/>
      <c r="H695" s="274"/>
    </row>
    <row r="696" spans="1:8" s="233" customFormat="1" ht="15" customHeight="1">
      <c r="A696" s="270"/>
      <c r="B696" s="271"/>
      <c r="C696" s="271"/>
      <c r="D696" s="271"/>
      <c r="E696" s="271"/>
      <c r="F696" s="272"/>
      <c r="G696" s="271"/>
      <c r="H696" s="274"/>
    </row>
    <row r="697" spans="1:8" s="233" customFormat="1" ht="15" customHeight="1">
      <c r="A697" s="270"/>
      <c r="B697" s="271"/>
      <c r="C697" s="271"/>
      <c r="D697" s="271"/>
      <c r="E697" s="271"/>
      <c r="F697" s="272"/>
      <c r="G697" s="271"/>
      <c r="H697" s="274"/>
    </row>
    <row r="698" spans="1:8" s="233" customFormat="1" ht="15" customHeight="1">
      <c r="A698" s="270"/>
      <c r="B698" s="271"/>
      <c r="C698" s="271"/>
      <c r="D698" s="271"/>
      <c r="E698" s="271"/>
      <c r="F698" s="272"/>
      <c r="G698" s="271"/>
      <c r="H698" s="274"/>
    </row>
    <row r="699" spans="1:8" ht="15" customHeight="1">
      <c r="B699" s="271"/>
      <c r="H699" s="274"/>
    </row>
    <row r="700" spans="1:8" s="233" customFormat="1" ht="15" customHeight="1">
      <c r="A700" s="270"/>
      <c r="B700" s="271"/>
      <c r="C700" s="271"/>
      <c r="D700" s="271"/>
      <c r="E700" s="271"/>
      <c r="F700" s="272"/>
      <c r="G700" s="271"/>
      <c r="H700" s="273"/>
    </row>
    <row r="701" spans="1:8" s="233" customFormat="1" ht="15" customHeight="1">
      <c r="A701" s="270"/>
      <c r="B701" s="271"/>
      <c r="C701" s="271"/>
      <c r="D701" s="271"/>
      <c r="E701" s="271"/>
      <c r="F701" s="272"/>
      <c r="G701" s="271"/>
      <c r="H701" s="274"/>
    </row>
    <row r="702" spans="1:8" s="233" customFormat="1" ht="15" customHeight="1">
      <c r="A702" s="270"/>
      <c r="B702" s="271"/>
      <c r="C702" s="271"/>
      <c r="D702" s="271"/>
      <c r="E702" s="271"/>
      <c r="F702" s="272"/>
      <c r="G702" s="271"/>
      <c r="H702" s="274"/>
    </row>
    <row r="703" spans="1:8" s="233" customFormat="1" ht="15" customHeight="1">
      <c r="A703" s="270"/>
      <c r="B703" s="271"/>
      <c r="C703" s="271"/>
      <c r="D703" s="271"/>
      <c r="E703" s="271"/>
      <c r="F703" s="272"/>
      <c r="G703" s="271"/>
      <c r="H703" s="274"/>
    </row>
    <row r="704" spans="1:8" s="233" customFormat="1" ht="15" customHeight="1">
      <c r="A704" s="270"/>
      <c r="B704" s="271"/>
      <c r="C704" s="271"/>
      <c r="D704" s="271"/>
      <c r="E704" s="271"/>
      <c r="F704" s="272"/>
      <c r="G704" s="271"/>
      <c r="H704" s="274"/>
    </row>
    <row r="705" spans="1:8" s="233" customFormat="1" ht="15" customHeight="1">
      <c r="A705" s="270"/>
      <c r="B705" s="271"/>
      <c r="C705" s="271"/>
      <c r="D705" s="271"/>
      <c r="E705" s="271"/>
      <c r="F705" s="272"/>
      <c r="G705" s="271"/>
      <c r="H705" s="274"/>
    </row>
    <row r="706" spans="1:8" s="233" customFormat="1" ht="15" customHeight="1">
      <c r="A706" s="270"/>
      <c r="B706" s="271"/>
      <c r="C706" s="271"/>
      <c r="D706" s="271"/>
      <c r="E706" s="271"/>
      <c r="F706" s="272"/>
      <c r="G706" s="271"/>
      <c r="H706" s="274"/>
    </row>
    <row r="707" spans="1:8" s="233" customFormat="1" ht="15" customHeight="1">
      <c r="A707" s="270"/>
      <c r="B707" s="275"/>
      <c r="C707" s="271"/>
      <c r="D707" s="271"/>
      <c r="E707" s="271"/>
      <c r="F707" s="272"/>
      <c r="G707" s="271"/>
      <c r="H707" s="274"/>
    </row>
    <row r="708" spans="1:8" s="233" customFormat="1" ht="15" customHeight="1">
      <c r="A708" s="270"/>
      <c r="B708" s="275"/>
      <c r="C708" s="271"/>
      <c r="D708" s="271"/>
      <c r="E708" s="271"/>
      <c r="F708" s="272"/>
      <c r="G708" s="271"/>
      <c r="H708" s="274"/>
    </row>
    <row r="709" spans="1:8" s="233" customFormat="1" ht="15" customHeight="1">
      <c r="A709" s="270"/>
      <c r="B709" s="275"/>
      <c r="C709" s="271"/>
      <c r="D709" s="271"/>
      <c r="E709" s="271"/>
      <c r="F709" s="272"/>
      <c r="G709" s="271"/>
      <c r="H709" s="274"/>
    </row>
    <row r="710" spans="1:8" s="233" customFormat="1" ht="15" customHeight="1">
      <c r="A710" s="270"/>
      <c r="B710" s="275"/>
      <c r="C710" s="271"/>
      <c r="D710" s="271"/>
      <c r="E710" s="271"/>
      <c r="F710" s="272"/>
      <c r="G710" s="271"/>
      <c r="H710" s="274"/>
    </row>
    <row r="711" spans="1:8" s="233" customFormat="1" ht="15" customHeight="1">
      <c r="A711" s="270"/>
      <c r="B711" s="275"/>
      <c r="C711" s="271"/>
      <c r="D711" s="271"/>
      <c r="E711" s="271"/>
      <c r="F711" s="272"/>
      <c r="G711" s="271"/>
      <c r="H711" s="274"/>
    </row>
    <row r="712" spans="1:8" ht="15" customHeight="1">
      <c r="H712" s="274"/>
    </row>
    <row r="713" spans="1:8" ht="15" customHeight="1">
      <c r="H713" s="273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2023-11-29T11:00:13Z</cp:lastPrinted>
  <dcterms:created xsi:type="dcterms:W3CDTF">2018-09-10T07:36:17Z</dcterms:created>
  <dcterms:modified xsi:type="dcterms:W3CDTF">2024-11-25T09:57:02Z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